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10" activeTab="0"/>
  </bookViews>
  <sheets>
    <sheet name="总表投资" sheetId="1" r:id="rId1"/>
    <sheet name="分布工程" sheetId="2" r:id="rId2"/>
    <sheet name="独立费" sheetId="3" r:id="rId3"/>
    <sheet name="补偿费" sheetId="4" r:id="rId4"/>
    <sheet name="单价汇总" sheetId="5" r:id="rId5"/>
    <sheet name="单价" sheetId="6" r:id="rId6"/>
    <sheet name="机械费" sheetId="7" r:id="rId7"/>
    <sheet name="主要材料费" sheetId="8" r:id="rId8"/>
    <sheet name="砂浆" sheetId="9" r:id="rId9"/>
    <sheet name="Sheet2" sheetId="10" r:id="rId10"/>
    <sheet name="效益分析" sheetId="11" r:id="rId11"/>
    <sheet name="年度投资" sheetId="12" r:id="rId12"/>
  </sheets>
  <definedNames>
    <definedName name="_xlnm.Print_Titles" localSheetId="1">'分布工程'!$1:$3</definedName>
  </definedNames>
  <calcPr fullCalcOnLoad="1"/>
</workbook>
</file>

<file path=xl/sharedStrings.xml><?xml version="1.0" encoding="utf-8"?>
<sst xmlns="http://schemas.openxmlformats.org/spreadsheetml/2006/main" count="3954" uniqueCount="731">
  <si>
    <t>投资估算审定表</t>
  </si>
  <si>
    <t>单位：万元</t>
  </si>
  <si>
    <t>序号</t>
  </si>
  <si>
    <t>工程或费用名称</t>
  </si>
  <si>
    <t>建安工程费</t>
  </si>
  <si>
    <t>林草工程费</t>
  </si>
  <si>
    <t>独立费用</t>
  </si>
  <si>
    <t>合计</t>
  </si>
  <si>
    <t>栽植及抚育费</t>
  </si>
  <si>
    <t>苗木及种籽费</t>
  </si>
  <si>
    <r>
      <t>第一部分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工程措施</t>
    </r>
  </si>
  <si>
    <t>一</t>
  </si>
  <si>
    <t>（一）</t>
  </si>
  <si>
    <t>（二）</t>
  </si>
  <si>
    <t>整地工程</t>
  </si>
  <si>
    <t>（三）</t>
  </si>
  <si>
    <t>灌溉工程</t>
  </si>
  <si>
    <t>（四）</t>
  </si>
  <si>
    <t>首部泵站</t>
  </si>
  <si>
    <t>（五）</t>
  </si>
  <si>
    <t>电气工程</t>
  </si>
  <si>
    <t>二</t>
  </si>
  <si>
    <t>第二部分植物措施</t>
  </si>
  <si>
    <t>水土保持林</t>
  </si>
  <si>
    <t>景观林</t>
  </si>
  <si>
    <t>岸坡生态修复</t>
  </si>
  <si>
    <t>一至二部分合计</t>
  </si>
  <si>
    <t>第三部分独立费用</t>
  </si>
  <si>
    <t>建设管理费</t>
  </si>
  <si>
    <t>工程建设监理费</t>
  </si>
  <si>
    <t>勘测设计费</t>
  </si>
  <si>
    <t>一至三部分合计</t>
  </si>
  <si>
    <r>
      <t>第五部分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基本预备费</t>
    </r>
  </si>
  <si>
    <t>工程总投资</t>
  </si>
  <si>
    <t>分部工程投资估算表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</si>
  <si>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</si>
  <si>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工程或费用名称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</si>
  <si>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</si>
  <si>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数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量</t>
    </r>
  </si>
  <si>
    <r>
      <rPr>
        <b/>
        <sz val="10"/>
        <rFont val="宋体"/>
        <family val="0"/>
      </rPr>
      <t>单价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)</t>
    </r>
  </si>
  <si>
    <r>
      <t>投资合计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（万元）</t>
    </r>
  </si>
  <si>
    <t>备注</t>
  </si>
  <si>
    <r>
      <rPr>
        <b/>
        <sz val="10"/>
        <rFont val="宋体"/>
        <family val="0"/>
      </rPr>
      <t>第一部分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工程措施</t>
    </r>
  </si>
  <si>
    <t>外围治理区域</t>
  </si>
  <si>
    <t>道路及广场</t>
  </si>
  <si>
    <r>
      <t>5m</t>
    </r>
    <r>
      <rPr>
        <sz val="10"/>
        <rFont val="宋体"/>
        <family val="0"/>
      </rPr>
      <t>宽混凝土铺装巡湖路</t>
    </r>
  </si>
  <si>
    <t>m</t>
  </si>
  <si>
    <r>
      <rPr>
        <sz val="10"/>
        <rFont val="宋体"/>
        <family val="0"/>
      </rPr>
      <t>①</t>
    </r>
  </si>
  <si>
    <r>
      <t>120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C25</t>
    </r>
    <r>
      <rPr>
        <sz val="10"/>
        <rFont val="宋体"/>
        <family val="0"/>
      </rPr>
      <t>混凝土面层</t>
    </r>
  </si>
  <si>
    <r>
      <t>m</t>
    </r>
    <r>
      <rPr>
        <vertAlign val="superscript"/>
        <sz val="10"/>
        <rFont val="Times New Roman"/>
        <family val="1"/>
      </rPr>
      <t>3</t>
    </r>
  </si>
  <si>
    <r>
      <rPr>
        <sz val="10"/>
        <rFont val="宋体"/>
        <family val="0"/>
      </rPr>
      <t>②</t>
    </r>
  </si>
  <si>
    <r>
      <t>250</t>
    </r>
    <r>
      <rPr>
        <sz val="10"/>
        <rFont val="宋体"/>
        <family val="0"/>
      </rPr>
      <t>厚天然级配砂石碾实</t>
    </r>
  </si>
  <si>
    <r>
      <rPr>
        <sz val="10"/>
        <rFont val="宋体"/>
        <family val="0"/>
      </rPr>
      <t>③</t>
    </r>
  </si>
  <si>
    <t>素土夯实</t>
  </si>
  <si>
    <r>
      <t>m</t>
    </r>
    <r>
      <rPr>
        <vertAlign val="superscript"/>
        <sz val="10"/>
        <rFont val="Times New Roman"/>
        <family val="1"/>
      </rPr>
      <t>2</t>
    </r>
  </si>
  <si>
    <r>
      <t>3m</t>
    </r>
    <r>
      <rPr>
        <sz val="10"/>
        <rFont val="宋体"/>
        <family val="0"/>
      </rPr>
      <t>宽彩色艺术压印地坪路</t>
    </r>
  </si>
  <si>
    <r>
      <t>2~4</t>
    </r>
    <r>
      <rPr>
        <sz val="10"/>
        <rFont val="宋体"/>
        <family val="0"/>
      </rPr>
      <t>厚压印地坪</t>
    </r>
  </si>
  <si>
    <r>
      <t>60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C20</t>
    </r>
    <r>
      <rPr>
        <sz val="10"/>
        <rFont val="宋体"/>
        <family val="0"/>
      </rPr>
      <t>混凝土，长</t>
    </r>
    <r>
      <rPr>
        <sz val="10"/>
        <rFont val="Times New Roman"/>
        <family val="1"/>
      </rPr>
      <t>≤6m</t>
    </r>
    <r>
      <rPr>
        <sz val="10"/>
        <rFont val="宋体"/>
        <family val="0"/>
      </rPr>
      <t>，缝宽</t>
    </r>
    <r>
      <rPr>
        <sz val="10"/>
        <rFont val="Times New Roman"/>
        <family val="1"/>
      </rPr>
      <t>10</t>
    </r>
  </si>
  <si>
    <r>
      <t>150</t>
    </r>
    <r>
      <rPr>
        <sz val="10"/>
        <rFont val="宋体"/>
        <family val="0"/>
      </rPr>
      <t>厚天然级配砂石碾压</t>
    </r>
  </si>
  <si>
    <r>
      <rPr>
        <sz val="10"/>
        <rFont val="宋体"/>
        <family val="0"/>
      </rPr>
      <t>④</t>
    </r>
  </si>
  <si>
    <r>
      <rPr>
        <sz val="10"/>
        <rFont val="宋体"/>
        <family val="0"/>
      </rPr>
      <t>素土夯实</t>
    </r>
  </si>
  <si>
    <r>
      <rPr>
        <sz val="10"/>
        <rFont val="宋体"/>
        <family val="0"/>
      </rPr>
      <t>⑤</t>
    </r>
  </si>
  <si>
    <t>路灯</t>
  </si>
  <si>
    <t>组</t>
  </si>
  <si>
    <r>
      <t>2m</t>
    </r>
    <r>
      <rPr>
        <sz val="10"/>
        <rFont val="宋体"/>
        <family val="0"/>
      </rPr>
      <t>宽混凝土路面砖园路</t>
    </r>
  </si>
  <si>
    <r>
      <t>60</t>
    </r>
    <r>
      <rPr>
        <sz val="10"/>
        <rFont val="宋体"/>
        <family val="0"/>
      </rPr>
      <t>厚混凝土路面砖，缝宽</t>
    </r>
    <r>
      <rPr>
        <sz val="10"/>
        <rFont val="Times New Roman"/>
        <family val="1"/>
      </rPr>
      <t>5</t>
    </r>
  </si>
  <si>
    <r>
      <t>方形灰色水泥道砖（</t>
    </r>
    <r>
      <rPr>
        <sz val="10"/>
        <rFont val="Times New Roman"/>
        <family val="1"/>
      </rPr>
      <t>200×200×60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</si>
  <si>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块</t>
    </r>
  </si>
  <si>
    <r>
      <t>30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干硬性水泥砂浆</t>
    </r>
  </si>
  <si>
    <r>
      <t>M7.5</t>
    </r>
    <r>
      <rPr>
        <sz val="10"/>
        <rFont val="宋体"/>
        <family val="0"/>
      </rPr>
      <t>普通干混抹灰砂浆</t>
    </r>
  </si>
  <si>
    <t>t</t>
  </si>
  <si>
    <r>
      <t>150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灰土</t>
    </r>
  </si>
  <si>
    <r>
      <rPr>
        <sz val="10"/>
        <rFont val="宋体"/>
        <family val="0"/>
      </rPr>
      <t>生态休闲广场</t>
    </r>
  </si>
  <si>
    <r>
      <t>30</t>
    </r>
    <r>
      <rPr>
        <sz val="10"/>
        <rFont val="宋体"/>
        <family val="0"/>
      </rPr>
      <t>厚花岗岩石板面层</t>
    </r>
  </si>
  <si>
    <r>
      <t>100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C15</t>
    </r>
    <r>
      <rPr>
        <sz val="10"/>
        <rFont val="宋体"/>
        <family val="0"/>
      </rPr>
      <t>混凝土</t>
    </r>
  </si>
  <si>
    <r>
      <rPr>
        <sz val="10"/>
        <rFont val="宋体"/>
        <family val="0"/>
      </rPr>
      <t>⑥</t>
    </r>
  </si>
  <si>
    <r>
      <rPr>
        <sz val="10"/>
        <rFont val="宋体"/>
        <family val="0"/>
      </rPr>
      <t>混凝土路缘石</t>
    </r>
  </si>
  <si>
    <r>
      <t>混凝土路缘石（</t>
    </r>
    <r>
      <rPr>
        <sz val="10"/>
        <rFont val="Times New Roman"/>
        <family val="1"/>
      </rPr>
      <t>100×300×495</t>
    </r>
    <r>
      <rPr>
        <sz val="10"/>
        <rFont val="宋体"/>
        <family val="0"/>
      </rPr>
      <t>）</t>
    </r>
  </si>
  <si>
    <t>木结构亲水平台</t>
  </si>
  <si>
    <t>原木</t>
  </si>
  <si>
    <t>方木支撑</t>
  </si>
  <si>
    <t>现浇C30钢筋混凝土基础</t>
  </si>
  <si>
    <t>制作安装费</t>
  </si>
  <si>
    <t>%</t>
  </si>
  <si>
    <r>
      <rPr>
        <sz val="10"/>
        <rFont val="宋体"/>
        <family val="0"/>
      </rPr>
      <t>生态停车场</t>
    </r>
  </si>
  <si>
    <t>（1）</t>
  </si>
  <si>
    <r>
      <rPr>
        <sz val="10"/>
        <rFont val="宋体"/>
        <family val="0"/>
      </rPr>
      <t>混凝土路面</t>
    </r>
  </si>
  <si>
    <t>（2）</t>
  </si>
  <si>
    <r>
      <rPr>
        <sz val="10"/>
        <rFont val="宋体"/>
        <family val="0"/>
      </rPr>
      <t>嵌草砖停车位</t>
    </r>
  </si>
  <si>
    <r>
      <t>80</t>
    </r>
    <r>
      <rPr>
        <sz val="10"/>
        <rFont val="宋体"/>
        <family val="0"/>
      </rPr>
      <t>厚预制嵌草水泥砖，砖孔及砖缝处填种植土，内掺草籽</t>
    </r>
  </si>
  <si>
    <r>
      <t>彩色水泥草坪道砖（</t>
    </r>
    <r>
      <rPr>
        <sz val="10"/>
        <rFont val="Times New Roman"/>
        <family val="1"/>
      </rPr>
      <t>250×250×80</t>
    </r>
    <r>
      <rPr>
        <sz val="10"/>
        <rFont val="宋体"/>
        <family val="0"/>
      </rPr>
      <t>）</t>
    </r>
  </si>
  <si>
    <r>
      <t>30</t>
    </r>
    <r>
      <rPr>
        <sz val="10"/>
        <rFont val="宋体"/>
        <family val="0"/>
      </rPr>
      <t>厚黄土粗砂</t>
    </r>
  </si>
  <si>
    <r>
      <t>100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>C20</t>
    </r>
    <r>
      <rPr>
        <sz val="10"/>
        <rFont val="宋体"/>
        <family val="0"/>
      </rPr>
      <t>无砂大孔混凝土基层</t>
    </r>
  </si>
  <si>
    <t>④</t>
  </si>
  <si>
    <r>
      <t>300</t>
    </r>
    <r>
      <rPr>
        <sz val="10"/>
        <rFont val="宋体"/>
        <family val="0"/>
      </rPr>
      <t>厚天然级配砂石碾实</t>
    </r>
  </si>
  <si>
    <t>⑤</t>
  </si>
  <si>
    <t>路基碾压</t>
  </si>
  <si>
    <t>（3）</t>
  </si>
  <si>
    <r>
      <t>100*300*495</t>
    </r>
    <r>
      <rPr>
        <sz val="10"/>
        <rFont val="宋体"/>
        <family val="0"/>
      </rPr>
      <t>混凝土路缘石</t>
    </r>
  </si>
  <si>
    <r>
      <rPr>
        <sz val="10"/>
        <rFont val="宋体"/>
        <family val="0"/>
      </rPr>
      <t>混凝土路缘石（</t>
    </r>
    <r>
      <rPr>
        <sz val="10"/>
        <rFont val="Times New Roman"/>
        <family val="1"/>
      </rPr>
      <t>100×300×495</t>
    </r>
    <r>
      <rPr>
        <sz val="10"/>
        <rFont val="宋体"/>
        <family val="0"/>
      </rPr>
      <t>）</t>
    </r>
  </si>
  <si>
    <t>土地整治</t>
  </si>
  <si>
    <r>
      <t>hm</t>
    </r>
    <r>
      <rPr>
        <vertAlign val="superscript"/>
        <sz val="10"/>
        <rFont val="Times New Roman"/>
        <family val="1"/>
      </rPr>
      <t>2</t>
    </r>
  </si>
  <si>
    <t>微地形整理</t>
  </si>
  <si>
    <t>节水灌溉设施</t>
  </si>
  <si>
    <t>水源工程</t>
  </si>
  <si>
    <r>
      <t>3m×3m</t>
    </r>
    <r>
      <rPr>
        <sz val="10"/>
        <rFont val="宋体"/>
        <family val="0"/>
      </rPr>
      <t>浮筒泵站</t>
    </r>
  </si>
  <si>
    <r>
      <t>4m×6m</t>
    </r>
    <r>
      <rPr>
        <sz val="10"/>
        <rFont val="宋体"/>
        <family val="0"/>
      </rPr>
      <t>过滤器房</t>
    </r>
  </si>
  <si>
    <t>干管管材、安装</t>
  </si>
  <si>
    <t>土方开挖</t>
  </si>
  <si>
    <t>m³</t>
  </si>
  <si>
    <t>土方回填</t>
  </si>
  <si>
    <r>
      <t>PE100</t>
    </r>
    <r>
      <rPr>
        <sz val="10"/>
        <rFont val="宋体"/>
        <family val="0"/>
      </rPr>
      <t>给水管</t>
    </r>
    <r>
      <rPr>
        <sz val="10"/>
        <rFont val="Times New Roman"/>
        <family val="1"/>
      </rPr>
      <t xml:space="preserve">dn125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0.8MPa</t>
    </r>
    <r>
      <rPr>
        <sz val="10"/>
        <rFont val="宋体"/>
        <family val="0"/>
      </rPr>
      <t>）</t>
    </r>
  </si>
  <si>
    <r>
      <t>PE100</t>
    </r>
    <r>
      <rPr>
        <sz val="10"/>
        <rFont val="宋体"/>
        <family val="0"/>
      </rPr>
      <t>给水管</t>
    </r>
    <r>
      <rPr>
        <sz val="10"/>
        <rFont val="Times New Roman"/>
        <family val="1"/>
      </rPr>
      <t xml:space="preserve">dn110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0.8MPa</t>
    </r>
    <r>
      <rPr>
        <sz val="10"/>
        <rFont val="宋体"/>
        <family val="0"/>
      </rPr>
      <t>）</t>
    </r>
  </si>
  <si>
    <r>
      <t>PE100</t>
    </r>
    <r>
      <rPr>
        <sz val="10"/>
        <rFont val="宋体"/>
        <family val="0"/>
      </rPr>
      <t>给水管</t>
    </r>
    <r>
      <rPr>
        <sz val="10"/>
        <rFont val="Times New Roman"/>
        <family val="1"/>
      </rPr>
      <t xml:space="preserve">dn90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0.8MPa</t>
    </r>
    <r>
      <rPr>
        <sz val="10"/>
        <rFont val="宋体"/>
        <family val="0"/>
      </rPr>
      <t>）</t>
    </r>
  </si>
  <si>
    <t>管件</t>
  </si>
  <si>
    <t>管材安装</t>
  </si>
  <si>
    <t>分水阀井</t>
  </si>
  <si>
    <t>座</t>
  </si>
  <si>
    <r>
      <t>预制钢筋混凝土阀井（上口内径</t>
    </r>
    <r>
      <rPr>
        <sz val="10"/>
        <rFont val="Times New Roman"/>
        <family val="1"/>
      </rPr>
      <t>DN=0.7m</t>
    </r>
    <r>
      <rPr>
        <sz val="10"/>
        <rFont val="宋体"/>
        <family val="0"/>
      </rPr>
      <t>，下口内径</t>
    </r>
    <r>
      <rPr>
        <sz val="10"/>
        <rFont val="Times New Roman"/>
        <family val="1"/>
      </rPr>
      <t>DN=1.5m</t>
    </r>
    <r>
      <rPr>
        <sz val="10"/>
        <rFont val="宋体"/>
        <family val="0"/>
      </rPr>
      <t>，壁厚</t>
    </r>
    <r>
      <rPr>
        <sz val="10"/>
        <rFont val="Times New Roman"/>
        <family val="1"/>
      </rPr>
      <t>0.12m</t>
    </r>
    <r>
      <rPr>
        <sz val="10"/>
        <rFont val="宋体"/>
        <family val="0"/>
      </rPr>
      <t>，净深</t>
    </r>
    <r>
      <rPr>
        <sz val="10"/>
        <rFont val="Times New Roman"/>
        <family val="1"/>
      </rPr>
      <t>2.0m</t>
    </r>
    <r>
      <rPr>
        <sz val="10"/>
        <rFont val="宋体"/>
        <family val="0"/>
      </rPr>
      <t>，配套井盖）（</t>
    </r>
    <r>
      <rPr>
        <sz val="10"/>
        <rFont val="Times New Roman"/>
        <family val="1"/>
      </rPr>
      <t>F200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</t>
    </r>
  </si>
  <si>
    <t>套</t>
  </si>
  <si>
    <t xml:space="preserve">C20现浇混凝土井盖支座（F200、W6） </t>
  </si>
  <si>
    <r>
      <t>C20</t>
    </r>
    <r>
      <rPr>
        <sz val="10"/>
        <rFont val="宋体"/>
        <family val="0"/>
      </rPr>
      <t>现浇混凝土底板（</t>
    </r>
    <r>
      <rPr>
        <sz val="10"/>
        <rFont val="Times New Roman"/>
        <family val="1"/>
      </rPr>
      <t>F200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</t>
    </r>
  </si>
  <si>
    <t>爬梯钢筋制安</t>
  </si>
  <si>
    <t xml:space="preserve">C20混凝土支墩（F200、W6） </t>
  </si>
  <si>
    <r>
      <t>闸阀</t>
    </r>
    <r>
      <rPr>
        <sz val="10"/>
        <rFont val="Times New Roman"/>
        <family val="1"/>
      </rPr>
      <t>(dn225mm)</t>
    </r>
  </si>
  <si>
    <t>台</t>
  </si>
  <si>
    <t>闸阀(dn160mm)</t>
  </si>
  <si>
    <t>闸阀(dn125mm)</t>
  </si>
  <si>
    <t>闸阀(dn90mm)</t>
  </si>
  <si>
    <t>阀井及闸阀安装</t>
  </si>
  <si>
    <t>排气阀井</t>
  </si>
  <si>
    <r>
      <rPr>
        <sz val="10"/>
        <rFont val="宋体"/>
        <family val="0"/>
      </rPr>
      <t>座</t>
    </r>
  </si>
  <si>
    <r>
      <t>m</t>
    </r>
    <r>
      <rPr>
        <vertAlign val="superscript"/>
        <sz val="11"/>
        <rFont val="Times New Roman"/>
        <family val="1"/>
      </rPr>
      <t>3</t>
    </r>
  </si>
  <si>
    <r>
      <rPr>
        <sz val="10"/>
        <rFont val="宋体"/>
        <family val="0"/>
      </rPr>
      <t>套</t>
    </r>
  </si>
  <si>
    <t xml:space="preserve">C20现浇混凝土底板（F200、W6） </t>
  </si>
  <si>
    <r>
      <t>排气阀</t>
    </r>
    <r>
      <rPr>
        <sz val="10"/>
        <rFont val="Times New Roman"/>
        <family val="1"/>
      </rPr>
      <t>(dn50mm/0.6MPa)</t>
    </r>
  </si>
  <si>
    <r>
      <rPr>
        <sz val="10"/>
        <rFont val="宋体"/>
        <family val="0"/>
      </rPr>
      <t>台</t>
    </r>
  </si>
  <si>
    <t>排水阀井</t>
  </si>
  <si>
    <r>
      <rPr>
        <sz val="10"/>
        <rFont val="宋体"/>
        <family val="0"/>
      </rPr>
      <t>土方开挖</t>
    </r>
  </si>
  <si>
    <r>
      <rPr>
        <sz val="10"/>
        <rFont val="宋体"/>
        <family val="0"/>
      </rPr>
      <t>土方回填</t>
    </r>
  </si>
  <si>
    <r>
      <rPr>
        <sz val="10"/>
        <rFont val="宋体"/>
        <family val="0"/>
      </rPr>
      <t>预制钢筋混凝土阀井（上口内径</t>
    </r>
    <r>
      <rPr>
        <sz val="10"/>
        <rFont val="Times New Roman"/>
        <family val="1"/>
      </rPr>
      <t>DN=0.7m</t>
    </r>
    <r>
      <rPr>
        <sz val="10"/>
        <rFont val="宋体"/>
        <family val="0"/>
      </rPr>
      <t>，下口内径</t>
    </r>
    <r>
      <rPr>
        <sz val="10"/>
        <rFont val="Times New Roman"/>
        <family val="1"/>
      </rPr>
      <t>DN=1.5m</t>
    </r>
    <r>
      <rPr>
        <sz val="10"/>
        <rFont val="宋体"/>
        <family val="0"/>
      </rPr>
      <t>，壁厚</t>
    </r>
    <r>
      <rPr>
        <sz val="10"/>
        <rFont val="Times New Roman"/>
        <family val="1"/>
      </rPr>
      <t>0.12m</t>
    </r>
    <r>
      <rPr>
        <sz val="10"/>
        <rFont val="宋体"/>
        <family val="0"/>
      </rPr>
      <t>，净深</t>
    </r>
    <r>
      <rPr>
        <sz val="10"/>
        <rFont val="Times New Roman"/>
        <family val="1"/>
      </rPr>
      <t>2.0m</t>
    </r>
    <r>
      <rPr>
        <sz val="10"/>
        <rFont val="宋体"/>
        <family val="0"/>
      </rPr>
      <t>，配套井盖）（</t>
    </r>
    <r>
      <rPr>
        <sz val="10"/>
        <rFont val="Times New Roman"/>
        <family val="1"/>
      </rPr>
      <t>F200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</t>
    </r>
  </si>
  <si>
    <r>
      <t>C20</t>
    </r>
    <r>
      <rPr>
        <sz val="10"/>
        <rFont val="宋体"/>
        <family val="0"/>
      </rPr>
      <t>现浇混凝土井盖支座（</t>
    </r>
    <r>
      <rPr>
        <sz val="10"/>
        <rFont val="Times New Roman"/>
        <family val="1"/>
      </rPr>
      <t>F200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</si>
  <si>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爬梯钢筋制安</t>
    </r>
  </si>
  <si>
    <r>
      <t>C20</t>
    </r>
    <r>
      <rPr>
        <sz val="10"/>
        <rFont val="宋体"/>
        <family val="0"/>
      </rPr>
      <t>混凝土支墩（</t>
    </r>
    <r>
      <rPr>
        <sz val="10"/>
        <rFont val="Times New Roman"/>
        <family val="1"/>
      </rPr>
      <t>F200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</si>
  <si>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排水阀</t>
    </r>
    <r>
      <rPr>
        <sz val="10"/>
        <rFont val="Times New Roman"/>
        <family val="1"/>
      </rPr>
      <t>(dn50mm/0.6MPa)</t>
    </r>
  </si>
  <si>
    <r>
      <rPr>
        <sz val="10"/>
        <rFont val="宋体"/>
        <family val="0"/>
      </rPr>
      <t>镇墩</t>
    </r>
  </si>
  <si>
    <r>
      <t>C20</t>
    </r>
    <r>
      <rPr>
        <sz val="10"/>
        <rFont val="宋体"/>
        <family val="0"/>
      </rPr>
      <t>现浇混凝土（</t>
    </r>
    <r>
      <rPr>
        <sz val="10"/>
        <rFont val="Times New Roman"/>
        <family val="1"/>
      </rPr>
      <t>F200</t>
    </r>
    <r>
      <rPr>
        <sz val="10"/>
        <rFont val="宋体"/>
        <family val="0"/>
      </rPr>
      <t>）</t>
    </r>
  </si>
  <si>
    <t>支管</t>
  </si>
  <si>
    <r>
      <t>PE100</t>
    </r>
    <r>
      <rPr>
        <sz val="10"/>
        <rFont val="宋体"/>
        <family val="0"/>
      </rPr>
      <t>管</t>
    </r>
    <r>
      <rPr>
        <sz val="10"/>
        <rFont val="Times New Roman"/>
        <family val="1"/>
      </rPr>
      <t>dn63 1.6MPa</t>
    </r>
    <r>
      <rPr>
        <sz val="10"/>
        <rFont val="宋体"/>
        <family val="0"/>
      </rPr>
      <t>管材</t>
    </r>
  </si>
  <si>
    <r>
      <t>PE100</t>
    </r>
    <r>
      <rPr>
        <sz val="10"/>
        <rFont val="宋体"/>
        <family val="0"/>
      </rPr>
      <t>管</t>
    </r>
    <r>
      <rPr>
        <sz val="10"/>
        <rFont val="Times New Roman"/>
        <family val="1"/>
      </rPr>
      <t>dn50 1.6MPa</t>
    </r>
    <r>
      <rPr>
        <sz val="10"/>
        <rFont val="宋体"/>
        <family val="0"/>
      </rPr>
      <t>管材</t>
    </r>
  </si>
  <si>
    <r>
      <t>PVC</t>
    </r>
    <r>
      <rPr>
        <sz val="10"/>
        <rFont val="宋体"/>
        <family val="0"/>
      </rPr>
      <t>球阀（</t>
    </r>
    <r>
      <rPr>
        <sz val="10"/>
        <rFont val="Times New Roman"/>
        <family val="1"/>
      </rPr>
      <t>50mm)</t>
    </r>
  </si>
  <si>
    <r>
      <t>给水栓立管（</t>
    </r>
    <r>
      <rPr>
        <sz val="10"/>
        <rFont val="Times New Roman"/>
        <family val="1"/>
      </rPr>
      <t>PE100</t>
    </r>
    <r>
      <rPr>
        <sz val="10"/>
        <rFont val="宋体"/>
        <family val="0"/>
      </rPr>
      <t>管</t>
    </r>
    <r>
      <rPr>
        <sz val="10"/>
        <rFont val="Times New Roman"/>
        <family val="1"/>
      </rPr>
      <t>dn50 1.6MPa</t>
    </r>
    <r>
      <rPr>
        <sz val="10"/>
        <rFont val="宋体"/>
        <family val="0"/>
      </rPr>
      <t>）</t>
    </r>
  </si>
  <si>
    <t>减压阀保护箱（塑料井）</t>
  </si>
  <si>
    <t>安装费</t>
  </si>
  <si>
    <t>毛管</t>
  </si>
  <si>
    <r>
      <t>Φ32 PE</t>
    </r>
    <r>
      <rPr>
        <sz val="10"/>
        <rFont val="宋体"/>
        <family val="0"/>
      </rPr>
      <t>微喷带管材</t>
    </r>
  </si>
  <si>
    <t>地插式微喷</t>
  </si>
  <si>
    <r>
      <t>Φ16 PE 1.2mm</t>
    </r>
    <r>
      <rPr>
        <sz val="10"/>
        <rFont val="宋体"/>
        <family val="0"/>
      </rPr>
      <t>管材</t>
    </r>
  </si>
  <si>
    <r>
      <t>压力补偿滴头</t>
    </r>
    <r>
      <rPr>
        <sz val="10"/>
        <rFont val="Times New Roman"/>
        <family val="1"/>
      </rPr>
      <t xml:space="preserve"> </t>
    </r>
  </si>
  <si>
    <t>个</t>
  </si>
  <si>
    <t>水泵</t>
  </si>
  <si>
    <t>钢制伸缩节</t>
  </si>
  <si>
    <t>静音止回阀</t>
  </si>
  <si>
    <t>电动偏心半球阀</t>
  </si>
  <si>
    <t>电磁流量计</t>
  </si>
  <si>
    <r>
      <t>离心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叠片式过滤器</t>
    </r>
  </si>
  <si>
    <t>供电电缆</t>
  </si>
  <si>
    <t>km</t>
  </si>
  <si>
    <t>变压器</t>
  </si>
  <si>
    <t>低压柜</t>
  </si>
  <si>
    <t>面</t>
  </si>
  <si>
    <t>计量箱</t>
  </si>
  <si>
    <t>照明箱</t>
  </si>
  <si>
    <t>配电箱</t>
  </si>
  <si>
    <t>湖心小岛治理区域</t>
  </si>
  <si>
    <r>
      <rPr>
        <b/>
        <sz val="10"/>
        <rFont val="宋体"/>
        <family val="0"/>
      </rPr>
      <t>整地工程</t>
    </r>
  </si>
  <si>
    <r>
      <rPr>
        <sz val="10"/>
        <rFont val="宋体"/>
        <family val="0"/>
      </rPr>
      <t>土地整治</t>
    </r>
  </si>
  <si>
    <r>
      <t>hm</t>
    </r>
    <r>
      <rPr>
        <b/>
        <vertAlign val="superscript"/>
        <sz val="10"/>
        <rFont val="Times New Roman"/>
        <family val="1"/>
      </rPr>
      <t>2</t>
    </r>
  </si>
  <si>
    <r>
      <rPr>
        <b/>
        <sz val="10"/>
        <rFont val="宋体"/>
        <family val="0"/>
      </rPr>
      <t>第二部分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林草措施</t>
    </r>
  </si>
  <si>
    <r>
      <rPr>
        <sz val="10"/>
        <rFont val="宋体"/>
        <family val="0"/>
      </rPr>
      <t>穴状整地（</t>
    </r>
    <r>
      <rPr>
        <sz val="10"/>
        <rFont val="Times New Roman"/>
        <family val="1"/>
      </rPr>
      <t>60cm×60cm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</si>
  <si>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个</t>
    </r>
  </si>
  <si>
    <r>
      <rPr>
        <sz val="10"/>
        <rFont val="宋体"/>
        <family val="0"/>
      </rPr>
      <t>穴状整地（</t>
    </r>
    <r>
      <rPr>
        <sz val="10"/>
        <rFont val="Times New Roman"/>
        <family val="1"/>
      </rPr>
      <t>40cm×40cm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</si>
  <si>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栽植费</t>
    </r>
  </si>
  <si>
    <r>
      <rPr>
        <sz val="10"/>
        <rFont val="宋体"/>
        <family val="0"/>
      </rPr>
      <t>乔木</t>
    </r>
  </si>
  <si>
    <r>
      <rPr>
        <sz val="10"/>
        <rFont val="宋体"/>
        <family val="0"/>
      </rPr>
      <t>株</t>
    </r>
  </si>
  <si>
    <r>
      <rPr>
        <sz val="10"/>
        <rFont val="宋体"/>
        <family val="0"/>
      </rPr>
      <t>樟子松</t>
    </r>
  </si>
  <si>
    <r>
      <rPr>
        <sz val="10"/>
        <rFont val="宋体"/>
        <family val="0"/>
      </rPr>
      <t>侧柏（</t>
    </r>
    <r>
      <rPr>
        <sz val="10"/>
        <rFont val="Times New Roman"/>
        <family val="1"/>
      </rPr>
      <t>H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2.1-2.5m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</si>
  <si>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垂柳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</si>
  <si>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新疆杨</t>
    </r>
  </si>
  <si>
    <r>
      <rPr>
        <sz val="10"/>
        <rFont val="宋体"/>
        <family val="0"/>
      </rPr>
      <t>河北杨（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4.1-5cm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</si>
  <si>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旱柳（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4.1-5cm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</si>
  <si>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国槐（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4.1-5cm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</si>
  <si>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刺槐</t>
    </r>
  </si>
  <si>
    <r>
      <rPr>
        <sz val="10"/>
        <rFont val="宋体"/>
        <family val="0"/>
      </rPr>
      <t>沙枣</t>
    </r>
  </si>
  <si>
    <r>
      <rPr>
        <sz val="10"/>
        <rFont val="宋体"/>
        <family val="0"/>
      </rPr>
      <t>丝棉木</t>
    </r>
  </si>
  <si>
    <r>
      <rPr>
        <sz val="10"/>
        <rFont val="宋体"/>
        <family val="0"/>
      </rPr>
      <t>榆树</t>
    </r>
  </si>
  <si>
    <r>
      <rPr>
        <sz val="10"/>
        <rFont val="宋体"/>
        <family val="0"/>
      </rPr>
      <t>柽鲁一号</t>
    </r>
  </si>
  <si>
    <r>
      <rPr>
        <sz val="10"/>
        <rFont val="宋体"/>
        <family val="0"/>
      </rPr>
      <t>山桃</t>
    </r>
  </si>
  <si>
    <r>
      <rPr>
        <sz val="10"/>
        <rFont val="宋体"/>
        <family val="0"/>
      </rPr>
      <t>山杏</t>
    </r>
  </si>
  <si>
    <r>
      <rPr>
        <sz val="10"/>
        <rFont val="宋体"/>
        <family val="0"/>
      </rPr>
      <t>灌木</t>
    </r>
  </si>
  <si>
    <r>
      <rPr>
        <sz val="10"/>
        <rFont val="宋体"/>
        <family val="0"/>
      </rPr>
      <t>重瓣黄刺玫</t>
    </r>
  </si>
  <si>
    <r>
      <rPr>
        <sz val="10"/>
        <rFont val="宋体"/>
        <family val="0"/>
      </rPr>
      <t>四季玫瑰</t>
    </r>
  </si>
  <si>
    <r>
      <rPr>
        <sz val="10"/>
        <rFont val="宋体"/>
        <family val="0"/>
      </rPr>
      <t>互叶醉鱼草</t>
    </r>
  </si>
  <si>
    <r>
      <rPr>
        <sz val="10"/>
        <rFont val="宋体"/>
        <family val="0"/>
      </rPr>
      <t>柽柳</t>
    </r>
  </si>
  <si>
    <r>
      <rPr>
        <sz val="10"/>
        <rFont val="宋体"/>
        <family val="0"/>
      </rPr>
      <t>紫穗槐</t>
    </r>
  </si>
  <si>
    <r>
      <rPr>
        <sz val="10"/>
        <rFont val="宋体"/>
        <family val="0"/>
      </rPr>
      <t>苗木费</t>
    </r>
  </si>
  <si>
    <r>
      <rPr>
        <sz val="9"/>
        <rFont val="宋体"/>
        <family val="0"/>
      </rPr>
      <t>抚育费</t>
    </r>
  </si>
  <si>
    <r>
      <rPr>
        <sz val="10"/>
        <rFont val="宋体"/>
        <family val="0"/>
      </rPr>
      <t>第一年</t>
    </r>
  </si>
  <si>
    <r>
      <rPr>
        <sz val="10"/>
        <rFont val="宋体"/>
        <family val="0"/>
      </rPr>
      <t>第二年</t>
    </r>
  </si>
  <si>
    <r>
      <rPr>
        <sz val="10"/>
        <rFont val="宋体"/>
        <family val="0"/>
      </rPr>
      <t>第三年</t>
    </r>
  </si>
  <si>
    <r>
      <rPr>
        <sz val="10"/>
        <rFont val="宋体"/>
        <family val="0"/>
      </rPr>
      <t>种植费</t>
    </r>
  </si>
  <si>
    <r>
      <rPr>
        <sz val="10"/>
        <rFont val="宋体"/>
        <family val="0"/>
      </rPr>
      <t>云杉</t>
    </r>
  </si>
  <si>
    <r>
      <rPr>
        <sz val="10"/>
        <rFont val="宋体"/>
        <family val="0"/>
      </rPr>
      <t>桧柏</t>
    </r>
  </si>
  <si>
    <r>
      <rPr>
        <sz val="10"/>
        <rFont val="宋体"/>
        <family val="0"/>
      </rPr>
      <t>油松</t>
    </r>
  </si>
  <si>
    <r>
      <rPr>
        <sz val="10"/>
        <rFont val="宋体"/>
        <family val="0"/>
      </rPr>
      <t>侧柏（</t>
    </r>
    <r>
      <rPr>
        <sz val="10"/>
        <rFont val="Times New Roman"/>
        <family val="1"/>
      </rPr>
      <t>H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2.51-3.0m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</si>
  <si>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河北杨（</t>
    </r>
    <r>
      <rPr>
        <sz val="10"/>
        <rFont val="Times New Roman"/>
        <family val="1"/>
      </rPr>
      <t>D:5.1-6cm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</si>
  <si>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旱柳（</t>
    </r>
    <r>
      <rPr>
        <sz val="10"/>
        <rFont val="Times New Roman"/>
        <family val="1"/>
      </rPr>
      <t>D:5.1-6cm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</si>
  <si>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金叶白蜡</t>
    </r>
  </si>
  <si>
    <r>
      <rPr>
        <sz val="10"/>
        <rFont val="宋体"/>
        <family val="0"/>
      </rPr>
      <t>国槐（</t>
    </r>
    <r>
      <rPr>
        <sz val="10"/>
        <rFont val="Times New Roman"/>
        <family val="1"/>
      </rPr>
      <t>D:5.1-6cm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</si>
  <si>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香花槐</t>
    </r>
  </si>
  <si>
    <r>
      <rPr>
        <sz val="10"/>
        <rFont val="宋体"/>
        <family val="0"/>
      </rPr>
      <t>金叶复叶槭</t>
    </r>
  </si>
  <si>
    <r>
      <rPr>
        <sz val="10"/>
        <rFont val="宋体"/>
        <family val="0"/>
      </rPr>
      <t>紫叶李</t>
    </r>
  </si>
  <si>
    <r>
      <rPr>
        <sz val="10"/>
        <rFont val="宋体"/>
        <family val="0"/>
      </rPr>
      <t>红宝石海棠</t>
    </r>
  </si>
  <si>
    <r>
      <rPr>
        <sz val="10"/>
        <rFont val="宋体"/>
        <family val="0"/>
      </rPr>
      <t>西府海棠</t>
    </r>
  </si>
  <si>
    <r>
      <rPr>
        <sz val="10"/>
        <rFont val="宋体"/>
        <family val="0"/>
      </rPr>
      <t>红叶碧桃</t>
    </r>
  </si>
  <si>
    <r>
      <rPr>
        <sz val="10"/>
        <rFont val="宋体"/>
        <family val="0"/>
      </rPr>
      <t>连翘</t>
    </r>
  </si>
  <si>
    <r>
      <rPr>
        <sz val="10"/>
        <rFont val="宋体"/>
        <family val="0"/>
      </rPr>
      <t>重瓣榆叶梅</t>
    </r>
  </si>
  <si>
    <r>
      <rPr>
        <sz val="10"/>
        <rFont val="宋体"/>
        <family val="0"/>
      </rPr>
      <t>紫丁香</t>
    </r>
  </si>
  <si>
    <r>
      <rPr>
        <sz val="10"/>
        <rFont val="宋体"/>
        <family val="0"/>
      </rPr>
      <t>珍珠梅</t>
    </r>
  </si>
  <si>
    <r>
      <rPr>
        <sz val="10"/>
        <rFont val="宋体"/>
        <family val="0"/>
      </rPr>
      <t>红瑞木</t>
    </r>
  </si>
  <si>
    <r>
      <rPr>
        <sz val="10"/>
        <rFont val="宋体"/>
        <family val="0"/>
      </rPr>
      <t>地被</t>
    </r>
  </si>
  <si>
    <r>
      <rPr>
        <sz val="10"/>
        <rFont val="宋体"/>
        <family val="0"/>
      </rPr>
      <t>马蔺</t>
    </r>
  </si>
  <si>
    <r>
      <rPr>
        <sz val="10"/>
        <rFont val="宋体"/>
        <family val="0"/>
      </rPr>
      <t>八宝景天</t>
    </r>
  </si>
  <si>
    <r>
      <rPr>
        <sz val="10"/>
        <rFont val="宋体"/>
        <family val="0"/>
      </rPr>
      <t>金娃娃萱草</t>
    </r>
  </si>
  <si>
    <r>
      <rPr>
        <sz val="10"/>
        <rFont val="宋体"/>
        <family val="0"/>
      </rPr>
      <t>鸢尾</t>
    </r>
  </si>
  <si>
    <r>
      <rPr>
        <sz val="10"/>
        <rFont val="宋体"/>
        <family val="0"/>
      </rPr>
      <t>地被菊</t>
    </r>
  </si>
  <si>
    <r>
      <rPr>
        <sz val="10"/>
        <rFont val="宋体"/>
        <family val="0"/>
      </rPr>
      <t>百日草</t>
    </r>
  </si>
  <si>
    <r>
      <rPr>
        <sz val="10"/>
        <rFont val="宋体"/>
        <family val="0"/>
      </rPr>
      <t>沙地柏</t>
    </r>
  </si>
  <si>
    <r>
      <rPr>
        <sz val="10"/>
        <rFont val="宋体"/>
        <family val="0"/>
      </rPr>
      <t>千屈菜</t>
    </r>
  </si>
  <si>
    <r>
      <rPr>
        <sz val="10"/>
        <rFont val="宋体"/>
        <family val="0"/>
      </rPr>
      <t>挺水植物</t>
    </r>
  </si>
  <si>
    <r>
      <rPr>
        <sz val="10"/>
        <rFont val="宋体"/>
        <family val="0"/>
      </rPr>
      <t>黄菖蒲</t>
    </r>
  </si>
  <si>
    <r>
      <rPr>
        <sz val="10"/>
        <rFont val="宋体"/>
        <family val="0"/>
      </rPr>
      <t>芦苇</t>
    </r>
  </si>
  <si>
    <r>
      <rPr>
        <sz val="10"/>
        <rFont val="宋体"/>
        <family val="0"/>
      </rPr>
      <t>荷花</t>
    </r>
  </si>
  <si>
    <t>绿化补植</t>
  </si>
  <si>
    <r>
      <t>表</t>
    </r>
    <r>
      <rPr>
        <sz val="12"/>
        <rFont val="Times New Roman"/>
        <family val="1"/>
      </rPr>
      <t xml:space="preserve">10-7                    </t>
    </r>
    <r>
      <rPr>
        <sz val="12"/>
        <rFont val="黑体"/>
        <family val="3"/>
      </rPr>
      <t>建设期独立费用计算表</t>
    </r>
  </si>
  <si>
    <t>费用名称</t>
  </si>
  <si>
    <t>计费基础</t>
  </si>
  <si>
    <t>费率</t>
  </si>
  <si>
    <t>投资（万元）</t>
  </si>
  <si>
    <t>工程措施、植物措施两项之和</t>
  </si>
  <si>
    <t>三</t>
  </si>
  <si>
    <t>占地类型</t>
  </si>
  <si>
    <r>
      <t>面积（hm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）</t>
    </r>
  </si>
  <si>
    <r>
      <t>补偿标准（万元/hm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）</t>
    </r>
  </si>
  <si>
    <t>合价（万元）</t>
  </si>
  <si>
    <t>荒草地和公共设施用地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</si>
  <si>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</si>
  <si>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定额号</t>
    </r>
  </si>
  <si>
    <r>
      <rPr>
        <sz val="10"/>
        <rFont val="宋体"/>
        <family val="0"/>
      </rPr>
      <t>工程名称</t>
    </r>
  </si>
  <si>
    <r>
      <rPr>
        <sz val="10"/>
        <rFont val="宋体"/>
        <family val="0"/>
      </rPr>
      <t>单位</t>
    </r>
  </si>
  <si>
    <r>
      <rPr>
        <sz val="10"/>
        <rFont val="宋体"/>
        <family val="0"/>
      </rPr>
      <t>单价</t>
    </r>
  </si>
  <si>
    <r>
      <rPr>
        <sz val="10"/>
        <rFont val="宋体"/>
        <family val="0"/>
      </rPr>
      <t>其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>中</t>
    </r>
  </si>
  <si>
    <r>
      <rPr>
        <sz val="10"/>
        <rFont val="宋体"/>
        <family val="0"/>
      </rPr>
      <t>人工费</t>
    </r>
  </si>
  <si>
    <r>
      <rPr>
        <sz val="10"/>
        <rFont val="宋体"/>
        <family val="0"/>
      </rPr>
      <t>材料费</t>
    </r>
  </si>
  <si>
    <r>
      <rPr>
        <sz val="10"/>
        <rFont val="宋体"/>
        <family val="0"/>
      </rPr>
      <t>机械使用费</t>
    </r>
  </si>
  <si>
    <r>
      <rPr>
        <sz val="10"/>
        <rFont val="宋体"/>
        <family val="0"/>
      </rPr>
      <t>其他直接费</t>
    </r>
  </si>
  <si>
    <r>
      <rPr>
        <sz val="10"/>
        <rFont val="宋体"/>
        <family val="0"/>
      </rPr>
      <t>现场经费</t>
    </r>
  </si>
  <si>
    <r>
      <rPr>
        <sz val="10"/>
        <rFont val="宋体"/>
        <family val="0"/>
      </rPr>
      <t>间接费</t>
    </r>
  </si>
  <si>
    <r>
      <rPr>
        <sz val="10"/>
        <rFont val="宋体"/>
        <family val="0"/>
      </rPr>
      <t>企业利润</t>
    </r>
  </si>
  <si>
    <r>
      <rPr>
        <sz val="10"/>
        <rFont val="宋体"/>
        <family val="0"/>
      </rPr>
      <t>税金</t>
    </r>
  </si>
  <si>
    <t>08045</t>
  </si>
  <si>
    <r>
      <rPr>
        <sz val="10"/>
        <rFont val="宋体"/>
        <family val="0"/>
      </rPr>
      <t>土地整地</t>
    </r>
  </si>
  <si>
    <t>01005</t>
  </si>
  <si>
    <r>
      <t>100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</si>
  <si>
    <t>08087</t>
  </si>
  <si>
    <t>栽植樟子松</t>
  </si>
  <si>
    <r>
      <t>100</t>
    </r>
    <r>
      <rPr>
        <sz val="10"/>
        <rFont val="宋体"/>
        <family val="0"/>
      </rPr>
      <t>株</t>
    </r>
  </si>
  <si>
    <r>
      <t>栽植侧柏（</t>
    </r>
    <r>
      <rPr>
        <sz val="10"/>
        <rFont val="Times New Roman"/>
        <family val="1"/>
      </rPr>
      <t>H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2.1-2.5m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</si>
  <si>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栽植垂柳</t>
    </r>
  </si>
  <si>
    <t>08086</t>
  </si>
  <si>
    <r>
      <rPr>
        <sz val="10"/>
        <rFont val="宋体"/>
        <family val="0"/>
      </rPr>
      <t>栽植新疆杨</t>
    </r>
  </si>
  <si>
    <r>
      <rPr>
        <sz val="10"/>
        <rFont val="宋体"/>
        <family val="0"/>
      </rPr>
      <t>栽植河北杨（</t>
    </r>
    <r>
      <rPr>
        <sz val="10"/>
        <rFont val="Times New Roman"/>
        <family val="1"/>
      </rPr>
      <t>D:4.1-5cm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</si>
  <si>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栽植旱柳（</t>
    </r>
    <r>
      <rPr>
        <sz val="10"/>
        <rFont val="Times New Roman"/>
        <family val="1"/>
      </rPr>
      <t>D:4.1-5cm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</si>
  <si>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栽植国槐（</t>
    </r>
    <r>
      <rPr>
        <sz val="10"/>
        <rFont val="Times New Roman"/>
        <family val="1"/>
      </rPr>
      <t>D:4.1-5cm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</si>
  <si>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栽植刺槐</t>
    </r>
  </si>
  <si>
    <r>
      <rPr>
        <sz val="10"/>
        <rFont val="宋体"/>
        <family val="0"/>
      </rPr>
      <t>栽植沙枣</t>
    </r>
  </si>
  <si>
    <r>
      <rPr>
        <sz val="10"/>
        <rFont val="宋体"/>
        <family val="0"/>
      </rPr>
      <t>栽植丝棉木</t>
    </r>
  </si>
  <si>
    <r>
      <rPr>
        <sz val="10"/>
        <rFont val="宋体"/>
        <family val="0"/>
      </rPr>
      <t>栽植榆树</t>
    </r>
  </si>
  <si>
    <r>
      <rPr>
        <sz val="10"/>
        <rFont val="宋体"/>
        <family val="0"/>
      </rPr>
      <t>栽植柽鲁一号</t>
    </r>
  </si>
  <si>
    <r>
      <rPr>
        <sz val="10"/>
        <rFont val="宋体"/>
        <family val="0"/>
      </rPr>
      <t>栽植山桃</t>
    </r>
  </si>
  <si>
    <r>
      <rPr>
        <sz val="10"/>
        <rFont val="宋体"/>
        <family val="0"/>
      </rPr>
      <t>栽植山杏</t>
    </r>
  </si>
  <si>
    <r>
      <rPr>
        <sz val="10"/>
        <rFont val="宋体"/>
        <family val="0"/>
      </rPr>
      <t>栽植云杉</t>
    </r>
  </si>
  <si>
    <r>
      <rPr>
        <sz val="10"/>
        <rFont val="宋体"/>
        <family val="0"/>
      </rPr>
      <t>栽植桧柏</t>
    </r>
  </si>
  <si>
    <r>
      <rPr>
        <sz val="10"/>
        <rFont val="宋体"/>
        <family val="0"/>
      </rPr>
      <t>栽植油松</t>
    </r>
  </si>
  <si>
    <r>
      <rPr>
        <sz val="10"/>
        <rFont val="宋体"/>
        <family val="0"/>
      </rPr>
      <t>栽植侧柏（</t>
    </r>
    <r>
      <rPr>
        <sz val="10"/>
        <rFont val="Times New Roman"/>
        <family val="1"/>
      </rPr>
      <t>H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2.51-3.0m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</si>
  <si>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栽植河北杨（</t>
    </r>
    <r>
      <rPr>
        <sz val="10"/>
        <rFont val="Times New Roman"/>
        <family val="1"/>
      </rPr>
      <t>D:5.1-6cm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</si>
  <si>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栽植旱柳（</t>
    </r>
    <r>
      <rPr>
        <sz val="10"/>
        <rFont val="Times New Roman"/>
        <family val="1"/>
      </rPr>
      <t>D:5.1-6cm</t>
    </r>
    <r>
      <rPr>
        <sz val="10"/>
        <rFont val="宋体"/>
        <family val="0"/>
      </rPr>
      <t>）</t>
    </r>
  </si>
  <si>
    <r>
      <t xml:space="preserve"> </t>
    </r>
    <r>
      <rPr>
        <sz val="10"/>
        <rFont val="宋体"/>
        <family val="0"/>
      </rPr>
      <t>栽植金叶白蜡</t>
    </r>
  </si>
  <si>
    <r>
      <rPr>
        <sz val="10"/>
        <rFont val="宋体"/>
        <family val="0"/>
      </rPr>
      <t>栽植国槐（</t>
    </r>
    <r>
      <rPr>
        <sz val="10"/>
        <rFont val="Times New Roman"/>
        <family val="1"/>
      </rPr>
      <t>D:5.1-6cm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</si>
  <si>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栽植香花槐</t>
    </r>
  </si>
  <si>
    <r>
      <rPr>
        <sz val="10"/>
        <rFont val="宋体"/>
        <family val="0"/>
      </rPr>
      <t>栽植金叶复叶槭</t>
    </r>
  </si>
  <si>
    <r>
      <rPr>
        <sz val="10"/>
        <rFont val="宋体"/>
        <family val="0"/>
      </rPr>
      <t>栽植紫叶李</t>
    </r>
  </si>
  <si>
    <r>
      <rPr>
        <sz val="10"/>
        <rFont val="宋体"/>
        <family val="0"/>
      </rPr>
      <t>栽植红宝石海棠</t>
    </r>
  </si>
  <si>
    <r>
      <rPr>
        <sz val="10"/>
        <rFont val="宋体"/>
        <family val="0"/>
      </rPr>
      <t>栽植西府海棠</t>
    </r>
  </si>
  <si>
    <r>
      <rPr>
        <sz val="10"/>
        <rFont val="宋体"/>
        <family val="0"/>
      </rPr>
      <t>栽植红叶碧桃</t>
    </r>
  </si>
  <si>
    <t>08093</t>
  </si>
  <si>
    <t>栽植重瓣黄刺玫</t>
  </si>
  <si>
    <r>
      <rPr>
        <sz val="10"/>
        <rFont val="宋体"/>
        <family val="0"/>
      </rPr>
      <t>栽植四季玫瑰</t>
    </r>
  </si>
  <si>
    <r>
      <rPr>
        <sz val="10"/>
        <rFont val="宋体"/>
        <family val="0"/>
      </rPr>
      <t>栽植互叶醉鱼木</t>
    </r>
  </si>
  <si>
    <r>
      <rPr>
        <sz val="10"/>
        <rFont val="宋体"/>
        <family val="0"/>
      </rPr>
      <t>栽植柽柳</t>
    </r>
  </si>
  <si>
    <r>
      <rPr>
        <sz val="10"/>
        <rFont val="宋体"/>
        <family val="0"/>
      </rPr>
      <t>栽植紫穗槐</t>
    </r>
  </si>
  <si>
    <r>
      <rPr>
        <sz val="10"/>
        <rFont val="宋体"/>
        <family val="0"/>
      </rPr>
      <t>栽植连翘</t>
    </r>
  </si>
  <si>
    <r>
      <rPr>
        <sz val="10"/>
        <rFont val="宋体"/>
        <family val="0"/>
      </rPr>
      <t>栽植重瓣榆叶梅</t>
    </r>
  </si>
  <si>
    <r>
      <rPr>
        <sz val="10"/>
        <rFont val="宋体"/>
        <family val="0"/>
      </rPr>
      <t>栽植紫丁香</t>
    </r>
  </si>
  <si>
    <r>
      <rPr>
        <sz val="10"/>
        <rFont val="宋体"/>
        <family val="0"/>
      </rPr>
      <t>栽植珍珠梅</t>
    </r>
  </si>
  <si>
    <r>
      <rPr>
        <sz val="10"/>
        <rFont val="宋体"/>
        <family val="0"/>
      </rPr>
      <t>栽植红瑞木</t>
    </r>
  </si>
  <si>
    <r>
      <rPr>
        <sz val="10"/>
        <rFont val="宋体"/>
        <family val="0"/>
      </rPr>
      <t>栽植马蔺</t>
    </r>
  </si>
  <si>
    <r>
      <rPr>
        <sz val="10"/>
        <rFont val="宋体"/>
        <family val="0"/>
      </rPr>
      <t>栽植金娃娃萱草</t>
    </r>
  </si>
  <si>
    <r>
      <rPr>
        <sz val="10"/>
        <rFont val="宋体"/>
        <family val="0"/>
      </rPr>
      <t>栽植沙地柏</t>
    </r>
  </si>
  <si>
    <r>
      <rPr>
        <sz val="10"/>
        <rFont val="宋体"/>
        <family val="0"/>
      </rPr>
      <t>栽植鸢尾</t>
    </r>
  </si>
  <si>
    <r>
      <rPr>
        <sz val="10"/>
        <rFont val="宋体"/>
        <family val="0"/>
      </rPr>
      <t>栽植千屈菜</t>
    </r>
  </si>
  <si>
    <r>
      <rPr>
        <sz val="10"/>
        <rFont val="宋体"/>
        <family val="0"/>
      </rPr>
      <t>栽植黄菖蒲</t>
    </r>
  </si>
  <si>
    <r>
      <rPr>
        <sz val="10"/>
        <rFont val="宋体"/>
        <family val="0"/>
      </rPr>
      <t>栽植芦苇</t>
    </r>
  </si>
  <si>
    <r>
      <rPr>
        <sz val="10"/>
        <rFont val="宋体"/>
        <family val="0"/>
      </rPr>
      <t>栽植荷花</t>
    </r>
  </si>
  <si>
    <r>
      <rPr>
        <sz val="10"/>
        <rFont val="宋体"/>
        <family val="0"/>
      </rPr>
      <t>栽植地被菊</t>
    </r>
  </si>
  <si>
    <r>
      <rPr>
        <sz val="10"/>
        <rFont val="宋体"/>
        <family val="0"/>
      </rPr>
      <t>栽植百日草</t>
    </r>
  </si>
  <si>
    <t>栽植八宝景天</t>
  </si>
  <si>
    <t>08136</t>
  </si>
  <si>
    <r>
      <rPr>
        <sz val="10"/>
        <rFont val="宋体"/>
        <family val="0"/>
      </rPr>
      <t>幼林抚育第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</si>
  <si>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每公顷年</t>
    </r>
  </si>
  <si>
    <t>08137</t>
  </si>
  <si>
    <r>
      <rPr>
        <sz val="10"/>
        <rFont val="宋体"/>
        <family val="0"/>
      </rPr>
      <t>幼林抚育第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</si>
  <si>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08138</t>
  </si>
  <si>
    <r>
      <rPr>
        <sz val="10"/>
        <rFont val="宋体"/>
        <family val="0"/>
      </rPr>
      <t>幼林抚育第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</t>
    </r>
  </si>
  <si>
    <t>08029</t>
  </si>
  <si>
    <r>
      <rPr>
        <sz val="10"/>
        <rFont val="宋体"/>
        <family val="0"/>
      </rPr>
      <t>穴状整地（</t>
    </r>
    <r>
      <rPr>
        <sz val="10"/>
        <rFont val="Times New Roman"/>
        <family val="1"/>
      </rPr>
      <t>60cm*60cm</t>
    </r>
    <r>
      <rPr>
        <sz val="10"/>
        <rFont val="宋体"/>
        <family val="0"/>
      </rPr>
      <t>）</t>
    </r>
  </si>
  <si>
    <r>
      <t>100</t>
    </r>
    <r>
      <rPr>
        <sz val="10"/>
        <rFont val="宋体"/>
        <family val="0"/>
      </rPr>
      <t>个</t>
    </r>
  </si>
  <si>
    <t>08027</t>
  </si>
  <si>
    <r>
      <rPr>
        <sz val="10"/>
        <rFont val="宋体"/>
        <family val="0"/>
      </rPr>
      <t>穴状整地（</t>
    </r>
    <r>
      <rPr>
        <sz val="10"/>
        <rFont val="Times New Roman"/>
        <family val="1"/>
      </rPr>
      <t>40cm*40cm</t>
    </r>
    <r>
      <rPr>
        <sz val="10"/>
        <rFont val="宋体"/>
        <family val="0"/>
      </rPr>
      <t>）</t>
    </r>
  </si>
  <si>
    <r>
      <t>水利</t>
    </r>
    <r>
      <rPr>
        <sz val="10"/>
        <rFont val="Times New Roman"/>
        <family val="1"/>
      </rPr>
      <t>10767</t>
    </r>
  </si>
  <si>
    <r>
      <t>100m</t>
    </r>
    <r>
      <rPr>
        <vertAlign val="superscript"/>
        <sz val="10"/>
        <rFont val="Times New Roman"/>
        <family val="1"/>
      </rPr>
      <t>3</t>
    </r>
  </si>
  <si>
    <t>01192</t>
  </si>
  <si>
    <t>01294</t>
  </si>
  <si>
    <t>04068</t>
  </si>
  <si>
    <t>钢筋制安</t>
  </si>
  <si>
    <t>附表1 土地整治</t>
  </si>
  <si>
    <t>定额编号：08045</t>
  </si>
  <si>
    <r>
      <t>定额单位：</t>
    </r>
    <r>
      <rPr>
        <sz val="10"/>
        <rFont val="Times New Roman"/>
        <family val="1"/>
      </rPr>
      <t>hm</t>
    </r>
    <r>
      <rPr>
        <vertAlign val="superscript"/>
        <sz val="10"/>
        <rFont val="Times New Roman"/>
        <family val="1"/>
      </rPr>
      <t>2</t>
    </r>
  </si>
  <si>
    <t>工作内容：拖拉机牵引铧犁上下翻土、人工打格挡</t>
  </si>
  <si>
    <t>编号</t>
  </si>
  <si>
    <t>名称及规格</t>
  </si>
  <si>
    <t>单位</t>
  </si>
  <si>
    <t>数量</t>
  </si>
  <si>
    <t>单价（元）</t>
  </si>
  <si>
    <t>合计（元）</t>
  </si>
  <si>
    <t>直接工程费</t>
  </si>
  <si>
    <t>直接费</t>
  </si>
  <si>
    <t>1</t>
  </si>
  <si>
    <t>人工费</t>
  </si>
  <si>
    <t>工时</t>
  </si>
  <si>
    <t>2</t>
  </si>
  <si>
    <t>材料费</t>
  </si>
  <si>
    <t>农家土杂肥</t>
  </si>
  <si>
    <t>零星材料费</t>
  </si>
  <si>
    <t>3</t>
  </si>
  <si>
    <t>机械费</t>
  </si>
  <si>
    <t>拖拉机37kW</t>
  </si>
  <si>
    <t>台时</t>
  </si>
  <si>
    <t>其他直接费</t>
  </si>
  <si>
    <t>现场经费</t>
  </si>
  <si>
    <t>间接费</t>
  </si>
  <si>
    <t>企业利润</t>
  </si>
  <si>
    <t>四</t>
  </si>
  <si>
    <t>税金</t>
  </si>
  <si>
    <r>
      <t>工程单价</t>
    </r>
    <r>
      <rPr>
        <sz val="10"/>
        <rFont val="Times New Roman"/>
        <family val="1"/>
      </rPr>
      <t xml:space="preserve"> </t>
    </r>
  </si>
  <si>
    <t>附表2 微地形整理</t>
  </si>
  <si>
    <t>定额编号：01046</t>
  </si>
  <si>
    <r>
      <t>定额单位：100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</si>
  <si>
    <t>工作内容：推土机平整场地</t>
  </si>
  <si>
    <t>推土机 74kw</t>
  </si>
  <si>
    <t>附表2 栽植樟子松</t>
  </si>
  <si>
    <r>
      <t>定额编号：</t>
    </r>
    <r>
      <rPr>
        <sz val="10"/>
        <rFont val="Times New Roman"/>
        <family val="1"/>
      </rPr>
      <t>08087</t>
    </r>
  </si>
  <si>
    <r>
      <t>定额单位：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株</t>
    </r>
  </si>
  <si>
    <t>工作内容：挖坑、栽植、浇水、覆土保墒、清理</t>
  </si>
  <si>
    <t>规格及名称</t>
  </si>
  <si>
    <t>合价（元）</t>
  </si>
  <si>
    <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</si>
  <si>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樟子松</t>
  </si>
  <si>
    <t>株</t>
  </si>
  <si>
    <t>水</t>
  </si>
  <si>
    <t>其它材料费</t>
  </si>
  <si>
    <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</si>
  <si>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</si>
  <si>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工程单价</t>
  </si>
  <si>
    <t>附表3 栽植侧柏（H：2.1-2.5m）</t>
  </si>
  <si>
    <t>侧柏
（H：2.1-2.5m）</t>
  </si>
  <si>
    <t>附表4 栽植垂柳</t>
  </si>
  <si>
    <t>垂柳</t>
  </si>
  <si>
    <t>附表5 栽植新疆杨</t>
  </si>
  <si>
    <r>
      <t>定额编号：</t>
    </r>
    <r>
      <rPr>
        <sz val="10"/>
        <rFont val="Times New Roman"/>
        <family val="1"/>
      </rPr>
      <t>08086</t>
    </r>
  </si>
  <si>
    <t>新疆杨</t>
  </si>
  <si>
    <t>附表6 栽植河北杨（D:4.1-5cm）</t>
  </si>
  <si>
    <t>河北杨（D:4.1-5cm）</t>
  </si>
  <si>
    <t>附表7 栽植旱柳（D:4.1-5cm）</t>
  </si>
  <si>
    <t>旱柳（D:4.1-5cm）</t>
  </si>
  <si>
    <t>附表8 栽植国槐（D:4.1-5cm）</t>
  </si>
  <si>
    <t>国槐</t>
  </si>
  <si>
    <t>附表9 栽植刺槐</t>
  </si>
  <si>
    <t>刺槐</t>
  </si>
  <si>
    <t>附表10 栽植沙枣</t>
  </si>
  <si>
    <t>沙枣</t>
  </si>
  <si>
    <t>附表11 栽植丝棉木</t>
  </si>
  <si>
    <t>丝棉木</t>
  </si>
  <si>
    <t>附表12 栽植榆树</t>
  </si>
  <si>
    <t>榆树</t>
  </si>
  <si>
    <t>附表13 栽植柽鲁一号</t>
  </si>
  <si>
    <t>柽鲁一号</t>
  </si>
  <si>
    <t>附表14 栽植山桃</t>
  </si>
  <si>
    <t>山桃</t>
  </si>
  <si>
    <t>附表15 栽植山杏</t>
  </si>
  <si>
    <t>山杏</t>
  </si>
  <si>
    <t>附表16 栽植云杉</t>
  </si>
  <si>
    <t>云杉</t>
  </si>
  <si>
    <t>附表17 栽植桧柏</t>
  </si>
  <si>
    <t>桧柏</t>
  </si>
  <si>
    <t>附表18 栽植油松</t>
  </si>
  <si>
    <t>油松</t>
  </si>
  <si>
    <t>附表19 栽植侧柏（H：2.51-3.0m）</t>
  </si>
  <si>
    <t>侧柏（H：2.51-3.0m）</t>
  </si>
  <si>
    <t>附表20 栽植河北杨（D:5.1-6cm）</t>
  </si>
  <si>
    <t>河北杨（D:5.1-6cm）</t>
  </si>
  <si>
    <t>附表21 栽植旱柳（D:5.1-6cm）</t>
  </si>
  <si>
    <t>旱柳（D:5.1-6cm）</t>
  </si>
  <si>
    <t>附表22 栽植金叶白蜡</t>
  </si>
  <si>
    <t>金叶白蜡</t>
  </si>
  <si>
    <t>附表23 栽植国槐（D:5.1-6cm）</t>
  </si>
  <si>
    <t>国槐（D:5.1-6cm）</t>
  </si>
  <si>
    <t>附表24 栽植香花槐</t>
  </si>
  <si>
    <t>香花槐</t>
  </si>
  <si>
    <t>附表25 栽植金叶复叶槭</t>
  </si>
  <si>
    <t>金叶复叶槭</t>
  </si>
  <si>
    <t>附表26 栽植紫叶李</t>
  </si>
  <si>
    <t>紫叶李</t>
  </si>
  <si>
    <t>附表27 栽植红宝石海棠</t>
  </si>
  <si>
    <t>红宝石海棠</t>
  </si>
  <si>
    <t>附表28 栽植西府海棠</t>
  </si>
  <si>
    <t>西府海棠</t>
  </si>
  <si>
    <t>附表29 栽植红叶碧桃</t>
  </si>
  <si>
    <t>红叶碧桃</t>
  </si>
  <si>
    <t>附表30 栽植黄刺玫</t>
  </si>
  <si>
    <t>定额编号：08093</t>
  </si>
  <si>
    <t>黄刺玫</t>
  </si>
  <si>
    <t>附表31 栽植四季玫瑰</t>
  </si>
  <si>
    <t>四季玫瑰</t>
  </si>
  <si>
    <t>附表32 栽植互叶醉鱼木</t>
  </si>
  <si>
    <t>互叶醉鱼木</t>
  </si>
  <si>
    <t>附表33 栽植柽柳</t>
  </si>
  <si>
    <t>柽柳</t>
  </si>
  <si>
    <t>附表34 栽植紫穗槐</t>
  </si>
  <si>
    <t>紫穗槐</t>
  </si>
  <si>
    <t>附表35 栽植连翘</t>
  </si>
  <si>
    <t>连翘</t>
  </si>
  <si>
    <t>附表36 栽植重瓣榆叶梅</t>
  </si>
  <si>
    <t>重瓣榆叶梅</t>
  </si>
  <si>
    <t>附表37 栽植紫丁香</t>
  </si>
  <si>
    <t>紫丁香</t>
  </si>
  <si>
    <t>附表38 栽植珍珠梅</t>
  </si>
  <si>
    <t>珍珠梅</t>
  </si>
  <si>
    <t>附表39 栽植红瑞木</t>
  </si>
  <si>
    <t>红瑞木</t>
  </si>
  <si>
    <t>附表40 栽植马蔺</t>
  </si>
  <si>
    <t>定额编号：08132</t>
  </si>
  <si>
    <r>
      <t>定额单位：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m</t>
    </r>
    <r>
      <rPr>
        <vertAlign val="superscript"/>
        <sz val="10"/>
        <rFont val="宋体"/>
        <family val="0"/>
      </rPr>
      <t>2</t>
    </r>
  </si>
  <si>
    <t>马蔺</t>
  </si>
  <si>
    <t>有机肥</t>
  </si>
  <si>
    <t>附表41 栽植金娃娃萱草</t>
  </si>
  <si>
    <t>金娃娃萱草</t>
  </si>
  <si>
    <t>附表42 栽植沙地柏</t>
  </si>
  <si>
    <t>沙地柏</t>
  </si>
  <si>
    <t>附表43 栽植鸢尾</t>
  </si>
  <si>
    <t>鸢尾</t>
  </si>
  <si>
    <t>附表44 栽植千屈菜</t>
  </si>
  <si>
    <t>千屈菜</t>
  </si>
  <si>
    <t>附表45 栽植黄菖蒲</t>
  </si>
  <si>
    <t>黄菖蒲</t>
  </si>
  <si>
    <t>附表46 栽植芦苇</t>
  </si>
  <si>
    <t>芦苇</t>
  </si>
  <si>
    <t>附表47 栽植荷花</t>
  </si>
  <si>
    <t>荷花</t>
  </si>
  <si>
    <t>附表48 栽植地被菊</t>
  </si>
  <si>
    <t>地被菊</t>
  </si>
  <si>
    <t>附表49 栽植百日草</t>
  </si>
  <si>
    <t>百日草</t>
  </si>
  <si>
    <t>附表50 栽植八宝景天</t>
  </si>
  <si>
    <t>八宝景天</t>
  </si>
  <si>
    <r>
      <t>附表51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幼林抚育第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</t>
    </r>
  </si>
  <si>
    <r>
      <t>定额编号：</t>
    </r>
    <r>
      <rPr>
        <sz val="10"/>
        <rFont val="Times New Roman"/>
        <family val="1"/>
      </rPr>
      <t xml:space="preserve">08136                 </t>
    </r>
  </si>
  <si>
    <t>定额单位：每公顷年</t>
  </si>
  <si>
    <t>工作内容：松土、除草、培垄、定株、修枝、施肥、浇水、喷药等抚育工作</t>
  </si>
  <si>
    <t>工程名称</t>
  </si>
  <si>
    <t xml:space="preserve">  </t>
  </si>
  <si>
    <t>人工</t>
  </si>
  <si>
    <r>
      <t xml:space="preserve">附表52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幼林抚育第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年</t>
    </r>
  </si>
  <si>
    <r>
      <t>定额编号：</t>
    </r>
    <r>
      <rPr>
        <sz val="10"/>
        <rFont val="Times New Roman"/>
        <family val="1"/>
      </rPr>
      <t xml:space="preserve">08137                        </t>
    </r>
  </si>
  <si>
    <r>
      <t xml:space="preserve">附表53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幼林抚育第3年</t>
    </r>
  </si>
  <si>
    <r>
      <t>定额编号：</t>
    </r>
    <r>
      <rPr>
        <sz val="10"/>
        <rFont val="Times New Roman"/>
        <family val="1"/>
      </rPr>
      <t xml:space="preserve">08138                      </t>
    </r>
  </si>
  <si>
    <t>附表54 穴状整地（规格60cm（穴径）×60cm（深））</t>
  </si>
  <si>
    <r>
      <t>定额编号：</t>
    </r>
    <r>
      <rPr>
        <sz val="10"/>
        <rFont val="Times New Roman"/>
        <family val="1"/>
      </rPr>
      <t>08029</t>
    </r>
  </si>
  <si>
    <r>
      <t>定额单位：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个</t>
    </r>
  </si>
  <si>
    <t>工作内容：人工挖土、翻土、碎土。</t>
  </si>
  <si>
    <t>附表55 穴状整地（规格40cm（穴径）×40cm（深））</t>
  </si>
  <si>
    <r>
      <t>定额编号：</t>
    </r>
    <r>
      <rPr>
        <sz val="10"/>
        <rFont val="Times New Roman"/>
        <family val="1"/>
      </rPr>
      <t>08027</t>
    </r>
  </si>
  <si>
    <t>附表56 土方开挖</t>
  </si>
  <si>
    <t>定额编号：01192</t>
  </si>
  <si>
    <r>
      <t>定额单位：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自然方</t>
    </r>
  </si>
  <si>
    <t>工作内容：挖掘机挖土，土类级别 Ⅰ～Ⅱ。</t>
  </si>
  <si>
    <r>
      <t>油动挖掘机0.5m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</t>
    </r>
  </si>
  <si>
    <t>附表57 土方回填</t>
  </si>
  <si>
    <r>
      <t>定额编号：</t>
    </r>
    <r>
      <rPr>
        <sz val="10"/>
        <rFont val="Times New Roman"/>
        <family val="1"/>
      </rPr>
      <t>01192</t>
    </r>
  </si>
  <si>
    <r>
      <rPr>
        <sz val="10"/>
        <rFont val="宋体"/>
        <family val="0"/>
      </rPr>
      <t>定额单位：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自然方</t>
    </r>
  </si>
  <si>
    <t>工作内容：人工填土，蛙式夯实机夯实。</t>
  </si>
  <si>
    <r>
      <rPr>
        <b/>
        <sz val="10"/>
        <rFont val="宋体"/>
        <family val="0"/>
      </rPr>
      <t>编号</t>
    </r>
  </si>
  <si>
    <r>
      <rPr>
        <b/>
        <sz val="10"/>
        <rFont val="宋体"/>
        <family val="0"/>
      </rPr>
      <t>名称及规格</t>
    </r>
  </si>
  <si>
    <r>
      <rPr>
        <b/>
        <sz val="10"/>
        <rFont val="宋体"/>
        <family val="0"/>
      </rPr>
      <t>数量</t>
    </r>
  </si>
  <si>
    <r>
      <rPr>
        <b/>
        <sz val="10"/>
        <rFont val="宋体"/>
        <family val="0"/>
      </rPr>
      <t>单价（元）</t>
    </r>
  </si>
  <si>
    <r>
      <rPr>
        <b/>
        <sz val="10"/>
        <rFont val="宋体"/>
        <family val="0"/>
      </rPr>
      <t>合计（元）</t>
    </r>
  </si>
  <si>
    <r>
      <rPr>
        <sz val="10"/>
        <rFont val="宋体"/>
        <family val="0"/>
      </rPr>
      <t>一</t>
    </r>
  </si>
  <si>
    <r>
      <rPr>
        <sz val="10"/>
        <rFont val="宋体"/>
        <family val="0"/>
      </rPr>
      <t>直接工程费</t>
    </r>
  </si>
  <si>
    <r>
      <rPr>
        <sz val="10"/>
        <rFont val="宋体"/>
        <family val="0"/>
      </rPr>
      <t>（一）</t>
    </r>
  </si>
  <si>
    <r>
      <rPr>
        <sz val="10"/>
        <rFont val="宋体"/>
        <family val="0"/>
      </rPr>
      <t>直接费</t>
    </r>
  </si>
  <si>
    <r>
      <rPr>
        <sz val="10"/>
        <rFont val="宋体"/>
        <family val="0"/>
      </rPr>
      <t>工时</t>
    </r>
  </si>
  <si>
    <r>
      <rPr>
        <sz val="10"/>
        <rFont val="宋体"/>
        <family val="0"/>
      </rPr>
      <t>零星材料费</t>
    </r>
  </si>
  <si>
    <r>
      <rPr>
        <sz val="10"/>
        <rFont val="宋体"/>
        <family val="0"/>
      </rPr>
      <t>机械费</t>
    </r>
  </si>
  <si>
    <r>
      <rPr>
        <sz val="10"/>
        <rFont val="宋体"/>
        <family val="0"/>
      </rPr>
      <t>蛙式夯实机</t>
    </r>
    <r>
      <rPr>
        <sz val="10"/>
        <rFont val="Times New Roman"/>
        <family val="1"/>
      </rPr>
      <t xml:space="preserve"> 2.8kW</t>
    </r>
  </si>
  <si>
    <r>
      <rPr>
        <sz val="10"/>
        <rFont val="宋体"/>
        <family val="0"/>
      </rPr>
      <t>台时</t>
    </r>
  </si>
  <si>
    <r>
      <rPr>
        <sz val="10"/>
        <rFont val="宋体"/>
        <family val="0"/>
      </rPr>
      <t>（二）</t>
    </r>
  </si>
  <si>
    <r>
      <rPr>
        <sz val="10"/>
        <rFont val="宋体"/>
        <family val="0"/>
      </rPr>
      <t>（三）</t>
    </r>
  </si>
  <si>
    <r>
      <rPr>
        <sz val="10"/>
        <rFont val="宋体"/>
        <family val="0"/>
      </rPr>
      <t>二</t>
    </r>
  </si>
  <si>
    <r>
      <rPr>
        <sz val="10"/>
        <rFont val="宋体"/>
        <family val="0"/>
      </rPr>
      <t>三</t>
    </r>
  </si>
  <si>
    <r>
      <rPr>
        <sz val="10"/>
        <rFont val="宋体"/>
        <family val="0"/>
      </rPr>
      <t>四</t>
    </r>
  </si>
  <si>
    <r>
      <rPr>
        <sz val="10"/>
        <rFont val="宋体"/>
        <family val="0"/>
      </rPr>
      <t>工程单价</t>
    </r>
    <r>
      <rPr>
        <sz val="10"/>
        <rFont val="Times New Roman"/>
        <family val="1"/>
      </rPr>
      <t xml:space="preserve"> </t>
    </r>
  </si>
  <si>
    <t>附表58   素土夯实</t>
  </si>
  <si>
    <r>
      <t>定额依据：水利</t>
    </r>
    <r>
      <rPr>
        <sz val="10"/>
        <rFont val="Times New Roman"/>
        <family val="1"/>
      </rPr>
      <t>10767</t>
    </r>
  </si>
  <si>
    <r>
      <rPr>
        <sz val="10"/>
        <rFont val="宋体"/>
        <family val="0"/>
      </rPr>
      <t>定额单位：</t>
    </r>
    <r>
      <rPr>
        <sz val="10"/>
        <rFont val="Times New Roman"/>
        <family val="1"/>
      </rPr>
      <t>100m</t>
    </r>
    <r>
      <rPr>
        <vertAlign val="superscript"/>
        <sz val="10"/>
        <rFont val="Times New Roman"/>
        <family val="1"/>
      </rPr>
      <t>3</t>
    </r>
  </si>
  <si>
    <r>
      <rPr>
        <sz val="10"/>
        <rFont val="宋体"/>
        <family val="0"/>
      </rPr>
      <t>工作内容：碎土、平土、找平、洒水、夯实</t>
    </r>
  </si>
  <si>
    <r>
      <rPr>
        <sz val="10"/>
        <rFont val="宋体"/>
        <family val="0"/>
      </rPr>
      <t>费用名称</t>
    </r>
  </si>
  <si>
    <r>
      <rPr>
        <sz val="10"/>
        <rFont val="宋体"/>
        <family val="0"/>
      </rPr>
      <t>数量</t>
    </r>
  </si>
  <si>
    <r>
      <rPr>
        <sz val="10"/>
        <rFont val="宋体"/>
        <family val="0"/>
      </rPr>
      <t>合价</t>
    </r>
  </si>
  <si>
    <r>
      <rPr>
        <sz val="10"/>
        <rFont val="宋体"/>
        <family val="0"/>
      </rPr>
      <t>水</t>
    </r>
  </si>
  <si>
    <r>
      <rPr>
        <sz val="10"/>
        <rFont val="宋体"/>
        <family val="0"/>
      </rPr>
      <t>其他材料费</t>
    </r>
  </si>
  <si>
    <r>
      <rPr>
        <sz val="10"/>
        <rFont val="宋体"/>
        <family val="0"/>
      </rPr>
      <t>合计</t>
    </r>
  </si>
  <si>
    <t>附表57   C20混凝土浇筑</t>
  </si>
  <si>
    <t>定额依据：04017</t>
  </si>
  <si>
    <r>
      <t>定额单位：</t>
    </r>
    <r>
      <rPr>
        <sz val="10"/>
        <color indexed="10"/>
        <rFont val="Times New Roman"/>
        <family val="1"/>
      </rPr>
      <t>100m</t>
    </r>
    <r>
      <rPr>
        <vertAlign val="superscript"/>
        <sz val="10"/>
        <color indexed="10"/>
        <rFont val="Times New Roman"/>
        <family val="1"/>
      </rPr>
      <t>3</t>
    </r>
  </si>
  <si>
    <r>
      <t>工作内容：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表面清理冲洗、模板制作、安装、拆除，混凝土浇筑、人工平仓捣实、压光、抹平</t>
    </r>
  </si>
  <si>
    <t>单价</t>
  </si>
  <si>
    <t>合价</t>
  </si>
  <si>
    <t>板枋材</t>
  </si>
  <si>
    <r>
      <t>m</t>
    </r>
    <r>
      <rPr>
        <vertAlign val="superscript"/>
        <sz val="10"/>
        <color indexed="10"/>
        <rFont val="Times New Roman"/>
        <family val="1"/>
      </rPr>
      <t>3</t>
    </r>
  </si>
  <si>
    <t>钢模板</t>
  </si>
  <si>
    <t>kg</t>
  </si>
  <si>
    <t>铁件</t>
  </si>
  <si>
    <t>混凝土</t>
  </si>
  <si>
    <t>其他材料费</t>
  </si>
  <si>
    <t>附表59   钢筋制安</t>
  </si>
  <si>
    <t>定额依据：04068</t>
  </si>
  <si>
    <r>
      <t>定额单位：</t>
    </r>
    <r>
      <rPr>
        <sz val="10"/>
        <rFont val="Times New Roman"/>
        <family val="1"/>
      </rPr>
      <t>1t</t>
    </r>
  </si>
  <si>
    <r>
      <t>工作内容：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钢筋制作、安装</t>
    </r>
  </si>
  <si>
    <t>钢筋</t>
  </si>
  <si>
    <t>铁丝</t>
  </si>
  <si>
    <t>电焊条</t>
  </si>
  <si>
    <t>钢筋调直机 4~14kw</t>
  </si>
  <si>
    <r>
      <t>风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砂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水枪</t>
    </r>
    <r>
      <rPr>
        <sz val="10"/>
        <rFont val="Times New Roman"/>
        <family val="1"/>
      </rPr>
      <t xml:space="preserve"> 6m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/min</t>
    </r>
  </si>
  <si>
    <t>钢筋切断机 20kw</t>
  </si>
  <si>
    <t>钢筋弯曲机 Φ6~40</t>
  </si>
  <si>
    <t>交流电焊机 25KVA</t>
  </si>
  <si>
    <t>其他机械费</t>
  </si>
  <si>
    <t>施工机械台时费汇总表</t>
  </si>
  <si>
    <r>
      <rPr>
        <sz val="10"/>
        <rFont val="宋体"/>
        <family val="0"/>
      </rPr>
      <t>名称及规格</t>
    </r>
  </si>
  <si>
    <r>
      <rPr>
        <sz val="10"/>
        <rFont val="宋体"/>
        <family val="0"/>
      </rPr>
      <t>台时费</t>
    </r>
  </si>
  <si>
    <r>
      <rPr>
        <sz val="10"/>
        <rFont val="宋体"/>
        <family val="0"/>
      </rPr>
      <t>其中</t>
    </r>
  </si>
  <si>
    <r>
      <rPr>
        <sz val="10"/>
        <rFont val="宋体"/>
        <family val="0"/>
      </rPr>
      <t>折旧费</t>
    </r>
  </si>
  <si>
    <r>
      <rPr>
        <sz val="10"/>
        <rFont val="宋体"/>
        <family val="0"/>
      </rPr>
      <t>修理及替换设备费</t>
    </r>
  </si>
  <si>
    <r>
      <rPr>
        <sz val="10"/>
        <rFont val="宋体"/>
        <family val="0"/>
      </rPr>
      <t>安拆费</t>
    </r>
  </si>
  <si>
    <r>
      <rPr>
        <sz val="10"/>
        <rFont val="宋体"/>
        <family val="0"/>
      </rPr>
      <t>动力燃料费</t>
    </r>
  </si>
  <si>
    <r>
      <rPr>
        <sz val="10"/>
        <rFont val="宋体"/>
        <family val="0"/>
      </rPr>
      <t>拖拉机</t>
    </r>
    <r>
      <rPr>
        <sz val="10"/>
        <rFont val="Times New Roman"/>
        <family val="1"/>
      </rPr>
      <t>37kW</t>
    </r>
  </si>
  <si>
    <r>
      <rPr>
        <sz val="10"/>
        <rFont val="宋体"/>
        <family val="0"/>
      </rPr>
      <t>洒水车</t>
    </r>
    <r>
      <rPr>
        <sz val="10"/>
        <rFont val="Times New Roman"/>
        <family val="1"/>
      </rPr>
      <t>4000L</t>
    </r>
  </si>
  <si>
    <r>
      <rPr>
        <sz val="10"/>
        <rFont val="宋体"/>
        <family val="0"/>
      </rPr>
      <t>推土机</t>
    </r>
    <r>
      <rPr>
        <sz val="10"/>
        <rFont val="Times New Roman"/>
        <family val="1"/>
      </rPr>
      <t>74kW</t>
    </r>
  </si>
  <si>
    <r>
      <rPr>
        <sz val="10"/>
        <rFont val="宋体"/>
        <family val="0"/>
      </rPr>
      <t>油动挖掘机</t>
    </r>
    <r>
      <rPr>
        <sz val="10"/>
        <rFont val="Times New Roman"/>
        <family val="1"/>
      </rPr>
      <t>0.5m</t>
    </r>
    <r>
      <rPr>
        <vertAlign val="superscript"/>
        <sz val="10"/>
        <rFont val="Times New Roman"/>
        <family val="1"/>
      </rPr>
      <t>3</t>
    </r>
  </si>
  <si>
    <t>蛙式夯实机 2.8kw</t>
  </si>
  <si>
    <t>预算价格</t>
  </si>
  <si>
    <t>其中</t>
  </si>
  <si>
    <t>原价</t>
  </si>
  <si>
    <t>包装费</t>
  </si>
  <si>
    <t>运杂费</t>
  </si>
  <si>
    <r>
      <t>采购及保管费</t>
    </r>
    <r>
      <rPr>
        <b/>
        <sz val="10"/>
        <rFont val="Times New Roman"/>
        <family val="1"/>
      </rPr>
      <t xml:space="preserve">      </t>
    </r>
  </si>
  <si>
    <t>造价信息</t>
  </si>
  <si>
    <t>电</t>
  </si>
  <si>
    <t>kw·h</t>
  </si>
  <si>
    <t>风</t>
  </si>
  <si>
    <t>市场调查</t>
  </si>
  <si>
    <t>柴油</t>
  </si>
  <si>
    <t>汽油</t>
  </si>
  <si>
    <r>
      <t>樟子松（</t>
    </r>
    <r>
      <rPr>
        <sz val="10.5"/>
        <rFont val="Times New Roman"/>
        <family val="1"/>
      </rPr>
      <t>H</t>
    </r>
    <r>
      <rPr>
        <sz val="10.5"/>
        <rFont val="仿宋_GB2312"/>
        <family val="3"/>
      </rPr>
      <t>：</t>
    </r>
    <r>
      <rPr>
        <sz val="10.5"/>
        <rFont val="Times New Roman"/>
        <family val="1"/>
      </rPr>
      <t>2.1-2.5m</t>
    </r>
    <r>
      <rPr>
        <sz val="10.5"/>
        <rFont val="仿宋_GB2312"/>
        <family val="3"/>
      </rPr>
      <t>）</t>
    </r>
  </si>
  <si>
    <r>
      <t>侧柏（</t>
    </r>
    <r>
      <rPr>
        <sz val="10.5"/>
        <rFont val="Times New Roman"/>
        <family val="1"/>
      </rPr>
      <t>H</t>
    </r>
    <r>
      <rPr>
        <sz val="10.5"/>
        <rFont val="仿宋_GB2312"/>
        <family val="3"/>
      </rPr>
      <t>：</t>
    </r>
    <r>
      <rPr>
        <sz val="10.5"/>
        <rFont val="Times New Roman"/>
        <family val="1"/>
      </rPr>
      <t>2.1-2.5m</t>
    </r>
    <r>
      <rPr>
        <sz val="10.5"/>
        <rFont val="仿宋_GB2312"/>
        <family val="3"/>
      </rPr>
      <t>）</t>
    </r>
  </si>
  <si>
    <r>
      <t>垂柳（</t>
    </r>
    <r>
      <rPr>
        <sz val="10.5"/>
        <rFont val="Times New Roman"/>
        <family val="1"/>
      </rPr>
      <t>D:8.1-10cm</t>
    </r>
    <r>
      <rPr>
        <sz val="10.5"/>
        <rFont val="仿宋_GB2312"/>
        <family val="3"/>
      </rPr>
      <t>）</t>
    </r>
  </si>
  <si>
    <r>
      <t>新疆杨（</t>
    </r>
    <r>
      <rPr>
        <sz val="10.5"/>
        <rFont val="Times New Roman"/>
        <family val="1"/>
      </rPr>
      <t>D:4.1-5cm</t>
    </r>
    <r>
      <rPr>
        <sz val="10.5"/>
        <rFont val="仿宋_GB2312"/>
        <family val="3"/>
      </rPr>
      <t>）</t>
    </r>
  </si>
  <si>
    <r>
      <t>河北杨（</t>
    </r>
    <r>
      <rPr>
        <sz val="10.5"/>
        <rFont val="Times New Roman"/>
        <family val="1"/>
      </rPr>
      <t>D:4.1-5cm</t>
    </r>
    <r>
      <rPr>
        <sz val="10.5"/>
        <rFont val="仿宋_GB2312"/>
        <family val="3"/>
      </rPr>
      <t>）</t>
    </r>
  </si>
  <si>
    <r>
      <t>旱柳（</t>
    </r>
    <r>
      <rPr>
        <sz val="10.5"/>
        <rFont val="Times New Roman"/>
        <family val="1"/>
      </rPr>
      <t>D:4.1-5cm</t>
    </r>
    <r>
      <rPr>
        <sz val="10.5"/>
        <rFont val="仿宋_GB2312"/>
        <family val="3"/>
      </rPr>
      <t>）</t>
    </r>
  </si>
  <si>
    <r>
      <t>国槐（</t>
    </r>
    <r>
      <rPr>
        <sz val="10.5"/>
        <rFont val="Times New Roman"/>
        <family val="1"/>
      </rPr>
      <t>D:4.1-5cm</t>
    </r>
    <r>
      <rPr>
        <sz val="10.5"/>
        <rFont val="仿宋_GB2312"/>
        <family val="3"/>
      </rPr>
      <t>）</t>
    </r>
  </si>
  <si>
    <r>
      <t>刺槐（</t>
    </r>
    <r>
      <rPr>
        <sz val="10.5"/>
        <rFont val="Times New Roman"/>
        <family val="1"/>
      </rPr>
      <t>D:4.1-5cm</t>
    </r>
    <r>
      <rPr>
        <sz val="10.5"/>
        <rFont val="仿宋_GB2312"/>
        <family val="3"/>
      </rPr>
      <t>）</t>
    </r>
  </si>
  <si>
    <r>
      <t>沙枣（</t>
    </r>
    <r>
      <rPr>
        <sz val="10.5"/>
        <rFont val="Times New Roman"/>
        <family val="1"/>
      </rPr>
      <t>D:4.1-5cm</t>
    </r>
    <r>
      <rPr>
        <sz val="10.5"/>
        <rFont val="仿宋_GB2312"/>
        <family val="3"/>
      </rPr>
      <t>）</t>
    </r>
  </si>
  <si>
    <r>
      <t>丝棉木（</t>
    </r>
    <r>
      <rPr>
        <sz val="10.5"/>
        <rFont val="Times New Roman"/>
        <family val="1"/>
      </rPr>
      <t>D:4.1-5cm</t>
    </r>
    <r>
      <rPr>
        <sz val="10.5"/>
        <rFont val="仿宋_GB2312"/>
        <family val="3"/>
      </rPr>
      <t>）</t>
    </r>
  </si>
  <si>
    <r>
      <t>榆树（</t>
    </r>
    <r>
      <rPr>
        <sz val="10.5"/>
        <rFont val="Times New Roman"/>
        <family val="1"/>
      </rPr>
      <t>D:4-5cm</t>
    </r>
    <r>
      <rPr>
        <sz val="10.5"/>
        <rFont val="仿宋_GB2312"/>
        <family val="3"/>
      </rPr>
      <t>）</t>
    </r>
  </si>
  <si>
    <r>
      <t>柽鲁一号（</t>
    </r>
    <r>
      <rPr>
        <sz val="10.5"/>
        <rFont val="Times New Roman"/>
        <family val="1"/>
      </rPr>
      <t>D:3-4cm</t>
    </r>
    <r>
      <rPr>
        <sz val="10.5"/>
        <rFont val="仿宋_GB2312"/>
        <family val="3"/>
      </rPr>
      <t>）</t>
    </r>
  </si>
  <si>
    <r>
      <t>山桃（</t>
    </r>
    <r>
      <rPr>
        <sz val="10.5"/>
        <rFont val="Times New Roman"/>
        <family val="1"/>
      </rPr>
      <t>D:3-4cm</t>
    </r>
    <r>
      <rPr>
        <sz val="10.5"/>
        <rFont val="仿宋_GB2312"/>
        <family val="3"/>
      </rPr>
      <t>）</t>
    </r>
  </si>
  <si>
    <r>
      <t>山杏（</t>
    </r>
    <r>
      <rPr>
        <sz val="10.5"/>
        <rFont val="Times New Roman"/>
        <family val="1"/>
      </rPr>
      <t>D:3-4cm</t>
    </r>
    <r>
      <rPr>
        <sz val="10.5"/>
        <rFont val="仿宋_GB2312"/>
        <family val="3"/>
      </rPr>
      <t>）</t>
    </r>
  </si>
  <si>
    <r>
      <t>云杉（</t>
    </r>
    <r>
      <rPr>
        <sz val="10.5"/>
        <rFont val="Times New Roman"/>
        <family val="1"/>
      </rPr>
      <t>H</t>
    </r>
    <r>
      <rPr>
        <sz val="10.5"/>
        <rFont val="仿宋_GB2312"/>
        <family val="3"/>
      </rPr>
      <t>：</t>
    </r>
    <r>
      <rPr>
        <sz val="10.5"/>
        <rFont val="Times New Roman"/>
        <family val="1"/>
      </rPr>
      <t>2.51-3.0m</t>
    </r>
    <r>
      <rPr>
        <sz val="10.5"/>
        <rFont val="仿宋_GB2312"/>
        <family val="3"/>
      </rPr>
      <t>）</t>
    </r>
  </si>
  <si>
    <r>
      <t>桧柏（</t>
    </r>
    <r>
      <rPr>
        <sz val="10.5"/>
        <rFont val="Times New Roman"/>
        <family val="1"/>
      </rPr>
      <t>H</t>
    </r>
    <r>
      <rPr>
        <sz val="10.5"/>
        <rFont val="仿宋_GB2312"/>
        <family val="3"/>
      </rPr>
      <t>：</t>
    </r>
    <r>
      <rPr>
        <sz val="10.5"/>
        <rFont val="Times New Roman"/>
        <family val="1"/>
      </rPr>
      <t>2.51-3.0m</t>
    </r>
    <r>
      <rPr>
        <sz val="10.5"/>
        <rFont val="仿宋_GB2312"/>
        <family val="3"/>
      </rPr>
      <t>）</t>
    </r>
  </si>
  <si>
    <r>
      <t>油松（</t>
    </r>
    <r>
      <rPr>
        <sz val="10.5"/>
        <rFont val="Times New Roman"/>
        <family val="1"/>
      </rPr>
      <t>H</t>
    </r>
    <r>
      <rPr>
        <sz val="10.5"/>
        <rFont val="仿宋_GB2312"/>
        <family val="3"/>
      </rPr>
      <t>：</t>
    </r>
    <r>
      <rPr>
        <sz val="10.5"/>
        <rFont val="Times New Roman"/>
        <family val="1"/>
      </rPr>
      <t>2.51-3.0m</t>
    </r>
    <r>
      <rPr>
        <sz val="10.5"/>
        <rFont val="仿宋_GB2312"/>
        <family val="3"/>
      </rPr>
      <t>）</t>
    </r>
  </si>
  <si>
    <r>
      <t>侧柏（</t>
    </r>
    <r>
      <rPr>
        <sz val="10.5"/>
        <rFont val="Times New Roman"/>
        <family val="1"/>
      </rPr>
      <t>H</t>
    </r>
    <r>
      <rPr>
        <sz val="10.5"/>
        <rFont val="仿宋_GB2312"/>
        <family val="3"/>
      </rPr>
      <t>：</t>
    </r>
    <r>
      <rPr>
        <sz val="10.5"/>
        <rFont val="Times New Roman"/>
        <family val="1"/>
      </rPr>
      <t>2.51-3.0m</t>
    </r>
    <r>
      <rPr>
        <sz val="10.5"/>
        <rFont val="仿宋_GB2312"/>
        <family val="3"/>
      </rPr>
      <t>）</t>
    </r>
  </si>
  <si>
    <r>
      <t>河北杨（</t>
    </r>
    <r>
      <rPr>
        <sz val="10.5"/>
        <rFont val="Times New Roman"/>
        <family val="1"/>
      </rPr>
      <t>D:5.1-6cm</t>
    </r>
    <r>
      <rPr>
        <sz val="10.5"/>
        <rFont val="仿宋_GB2312"/>
        <family val="3"/>
      </rPr>
      <t>）</t>
    </r>
  </si>
  <si>
    <r>
      <t>旱柳（</t>
    </r>
    <r>
      <rPr>
        <sz val="10.5"/>
        <rFont val="Times New Roman"/>
        <family val="1"/>
      </rPr>
      <t>D:5.1-6cm</t>
    </r>
    <r>
      <rPr>
        <sz val="10.5"/>
        <rFont val="仿宋_GB2312"/>
        <family val="3"/>
      </rPr>
      <t>）</t>
    </r>
  </si>
  <si>
    <r>
      <t>金叶白蜡（</t>
    </r>
    <r>
      <rPr>
        <sz val="10.5"/>
        <rFont val="Times New Roman"/>
        <family val="1"/>
      </rPr>
      <t>D:5.1-6cm</t>
    </r>
    <r>
      <rPr>
        <sz val="10.5"/>
        <rFont val="仿宋_GB2312"/>
        <family val="3"/>
      </rPr>
      <t>）</t>
    </r>
  </si>
  <si>
    <r>
      <t>国槐（</t>
    </r>
    <r>
      <rPr>
        <sz val="10.5"/>
        <rFont val="Times New Roman"/>
        <family val="1"/>
      </rPr>
      <t>D:5.1-6cm</t>
    </r>
    <r>
      <rPr>
        <sz val="10.5"/>
        <rFont val="仿宋_GB2312"/>
        <family val="3"/>
      </rPr>
      <t>）</t>
    </r>
  </si>
  <si>
    <r>
      <t>香花槐（</t>
    </r>
    <r>
      <rPr>
        <sz val="10.5"/>
        <rFont val="Times New Roman"/>
        <family val="1"/>
      </rPr>
      <t>D:5.1-6cm</t>
    </r>
    <r>
      <rPr>
        <sz val="10.5"/>
        <rFont val="仿宋_GB2312"/>
        <family val="3"/>
      </rPr>
      <t>）</t>
    </r>
  </si>
  <si>
    <r>
      <t>金叶复叶槭（</t>
    </r>
    <r>
      <rPr>
        <sz val="10.5"/>
        <rFont val="Times New Roman"/>
        <family val="1"/>
      </rPr>
      <t>D:3.1-4cm</t>
    </r>
    <r>
      <rPr>
        <sz val="10.5"/>
        <rFont val="仿宋_GB2312"/>
        <family val="3"/>
      </rPr>
      <t>）</t>
    </r>
  </si>
  <si>
    <r>
      <t>紫叶李（</t>
    </r>
    <r>
      <rPr>
        <sz val="10.5"/>
        <rFont val="Times New Roman"/>
        <family val="1"/>
      </rPr>
      <t>D:3.1-4cm</t>
    </r>
    <r>
      <rPr>
        <sz val="10.5"/>
        <rFont val="仿宋_GB2312"/>
        <family val="3"/>
      </rPr>
      <t>）</t>
    </r>
  </si>
  <si>
    <r>
      <t>红宝石海棠（</t>
    </r>
    <r>
      <rPr>
        <sz val="10.5"/>
        <rFont val="Times New Roman"/>
        <family val="1"/>
      </rPr>
      <t>D:3-4cm</t>
    </r>
    <r>
      <rPr>
        <sz val="10.5"/>
        <rFont val="仿宋_GB2312"/>
        <family val="3"/>
      </rPr>
      <t>）</t>
    </r>
  </si>
  <si>
    <r>
      <t>西府海棠（</t>
    </r>
    <r>
      <rPr>
        <sz val="10.5"/>
        <rFont val="Times New Roman"/>
        <family val="1"/>
      </rPr>
      <t>D:3-4cm</t>
    </r>
    <r>
      <rPr>
        <sz val="10.5"/>
        <rFont val="仿宋_GB2312"/>
        <family val="3"/>
      </rPr>
      <t>）</t>
    </r>
  </si>
  <si>
    <r>
      <t>红叶碧桃（</t>
    </r>
    <r>
      <rPr>
        <sz val="10.5"/>
        <rFont val="Times New Roman"/>
        <family val="1"/>
      </rPr>
      <t>D:3-4cm</t>
    </r>
    <r>
      <rPr>
        <sz val="10.5"/>
        <rFont val="仿宋_GB2312"/>
        <family val="3"/>
      </rPr>
      <t>）</t>
    </r>
  </si>
  <si>
    <r>
      <t>重瓣黄刺玫（</t>
    </r>
    <r>
      <rPr>
        <sz val="10.5"/>
        <rFont val="Times New Roman"/>
        <family val="1"/>
      </rPr>
      <t>6-8</t>
    </r>
    <r>
      <rPr>
        <sz val="10.5"/>
        <rFont val="仿宋_GB2312"/>
        <family val="3"/>
      </rPr>
      <t>分枝）</t>
    </r>
  </si>
  <si>
    <r>
      <t>四季玫瑰（</t>
    </r>
    <r>
      <rPr>
        <sz val="10.5"/>
        <rFont val="Times New Roman"/>
        <family val="1"/>
      </rPr>
      <t>6-8</t>
    </r>
    <r>
      <rPr>
        <sz val="10.5"/>
        <rFont val="仿宋_GB2312"/>
        <family val="3"/>
      </rPr>
      <t>分枝）</t>
    </r>
  </si>
  <si>
    <r>
      <t>互叶醉鱼木（</t>
    </r>
    <r>
      <rPr>
        <sz val="10.5"/>
        <rFont val="Times New Roman"/>
        <family val="1"/>
      </rPr>
      <t>2</t>
    </r>
    <r>
      <rPr>
        <sz val="10.5"/>
        <rFont val="仿宋_GB2312"/>
        <family val="3"/>
      </rPr>
      <t>年生）</t>
    </r>
  </si>
  <si>
    <r>
      <t>柽柳（</t>
    </r>
    <r>
      <rPr>
        <sz val="10.5"/>
        <rFont val="Times New Roman"/>
        <family val="1"/>
      </rPr>
      <t>2</t>
    </r>
    <r>
      <rPr>
        <sz val="10.5"/>
        <rFont val="仿宋_GB2312"/>
        <family val="3"/>
      </rPr>
      <t>年生，多分枝）</t>
    </r>
  </si>
  <si>
    <r>
      <t>紫穗槐（</t>
    </r>
    <r>
      <rPr>
        <sz val="10.5"/>
        <rFont val="Times New Roman"/>
        <family val="1"/>
      </rPr>
      <t>2</t>
    </r>
    <r>
      <rPr>
        <sz val="10.5"/>
        <rFont val="仿宋_GB2312"/>
        <family val="3"/>
      </rPr>
      <t>年生）</t>
    </r>
  </si>
  <si>
    <r>
      <t>连翘（</t>
    </r>
    <r>
      <rPr>
        <sz val="10.5"/>
        <rFont val="Times New Roman"/>
        <family val="1"/>
      </rPr>
      <t>9-11</t>
    </r>
    <r>
      <rPr>
        <sz val="10.5"/>
        <rFont val="仿宋_GB2312"/>
        <family val="3"/>
      </rPr>
      <t>分枝）</t>
    </r>
  </si>
  <si>
    <r>
      <t>重瓣榆叶梅（</t>
    </r>
    <r>
      <rPr>
        <sz val="10.5"/>
        <rFont val="Times New Roman"/>
        <family val="1"/>
      </rPr>
      <t>9-11</t>
    </r>
    <r>
      <rPr>
        <sz val="10.5"/>
        <rFont val="仿宋_GB2312"/>
        <family val="3"/>
      </rPr>
      <t>分枝）</t>
    </r>
  </si>
  <si>
    <r>
      <t>紫丁香（</t>
    </r>
    <r>
      <rPr>
        <sz val="10.5"/>
        <rFont val="Times New Roman"/>
        <family val="1"/>
      </rPr>
      <t>9-11</t>
    </r>
    <r>
      <rPr>
        <sz val="10.5"/>
        <rFont val="仿宋_GB2312"/>
        <family val="3"/>
      </rPr>
      <t>分枝）</t>
    </r>
  </si>
  <si>
    <r>
      <t>珍珠梅（</t>
    </r>
    <r>
      <rPr>
        <sz val="10.5"/>
        <rFont val="Times New Roman"/>
        <family val="1"/>
      </rPr>
      <t>9-11</t>
    </r>
    <r>
      <rPr>
        <sz val="10.5"/>
        <rFont val="仿宋_GB2312"/>
        <family val="3"/>
      </rPr>
      <t>分枝）</t>
    </r>
  </si>
  <si>
    <r>
      <t>红瑞木（</t>
    </r>
    <r>
      <rPr>
        <sz val="10.5"/>
        <rFont val="Times New Roman"/>
        <family val="1"/>
      </rPr>
      <t>9-11</t>
    </r>
    <r>
      <rPr>
        <sz val="10.5"/>
        <rFont val="仿宋_GB2312"/>
        <family val="3"/>
      </rPr>
      <t>分枝）</t>
    </r>
  </si>
  <si>
    <r>
      <t>马蔺（</t>
    </r>
    <r>
      <rPr>
        <sz val="10.5"/>
        <rFont val="Times New Roman"/>
        <family val="1"/>
      </rPr>
      <t>5</t>
    </r>
    <r>
      <rPr>
        <sz val="10.5"/>
        <rFont val="仿宋_GB2312"/>
        <family val="3"/>
      </rPr>
      <t>芽以上，营养钵苗）</t>
    </r>
  </si>
  <si>
    <r>
      <t>金娃娃萱草（</t>
    </r>
    <r>
      <rPr>
        <sz val="10.5"/>
        <rFont val="Times New Roman"/>
        <family val="1"/>
      </rPr>
      <t>5</t>
    </r>
    <r>
      <rPr>
        <sz val="10.5"/>
        <rFont val="仿宋_GB2312"/>
        <family val="3"/>
      </rPr>
      <t>芽以上，有独立主墩）</t>
    </r>
  </si>
  <si>
    <r>
      <t>沙地柏（主蔓长</t>
    </r>
    <r>
      <rPr>
        <sz val="10.5"/>
        <rFont val="Times New Roman"/>
        <family val="1"/>
      </rPr>
      <t>20cm</t>
    </r>
    <r>
      <rPr>
        <sz val="10.5"/>
        <rFont val="仿宋_GB2312"/>
        <family val="3"/>
      </rPr>
      <t>以上，</t>
    </r>
    <r>
      <rPr>
        <sz val="10.5"/>
        <rFont val="Times New Roman"/>
        <family val="1"/>
      </rPr>
      <t>2</t>
    </r>
    <r>
      <rPr>
        <sz val="10.5"/>
        <rFont val="仿宋_GB2312"/>
        <family val="3"/>
      </rPr>
      <t>年生）</t>
    </r>
  </si>
  <si>
    <r>
      <t>鸢尾（</t>
    </r>
    <r>
      <rPr>
        <sz val="10.5"/>
        <rFont val="Times New Roman"/>
        <family val="1"/>
      </rPr>
      <t>5</t>
    </r>
    <r>
      <rPr>
        <sz val="10.5"/>
        <rFont val="仿宋_GB2312"/>
        <family val="3"/>
      </rPr>
      <t>芽以上，有独立主墩）</t>
    </r>
  </si>
  <si>
    <t>千屈菜（营养袋苗）</t>
  </si>
  <si>
    <t>黄菖蒲（当年生）</t>
  </si>
  <si>
    <t>芦苇（当年生）</t>
  </si>
  <si>
    <r>
      <t>荷花（</t>
    </r>
    <r>
      <rPr>
        <sz val="10.5"/>
        <rFont val="Times New Roman"/>
        <family val="1"/>
      </rPr>
      <t>3</t>
    </r>
    <r>
      <rPr>
        <sz val="10.5"/>
        <rFont val="仿宋_GB2312"/>
        <family val="3"/>
      </rPr>
      <t>节</t>
    </r>
    <r>
      <rPr>
        <sz val="10.5"/>
        <rFont val="Times New Roman"/>
        <family val="1"/>
      </rPr>
      <t>2</t>
    </r>
    <r>
      <rPr>
        <sz val="10.5"/>
        <rFont val="仿宋_GB2312"/>
        <family val="3"/>
      </rPr>
      <t>芽，芽顶完整）</t>
    </r>
  </si>
  <si>
    <t>地被菊（多年生）</t>
  </si>
  <si>
    <t>百日草（营养钵，一年生）</t>
  </si>
  <si>
    <t>八宝景天（当年生）</t>
  </si>
  <si>
    <r>
      <t>C25</t>
    </r>
    <r>
      <rPr>
        <sz val="10"/>
        <rFont val="宋体"/>
        <family val="0"/>
      </rPr>
      <t>混凝土</t>
    </r>
  </si>
  <si>
    <r>
      <t>C20</t>
    </r>
    <r>
      <rPr>
        <sz val="10"/>
        <rFont val="宋体"/>
        <family val="0"/>
      </rPr>
      <t>混凝土</t>
    </r>
  </si>
  <si>
    <r>
      <t>C15</t>
    </r>
    <r>
      <rPr>
        <sz val="10"/>
        <rFont val="宋体"/>
        <family val="0"/>
      </rPr>
      <t>混凝土</t>
    </r>
  </si>
  <si>
    <r>
      <rPr>
        <sz val="10"/>
        <rFont val="宋体"/>
        <family val="0"/>
      </rPr>
      <t>碎石（</t>
    </r>
    <r>
      <rPr>
        <sz val="10"/>
        <rFont val="Times New Roman"/>
        <family val="1"/>
      </rPr>
      <t>0.5cm</t>
    </r>
    <r>
      <rPr>
        <sz val="10"/>
        <rFont val="宋体"/>
        <family val="0"/>
      </rPr>
      <t>）</t>
    </r>
  </si>
  <si>
    <r>
      <t>2~4</t>
    </r>
    <r>
      <rPr>
        <sz val="10"/>
        <rFont val="宋体"/>
        <family val="0"/>
      </rPr>
      <t>厚彩色压印地坪</t>
    </r>
  </si>
  <si>
    <t>生石灰（灰土）</t>
  </si>
  <si>
    <t>每方灰土含石灰0.51912吨，黏土1.06353立方米</t>
  </si>
  <si>
    <t>黏土</t>
  </si>
  <si>
    <t>素土</t>
  </si>
  <si>
    <t>块</t>
  </si>
  <si>
    <r>
      <t>花岗岩岩板（</t>
    </r>
    <r>
      <rPr>
        <sz val="10"/>
        <rFont val="Times New Roman"/>
        <family val="1"/>
      </rPr>
      <t>30mm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</si>
  <si>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路灯（</t>
    </r>
    <r>
      <rPr>
        <sz val="10"/>
        <rFont val="Times New Roman"/>
        <family val="1"/>
      </rPr>
      <t xml:space="preserve">YL0812-A </t>
    </r>
    <r>
      <rPr>
        <sz val="10"/>
        <rFont val="宋体"/>
        <family val="0"/>
      </rPr>
      <t>∅</t>
    </r>
    <r>
      <rPr>
        <sz val="10"/>
        <rFont val="Times New Roman"/>
        <family val="1"/>
      </rPr>
      <t>160×70×3.2</t>
    </r>
    <r>
      <rPr>
        <sz val="10"/>
        <rFont val="宋体"/>
        <family val="0"/>
      </rPr>
      <t>）</t>
    </r>
  </si>
  <si>
    <t>钢筋（Φ20HPB300）</t>
  </si>
  <si>
    <t>预制钢筋混凝土阀井</t>
  </si>
  <si>
    <t>闸阀(dn225mm)</t>
  </si>
  <si>
    <t>排气阀(dn50mm/0.6MPa)</t>
  </si>
  <si>
    <t>PE100管dn63 1.6MPa管材</t>
  </si>
  <si>
    <t>PVC球阀（50mm)</t>
  </si>
  <si>
    <t>减压阀保护箱（塑料井</t>
  </si>
  <si>
    <t>Φ32 PE微喷带管材</t>
  </si>
  <si>
    <t xml:space="preserve">压力补偿滴头 </t>
  </si>
  <si>
    <r>
      <t>水泵（</t>
    </r>
    <r>
      <rPr>
        <sz val="10"/>
        <rFont val="Times New Roman"/>
        <family val="1"/>
      </rPr>
      <t>200QJ50-52/4</t>
    </r>
    <r>
      <rPr>
        <sz val="10"/>
        <rFont val="宋体"/>
        <family val="0"/>
      </rPr>
      <t>，配套电机）</t>
    </r>
  </si>
  <si>
    <r>
      <rPr>
        <sz val="10"/>
        <rFont val="宋体"/>
        <family val="0"/>
      </rPr>
      <t>钢制伸缩节（</t>
    </r>
    <r>
      <rPr>
        <sz val="10"/>
        <rFont val="Times New Roman"/>
        <family val="1"/>
      </rPr>
      <t>PN1.0MPa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DN100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</si>
  <si>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静音止回阀（</t>
    </r>
    <r>
      <rPr>
        <sz val="10"/>
        <rFont val="Times New Roman"/>
        <family val="1"/>
      </rPr>
      <t>PN1.0MPa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DN100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</si>
  <si>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电动偏心半球阀（</t>
    </r>
    <r>
      <rPr>
        <sz val="10"/>
        <rFont val="Times New Roman"/>
        <family val="1"/>
      </rPr>
      <t>BQ942H-10,DN100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</si>
  <si>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电磁流量计（</t>
    </r>
    <r>
      <rPr>
        <sz val="10"/>
        <rFont val="Times New Roman"/>
        <family val="1"/>
      </rPr>
      <t>PN1.0MPa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DN100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</si>
  <si>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离心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叠片式过滤器（</t>
    </r>
    <r>
      <rPr>
        <sz val="10"/>
        <rFont val="Times New Roman"/>
        <family val="1"/>
      </rPr>
      <t>Q=50m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120</t>
    </r>
    <r>
      <rPr>
        <sz val="10"/>
        <rFont val="宋体"/>
        <family val="0"/>
      </rPr>
      <t>目，</t>
    </r>
    <r>
      <rPr>
        <sz val="10"/>
        <rFont val="Times New Roman"/>
        <family val="1"/>
      </rPr>
      <t>1.6MPa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</si>
  <si>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供电电缆（</t>
    </r>
    <r>
      <rPr>
        <sz val="10"/>
        <rFont val="Times New Roman"/>
        <family val="1"/>
      </rPr>
      <t>YJV</t>
    </r>
    <r>
      <rPr>
        <vertAlign val="subscript"/>
        <sz val="10"/>
        <rFont val="Times New Roman"/>
        <family val="1"/>
      </rPr>
      <t>22</t>
    </r>
    <r>
      <rPr>
        <sz val="10"/>
        <rFont val="Times New Roman"/>
        <family val="1"/>
      </rPr>
      <t>-0.6/1kV 3×6mm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</si>
  <si>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变压器（</t>
    </r>
    <r>
      <rPr>
        <sz val="10"/>
        <rFont val="Times New Roman"/>
        <family val="1"/>
      </rPr>
      <t>S13-M-30/63kVA</t>
    </r>
    <r>
      <rPr>
        <sz val="10"/>
        <rFont val="宋体"/>
        <family val="0"/>
      </rPr>
      <t>）</t>
    </r>
  </si>
  <si>
    <r>
      <t>低压柜（含</t>
    </r>
    <r>
      <rPr>
        <sz val="10"/>
        <rFont val="Times New Roman"/>
        <family val="1"/>
      </rPr>
      <t>18.5kw</t>
    </r>
    <r>
      <rPr>
        <sz val="10"/>
        <rFont val="宋体"/>
        <family val="0"/>
      </rPr>
      <t>变频器）</t>
    </r>
  </si>
  <si>
    <r>
      <rPr>
        <sz val="10"/>
        <rFont val="宋体"/>
        <family val="0"/>
      </rPr>
      <t>面</t>
    </r>
  </si>
  <si>
    <r>
      <t>计量箱（</t>
    </r>
    <r>
      <rPr>
        <sz val="10"/>
        <rFont val="Times New Roman"/>
        <family val="1"/>
      </rPr>
      <t>1200×800×250</t>
    </r>
    <r>
      <rPr>
        <sz val="10"/>
        <rFont val="宋体"/>
        <family val="0"/>
      </rPr>
      <t>）</t>
    </r>
  </si>
  <si>
    <t>钢板（Q355B）</t>
  </si>
  <si>
    <t>二等板方材</t>
  </si>
  <si>
    <t>砼及砂浆单价计算表</t>
  </si>
  <si>
    <t>标号</t>
  </si>
  <si>
    <r>
      <t>水泥（</t>
    </r>
    <r>
      <rPr>
        <sz val="9"/>
        <rFont val="Times New Roman"/>
        <family val="1"/>
      </rPr>
      <t>425#</t>
    </r>
    <r>
      <rPr>
        <sz val="9"/>
        <rFont val="宋体"/>
        <family val="0"/>
      </rPr>
      <t>）（</t>
    </r>
    <r>
      <rPr>
        <sz val="9"/>
        <rFont val="Times New Roman"/>
        <family val="1"/>
      </rPr>
      <t>kg</t>
    </r>
    <r>
      <rPr>
        <sz val="9"/>
        <rFont val="宋体"/>
        <family val="0"/>
      </rPr>
      <t>）</t>
    </r>
  </si>
  <si>
    <r>
      <t>砂（</t>
    </r>
    <r>
      <rPr>
        <sz val="9"/>
        <rFont val="Times New Roman"/>
        <family val="1"/>
      </rPr>
      <t/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3）</t>
    </r>
  </si>
  <si>
    <r>
      <t>水（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</si>
  <si>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石子（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</si>
  <si>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t>小计</t>
  </si>
  <si>
    <r>
      <t>M5</t>
    </r>
    <r>
      <rPr>
        <sz val="9"/>
        <rFont val="宋体"/>
        <family val="0"/>
      </rPr>
      <t>砂浆</t>
    </r>
  </si>
  <si>
    <r>
      <t>M7.5</t>
    </r>
    <r>
      <rPr>
        <sz val="9"/>
        <rFont val="宋体"/>
        <family val="0"/>
      </rPr>
      <t>砂浆</t>
    </r>
  </si>
  <si>
    <r>
      <t>C20</t>
    </r>
    <r>
      <rPr>
        <sz val="9"/>
        <rFont val="宋体"/>
        <family val="0"/>
      </rPr>
      <t>混凝土</t>
    </r>
  </si>
  <si>
    <r>
      <rPr>
        <sz val="9"/>
        <rFont val="仿宋_GB2312"/>
        <family val="3"/>
      </rPr>
      <t>措施</t>
    </r>
  </si>
  <si>
    <r>
      <rPr>
        <sz val="9"/>
        <rFont val="仿宋_GB2312"/>
        <family val="3"/>
      </rPr>
      <t>保水定额</t>
    </r>
  </si>
  <si>
    <r>
      <rPr>
        <sz val="9"/>
        <rFont val="仿宋_GB2312"/>
        <family val="3"/>
      </rPr>
      <t>保土定额</t>
    </r>
  </si>
  <si>
    <r>
      <rPr>
        <sz val="9"/>
        <rFont val="仿宋_GB2312"/>
        <family val="3"/>
      </rPr>
      <t>保水量</t>
    </r>
  </si>
  <si>
    <r>
      <rPr>
        <sz val="9"/>
        <rFont val="仿宋_GB2312"/>
        <family val="3"/>
      </rPr>
      <t/>
    </r>
    <r>
      <rPr>
        <sz val="9"/>
        <rFont val="仿宋_GB2312"/>
        <family val="3"/>
      </rPr>
      <t/>
    </r>
    <r>
      <rPr>
        <sz val="9"/>
        <rFont val="仿宋_GB2312"/>
        <family val="3"/>
      </rPr>
      <t>保土量（万t）</t>
    </r>
  </si>
  <si>
    <r>
      <rPr>
        <sz val="9"/>
        <rFont val="仿宋_GB2312"/>
        <family val="3"/>
      </rPr>
      <t>类型</t>
    </r>
  </si>
  <si>
    <r>
      <rPr>
        <sz val="9"/>
        <rFont val="仿宋_GB2312"/>
        <family val="3"/>
      </rPr>
      <t>单位</t>
    </r>
  </si>
  <si>
    <r>
      <rPr>
        <sz val="9"/>
        <rFont val="仿宋_GB2312"/>
        <family val="3"/>
      </rPr>
      <t>数量</t>
    </r>
  </si>
  <si>
    <r>
      <rPr>
        <sz val="9"/>
        <rFont val="仿宋_GB2312"/>
        <family val="3"/>
      </rPr>
      <t>（万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仿宋_GB2312"/>
        <family val="3"/>
      </rPr>
      <t>）</t>
    </r>
  </si>
  <si>
    <r>
      <rPr>
        <sz val="9"/>
        <rFont val="仿宋_GB2312"/>
        <family val="3"/>
      </rPr>
      <t>造林</t>
    </r>
  </si>
  <si>
    <r>
      <rPr>
        <sz val="9"/>
        <rFont val="Times New Roman"/>
        <family val="1"/>
      </rPr>
      <t>hm</t>
    </r>
    <r>
      <rPr>
        <vertAlign val="superscript"/>
        <sz val="9"/>
        <rFont val="Times New Roman"/>
        <family val="1"/>
      </rPr>
      <t>2</t>
    </r>
  </si>
  <si>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/hm</t>
    </r>
    <r>
      <rPr>
        <vertAlign val="superscript"/>
        <sz val="9"/>
        <rFont val="Times New Roman"/>
        <family val="1"/>
      </rPr>
      <t>2</t>
    </r>
  </si>
  <si>
    <r>
      <rPr>
        <sz val="9"/>
        <rFont val="Times New Roman"/>
        <family val="1"/>
      </rPr>
      <t>t/hm</t>
    </r>
    <r>
      <rPr>
        <vertAlign val="superscript"/>
        <sz val="9"/>
        <rFont val="Times New Roman"/>
        <family val="1"/>
      </rPr>
      <t>2</t>
    </r>
  </si>
  <si>
    <r>
      <rPr>
        <sz val="9"/>
        <rFont val="仿宋_GB2312"/>
        <family val="3"/>
      </rPr>
      <t>种草</t>
    </r>
  </si>
  <si>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/hm</t>
    </r>
    <r>
      <rPr>
        <vertAlign val="superscript"/>
        <sz val="9"/>
        <rFont val="Times New Roman"/>
        <family val="1"/>
      </rPr>
      <t>3</t>
    </r>
  </si>
  <si>
    <r>
      <rPr>
        <sz val="9"/>
        <rFont val="Times New Roman"/>
        <family val="1"/>
      </rPr>
      <t>t/hm</t>
    </r>
    <r>
      <rPr>
        <vertAlign val="superscript"/>
        <sz val="9"/>
        <rFont val="Times New Roman"/>
        <family val="1"/>
      </rPr>
      <t>3</t>
    </r>
  </si>
  <si>
    <r>
      <rPr>
        <sz val="9"/>
        <rFont val="仿宋_GB2312"/>
        <family val="3"/>
      </rPr>
      <t>合计</t>
    </r>
  </si>
  <si>
    <t>工程费用或名称</t>
  </si>
  <si>
    <r>
      <t>2021</t>
    </r>
    <r>
      <rPr>
        <b/>
        <sz val="10"/>
        <rFont val="宋体"/>
        <family val="0"/>
      </rPr>
      <t>年</t>
    </r>
  </si>
  <si>
    <r>
      <t>2022</t>
    </r>
    <r>
      <rPr>
        <b/>
        <sz val="10"/>
        <rFont val="宋体"/>
        <family val="0"/>
      </rPr>
      <t>年</t>
    </r>
  </si>
  <si>
    <t>厂区</t>
  </si>
  <si>
    <t>施工生产生活区</t>
  </si>
  <si>
    <r>
      <t>第三部分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临时措施</t>
    </r>
  </si>
  <si>
    <t>临时防护工程</t>
  </si>
  <si>
    <t>其他临时防护工程</t>
  </si>
  <si>
    <t>第四部分独立费用</t>
  </si>
  <si>
    <t>工程建设管理费</t>
  </si>
  <si>
    <t>水土保持方案编制费</t>
  </si>
  <si>
    <t>水土保持监理费</t>
  </si>
  <si>
    <t>水土保持监测费</t>
  </si>
  <si>
    <t>水土保持设施验收费</t>
  </si>
  <si>
    <t>一至四部分合计</t>
  </si>
  <si>
    <r>
      <t>第五部分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预备费</t>
    </r>
  </si>
  <si>
    <t>水土保持补偿费</t>
  </si>
  <si>
    <t>水土保持工程总投资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</si>
</sst>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8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0.5"/>
      <name val="仿宋_GB2312"/>
      <family val="3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23"/>
      <name val="微软雅黑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Times New Roman"/>
      <family val="1"/>
    </font>
    <font>
      <sz val="12"/>
      <name val="黑体"/>
      <family val="3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宋体"/>
      <family val="0"/>
    </font>
    <font>
      <vertAlign val="superscript"/>
      <sz val="10"/>
      <color indexed="10"/>
      <name val="Times New Roman"/>
      <family val="1"/>
    </font>
    <font>
      <vertAlign val="superscript"/>
      <sz val="9"/>
      <name val="宋体"/>
      <family val="0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000000"/>
      <name val="Times New Roman"/>
      <family val="1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12"/>
      <color rgb="FF666666"/>
      <name val="微软雅黑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2" borderId="1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3" borderId="4" applyNumberFormat="0" applyAlignment="0" applyProtection="0"/>
    <xf numFmtId="0" fontId="67" fillId="4" borderId="5" applyNumberFormat="0" applyAlignment="0" applyProtection="0"/>
    <xf numFmtId="0" fontId="68" fillId="4" borderId="4" applyNumberFormat="0" applyAlignment="0" applyProtection="0"/>
    <xf numFmtId="0" fontId="69" fillId="5" borderId="6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6" borderId="0" applyNumberFormat="0" applyBorder="0" applyAlignment="0" applyProtection="0"/>
    <xf numFmtId="0" fontId="73" fillId="7" borderId="0" applyNumberFormat="0" applyBorder="0" applyAlignment="0" applyProtection="0"/>
    <xf numFmtId="0" fontId="74" fillId="8" borderId="0" applyNumberFormat="0" applyBorder="0" applyAlignment="0" applyProtection="0"/>
    <xf numFmtId="0" fontId="75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5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33" borderId="0" applyNumberFormat="0" applyBorder="0" applyAlignment="0" applyProtection="0"/>
    <xf numFmtId="0" fontId="0" fillId="0" borderId="0">
      <alignment/>
      <protection/>
    </xf>
  </cellStyleXfs>
  <cellXfs count="238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/>
    </xf>
    <xf numFmtId="177" fontId="10" fillId="0" borderId="0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78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78" fillId="0" borderId="0" xfId="0" applyFont="1" applyAlignment="1">
      <alignment horizontal="center" wrapText="1"/>
    </xf>
    <xf numFmtId="0" fontId="79" fillId="0" borderId="0" xfId="0" applyFont="1" applyAlignment="1">
      <alignment horizont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left" vertical="center" wrapText="1"/>
    </xf>
    <xf numFmtId="176" fontId="4" fillId="0" borderId="21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Fill="1" applyBorder="1" applyAlignment="1">
      <alignment horizontal="left" vertical="center" wrapText="1"/>
    </xf>
    <xf numFmtId="176" fontId="4" fillId="0" borderId="20" xfId="0" applyNumberFormat="1" applyFont="1" applyFill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 wrapText="1"/>
    </xf>
    <xf numFmtId="178" fontId="5" fillId="0" borderId="0" xfId="0" applyNumberFormat="1" applyFont="1" applyFill="1" applyAlignment="1">
      <alignment horizontal="justify" vertical="center"/>
    </xf>
    <xf numFmtId="176" fontId="5" fillId="0" borderId="0" xfId="0" applyNumberFormat="1" applyFont="1" applyFill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2" fontId="5" fillId="0" borderId="9" xfId="0" applyNumberFormat="1" applyFont="1" applyFill="1" applyBorder="1" applyAlignment="1">
      <alignment horizontal="center" vertical="center"/>
    </xf>
    <xf numFmtId="176" fontId="5" fillId="0" borderId="9" xfId="66" applyNumberFormat="1" applyFont="1" applyFill="1" applyBorder="1" applyAlignment="1">
      <alignment horizontal="center" vertical="center"/>
      <protection/>
    </xf>
    <xf numFmtId="0" fontId="5" fillId="0" borderId="9" xfId="66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left" vertical="center"/>
    </xf>
    <xf numFmtId="0" fontId="18" fillId="0" borderId="9" xfId="66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18" fillId="0" borderId="0" xfId="66" applyFont="1" applyFill="1" applyAlignment="1">
      <alignment horizontal="center" vertical="center"/>
      <protection/>
    </xf>
    <xf numFmtId="176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left" vertical="center"/>
    </xf>
    <xf numFmtId="0" fontId="81" fillId="0" borderId="9" xfId="0" applyFont="1" applyFill="1" applyBorder="1" applyAlignment="1">
      <alignment horizontal="left" vertical="center"/>
    </xf>
    <xf numFmtId="0" fontId="81" fillId="0" borderId="9" xfId="0" applyFont="1" applyFill="1" applyBorder="1" applyAlignment="1">
      <alignment vertical="center"/>
    </xf>
    <xf numFmtId="0" fontId="84" fillId="0" borderId="9" xfId="0" applyFont="1" applyFill="1" applyBorder="1" applyAlignment="1">
      <alignment horizontal="right" vertical="center"/>
    </xf>
    <xf numFmtId="0" fontId="84" fillId="0" borderId="9" xfId="0" applyFont="1" applyFill="1" applyBorder="1" applyAlignment="1">
      <alignment horizontal="left" vertical="center" wrapText="1"/>
    </xf>
    <xf numFmtId="0" fontId="81" fillId="0" borderId="9" xfId="0" applyFont="1" applyFill="1" applyBorder="1" applyAlignment="1">
      <alignment horizontal="left" vertical="center" wrapText="1"/>
    </xf>
    <xf numFmtId="0" fontId="84" fillId="0" borderId="9" xfId="0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2" fontId="81" fillId="0" borderId="9" xfId="0" applyNumberFormat="1" applyFont="1" applyFill="1" applyBorder="1" applyAlignment="1">
      <alignment horizontal="center" vertical="center"/>
    </xf>
    <xf numFmtId="177" fontId="81" fillId="0" borderId="9" xfId="0" applyNumberFormat="1" applyFont="1" applyFill="1" applyBorder="1" applyAlignment="1">
      <alignment horizontal="center" vertical="center"/>
    </xf>
    <xf numFmtId="176" fontId="81" fillId="0" borderId="9" xfId="0" applyNumberFormat="1" applyFont="1" applyFill="1" applyBorder="1" applyAlignment="1">
      <alignment horizontal="center" vertical="center"/>
    </xf>
    <xf numFmtId="49" fontId="84" fillId="0" borderId="9" xfId="0" applyNumberFormat="1" applyFont="1" applyFill="1" applyBorder="1" applyAlignment="1">
      <alignment horizontal="center" vertical="center"/>
    </xf>
    <xf numFmtId="176" fontId="81" fillId="0" borderId="9" xfId="66" applyNumberFormat="1" applyFont="1" applyFill="1" applyBorder="1" applyAlignment="1">
      <alignment horizontal="center" vertical="center"/>
      <protection/>
    </xf>
    <xf numFmtId="0" fontId="81" fillId="0" borderId="9" xfId="66" applyFont="1" applyFill="1" applyBorder="1" applyAlignment="1">
      <alignment horizontal="center" vertical="center"/>
      <protection/>
    </xf>
    <xf numFmtId="0" fontId="84" fillId="0" borderId="9" xfId="0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left" vertical="center"/>
    </xf>
    <xf numFmtId="0" fontId="85" fillId="0" borderId="9" xfId="66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8" fillId="34" borderId="0" xfId="0" applyFont="1" applyFill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177" fontId="5" fillId="34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7" fontId="3" fillId="0" borderId="23" xfId="0" applyNumberFormat="1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/>
    </xf>
    <xf numFmtId="0" fontId="18" fillId="0" borderId="9" xfId="0" applyFont="1" applyBorder="1" applyAlignment="1">
      <alignment/>
    </xf>
    <xf numFmtId="176" fontId="26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 applyProtection="1">
      <alignment horizontal="center" vertical="center"/>
      <protection/>
    </xf>
    <xf numFmtId="176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76" fillId="0" borderId="9" xfId="0" applyFont="1" applyFill="1" applyBorder="1" applyAlignment="1">
      <alignment horizontal="center" vertical="center"/>
    </xf>
    <xf numFmtId="176" fontId="86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78" fontId="5" fillId="0" borderId="9" xfId="0" applyNumberFormat="1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 wrapText="1"/>
    </xf>
    <xf numFmtId="177" fontId="8" fillId="35" borderId="9" xfId="0" applyNumberFormat="1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176" fontId="5" fillId="35" borderId="9" xfId="0" applyNumberFormat="1" applyFont="1" applyFill="1" applyBorder="1" applyAlignment="1">
      <alignment horizontal="center" vertical="center"/>
    </xf>
    <xf numFmtId="177" fontId="5" fillId="35" borderId="9" xfId="0" applyNumberFormat="1" applyFont="1" applyFill="1" applyBorder="1" applyAlignment="1">
      <alignment horizontal="center" vertical="center"/>
    </xf>
    <xf numFmtId="178" fontId="23" fillId="0" borderId="0" xfId="0" applyNumberFormat="1" applyFont="1" applyAlignment="1">
      <alignment/>
    </xf>
    <xf numFmtId="178" fontId="23" fillId="0" borderId="9" xfId="0" applyNumberFormat="1" applyFont="1" applyBorder="1" applyAlignment="1">
      <alignment/>
    </xf>
    <xf numFmtId="176" fontId="23" fillId="0" borderId="9" xfId="0" applyNumberFormat="1" applyFont="1" applyBorder="1" applyAlignment="1">
      <alignment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77" fontId="5" fillId="0" borderId="34" xfId="0" applyNumberFormat="1" applyFont="1" applyFill="1" applyBorder="1" applyAlignment="1">
      <alignment horizontal="center" vertical="center" wrapText="1"/>
    </xf>
    <xf numFmtId="177" fontId="3" fillId="0" borderId="34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漳县柳树沟坝系单价分析表(黄审改)" xfId="63"/>
    <cellStyle name="常规_DENR_J_G" xfId="64"/>
    <cellStyle name="20% - 强调文字颜色 4 11 2 2" xfId="65"/>
    <cellStyle name="常规_柳树沟方案－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5.875" style="217" customWidth="1"/>
    <col min="2" max="2" width="20.75390625" style="217" customWidth="1"/>
    <col min="3" max="3" width="11.125" style="217" customWidth="1"/>
    <col min="4" max="4" width="10.625" style="217" customWidth="1"/>
    <col min="5" max="5" width="12.125" style="217" customWidth="1"/>
    <col min="6" max="6" width="10.875" style="217" customWidth="1"/>
    <col min="7" max="7" width="11.125" style="217" customWidth="1"/>
    <col min="8" max="8" width="12.625" style="0" bestFit="1" customWidth="1"/>
    <col min="10" max="10" width="11.50390625" style="0" bestFit="1" customWidth="1"/>
    <col min="11" max="11" width="12.625" style="0" bestFit="1" customWidth="1"/>
    <col min="13" max="13" width="11.50390625" style="0" bestFit="1" customWidth="1"/>
  </cols>
  <sheetData>
    <row r="1" spans="1:7" ht="16.5" customHeight="1">
      <c r="A1" s="218" t="s">
        <v>0</v>
      </c>
      <c r="B1" s="219"/>
      <c r="C1" s="219"/>
      <c r="D1" s="219"/>
      <c r="E1" s="219"/>
      <c r="F1" s="219"/>
      <c r="G1" s="219"/>
    </row>
    <row r="2" spans="6:7" ht="16.5" customHeight="1">
      <c r="F2" s="220" t="s">
        <v>1</v>
      </c>
      <c r="G2" s="220"/>
    </row>
    <row r="3" spans="1:7" ht="14.25" customHeight="1">
      <c r="A3" s="221" t="s">
        <v>2</v>
      </c>
      <c r="B3" s="222" t="s">
        <v>3</v>
      </c>
      <c r="C3" s="3" t="s">
        <v>4</v>
      </c>
      <c r="D3" s="3" t="s">
        <v>5</v>
      </c>
      <c r="E3" s="4"/>
      <c r="F3" s="3" t="s">
        <v>6</v>
      </c>
      <c r="G3" s="223" t="s">
        <v>7</v>
      </c>
    </row>
    <row r="4" spans="1:7" ht="24">
      <c r="A4" s="224"/>
      <c r="B4" s="225"/>
      <c r="C4" s="4"/>
      <c r="D4" s="3" t="s">
        <v>8</v>
      </c>
      <c r="E4" s="3" t="s">
        <v>9</v>
      </c>
      <c r="F4" s="4"/>
      <c r="G4" s="223"/>
    </row>
    <row r="5" spans="1:7" ht="19.5" customHeight="1">
      <c r="A5" s="226" t="s">
        <v>10</v>
      </c>
      <c r="B5" s="4"/>
      <c r="C5" s="227">
        <f>C6+C12</f>
        <v>1217.688761445795</v>
      </c>
      <c r="D5" s="227"/>
      <c r="E5" s="227"/>
      <c r="F5" s="227"/>
      <c r="G5" s="227">
        <f>SUM(C5:F5)</f>
        <v>1217.688761445795</v>
      </c>
    </row>
    <row r="6" spans="1:7" ht="19.5" customHeight="1">
      <c r="A6" s="226" t="s">
        <v>11</v>
      </c>
      <c r="B6" s="3" t="str">
        <f>'分布工程'!B5</f>
        <v>外围治理区域</v>
      </c>
      <c r="C6" s="227">
        <f>SUM(C7:C11)</f>
        <v>1016.5454041904397</v>
      </c>
      <c r="D6" s="227"/>
      <c r="E6" s="227"/>
      <c r="F6" s="227"/>
      <c r="G6" s="227">
        <f>SUM(C6:F6)</f>
        <v>1016.5454041904397</v>
      </c>
    </row>
    <row r="7" spans="1:7" s="216" customFormat="1" ht="19.5" customHeight="1">
      <c r="A7" s="228" t="s">
        <v>12</v>
      </c>
      <c r="B7" s="8" t="str">
        <f>'分布工程'!B6</f>
        <v>道路及广场</v>
      </c>
      <c r="C7" s="53">
        <f>'分布工程'!F6</f>
        <v>826.6806101488133</v>
      </c>
      <c r="D7" s="53"/>
      <c r="E7" s="53"/>
      <c r="F7" s="53"/>
      <c r="G7" s="227">
        <f aca="true" t="shared" si="0" ref="G7:G16">SUM(C7:F7)</f>
        <v>826.6806101488133</v>
      </c>
    </row>
    <row r="8" spans="1:7" s="216" customFormat="1" ht="19.5" customHeight="1">
      <c r="A8" s="228" t="s">
        <v>13</v>
      </c>
      <c r="B8" s="10" t="s">
        <v>14</v>
      </c>
      <c r="C8" s="53">
        <f>'分布工程'!F52</f>
        <v>9.230113321978948</v>
      </c>
      <c r="D8" s="53"/>
      <c r="E8" s="53"/>
      <c r="F8" s="53"/>
      <c r="G8" s="227">
        <f t="shared" si="0"/>
        <v>9.230113321978948</v>
      </c>
    </row>
    <row r="9" spans="1:7" s="216" customFormat="1" ht="19.5" customHeight="1">
      <c r="A9" s="228" t="s">
        <v>15</v>
      </c>
      <c r="B9" s="10" t="s">
        <v>16</v>
      </c>
      <c r="C9" s="53">
        <f>'分布工程'!F55</f>
        <v>155.7574207196474</v>
      </c>
      <c r="D9" s="53"/>
      <c r="E9" s="53"/>
      <c r="F9" s="53"/>
      <c r="G9" s="227">
        <f t="shared" si="0"/>
        <v>155.7574207196474</v>
      </c>
    </row>
    <row r="10" spans="1:7" s="216" customFormat="1" ht="19.5" customHeight="1">
      <c r="A10" s="228" t="s">
        <v>17</v>
      </c>
      <c r="B10" s="10" t="s">
        <v>18</v>
      </c>
      <c r="C10" s="53">
        <f>'分布工程'!F116</f>
        <v>12.759119999999998</v>
      </c>
      <c r="D10" s="53"/>
      <c r="E10" s="53"/>
      <c r="F10" s="53"/>
      <c r="G10" s="227">
        <f t="shared" si="0"/>
        <v>12.759119999999998</v>
      </c>
    </row>
    <row r="11" spans="1:7" s="216" customFormat="1" ht="19.5" customHeight="1">
      <c r="A11" s="228" t="s">
        <v>19</v>
      </c>
      <c r="B11" s="10" t="s">
        <v>20</v>
      </c>
      <c r="C11" s="53">
        <f>'分布工程'!F125</f>
        <v>12.11814</v>
      </c>
      <c r="D11" s="53"/>
      <c r="E11" s="53"/>
      <c r="F11" s="53"/>
      <c r="G11" s="227">
        <f t="shared" si="0"/>
        <v>12.11814</v>
      </c>
    </row>
    <row r="12" spans="1:7" s="216" customFormat="1" ht="19.5" customHeight="1">
      <c r="A12" s="226" t="s">
        <v>21</v>
      </c>
      <c r="B12" s="229" t="str">
        <f>'分布工程'!B133</f>
        <v>湖心小岛治理区域</v>
      </c>
      <c r="C12" s="227">
        <f>SUM(C13:C14)</f>
        <v>201.14335725535523</v>
      </c>
      <c r="D12" s="227"/>
      <c r="E12" s="227"/>
      <c r="F12" s="227"/>
      <c r="G12" s="227">
        <f t="shared" si="0"/>
        <v>201.14335725535523</v>
      </c>
    </row>
    <row r="13" spans="1:7" s="216" customFormat="1" ht="19.5" customHeight="1">
      <c r="A13" s="228" t="s">
        <v>12</v>
      </c>
      <c r="B13" s="10" t="str">
        <f>'分布工程'!B134</f>
        <v>整地工程</v>
      </c>
      <c r="C13" s="53">
        <f>'分布工程'!F134</f>
        <v>6.606157255355205</v>
      </c>
      <c r="D13" s="53"/>
      <c r="E13" s="53"/>
      <c r="F13" s="53"/>
      <c r="G13" s="227">
        <f t="shared" si="0"/>
        <v>6.606157255355205</v>
      </c>
    </row>
    <row r="14" spans="1:7" s="216" customFormat="1" ht="19.5" customHeight="1">
      <c r="A14" s="228" t="s">
        <v>13</v>
      </c>
      <c r="B14" s="10" t="str">
        <f>'分布工程'!B136</f>
        <v>节水灌溉设施</v>
      </c>
      <c r="C14" s="53">
        <f>'分布工程'!F136</f>
        <v>194.5372</v>
      </c>
      <c r="D14" s="53"/>
      <c r="E14" s="53"/>
      <c r="F14" s="53"/>
      <c r="G14" s="227">
        <f t="shared" si="0"/>
        <v>194.5372</v>
      </c>
    </row>
    <row r="15" spans="1:7" ht="19.5" customHeight="1">
      <c r="A15" s="226" t="s">
        <v>22</v>
      </c>
      <c r="B15" s="3"/>
      <c r="C15" s="227"/>
      <c r="D15" s="227">
        <f>D16+D21</f>
        <v>563.0912390559527</v>
      </c>
      <c r="E15" s="227">
        <f>E16+E21</f>
        <v>2376.327923618149</v>
      </c>
      <c r="F15" s="227"/>
      <c r="G15" s="227">
        <f t="shared" si="0"/>
        <v>2939.4191626741012</v>
      </c>
    </row>
    <row r="16" spans="1:7" ht="19.5" customHeight="1">
      <c r="A16" s="226" t="s">
        <v>11</v>
      </c>
      <c r="B16" s="3" t="str">
        <f>B6</f>
        <v>外围治理区域</v>
      </c>
      <c r="C16" s="227"/>
      <c r="D16" s="227">
        <f>SUM(D17:D20)</f>
        <v>338.4768294633246</v>
      </c>
      <c r="E16" s="227">
        <f>SUM(E17:E20)</f>
        <v>1153.480140740363</v>
      </c>
      <c r="F16" s="227"/>
      <c r="G16" s="227">
        <f t="shared" si="0"/>
        <v>1491.9569702036874</v>
      </c>
    </row>
    <row r="17" spans="1:7" s="216" customFormat="1" ht="19.5" customHeight="1">
      <c r="A17" s="228" t="s">
        <v>12</v>
      </c>
      <c r="B17" s="8" t="s">
        <v>23</v>
      </c>
      <c r="C17" s="53"/>
      <c r="D17" s="53">
        <f>'分布工程'!F140+'分布工程'!F141+'分布工程'!F142+'分布工程'!F186</f>
        <v>155.310439190056</v>
      </c>
      <c r="E17" s="53">
        <f>'分布工程'!F164</f>
        <v>202.73428521587692</v>
      </c>
      <c r="F17" s="53"/>
      <c r="G17" s="227">
        <f aca="true" t="shared" si="1" ref="G17:G23">SUM(C17:F17)</f>
        <v>358.0447244059329</v>
      </c>
    </row>
    <row r="18" spans="1:7" s="216" customFormat="1" ht="19.5" customHeight="1">
      <c r="A18" s="228" t="s">
        <v>13</v>
      </c>
      <c r="B18" s="10" t="s">
        <v>24</v>
      </c>
      <c r="C18" s="53"/>
      <c r="D18" s="53">
        <f>'分布工程'!F191+'分布工程'!F192+'分布工程'!F193+'分布工程'!F251</f>
        <v>63.700761938221625</v>
      </c>
      <c r="E18" s="53">
        <f>'分布工程'!F222</f>
        <v>424.10281266000004</v>
      </c>
      <c r="F18" s="53"/>
      <c r="G18" s="227">
        <f t="shared" si="1"/>
        <v>487.80357459822164</v>
      </c>
    </row>
    <row r="19" spans="1:7" s="216" customFormat="1" ht="19.5" customHeight="1">
      <c r="A19" s="228" t="s">
        <v>15</v>
      </c>
      <c r="B19" s="10" t="s">
        <v>25</v>
      </c>
      <c r="C19" s="53"/>
      <c r="D19" s="53">
        <f>'分布工程'!F256</f>
        <v>92.74357202356012</v>
      </c>
      <c r="E19" s="53">
        <f>'分布工程'!F268</f>
        <v>433.67857572891603</v>
      </c>
      <c r="F19" s="53"/>
      <c r="G19" s="227">
        <f t="shared" si="1"/>
        <v>526.4221477524761</v>
      </c>
    </row>
    <row r="20" spans="1:7" s="216" customFormat="1" ht="19.5" customHeight="1">
      <c r="A20" s="228" t="s">
        <v>17</v>
      </c>
      <c r="B20" s="10" t="str">
        <f>'分布工程'!B280</f>
        <v>绿化补植</v>
      </c>
      <c r="C20" s="53"/>
      <c r="D20" s="53">
        <f>'分布工程'!F281</f>
        <v>26.72205631148682</v>
      </c>
      <c r="E20" s="53">
        <f>'分布工程'!F294</f>
        <v>92.96446713556988</v>
      </c>
      <c r="F20" s="53"/>
      <c r="G20" s="227">
        <f t="shared" si="1"/>
        <v>119.6865234470567</v>
      </c>
    </row>
    <row r="21" spans="1:7" s="216" customFormat="1" ht="19.5" customHeight="1">
      <c r="A21" s="226" t="s">
        <v>21</v>
      </c>
      <c r="B21" s="229" t="str">
        <f>B12</f>
        <v>湖心小岛治理区域</v>
      </c>
      <c r="C21" s="53"/>
      <c r="D21" s="227">
        <f>SUM(D22:D23)</f>
        <v>224.61440959262814</v>
      </c>
      <c r="E21" s="227">
        <f>SUM(E22:E23)</f>
        <v>1222.8477828777861</v>
      </c>
      <c r="F21" s="53"/>
      <c r="G21" s="227">
        <f t="shared" si="1"/>
        <v>1447.4621924704143</v>
      </c>
    </row>
    <row r="22" spans="1:7" s="216" customFormat="1" ht="19.5" customHeight="1">
      <c r="A22" s="228" t="s">
        <v>12</v>
      </c>
      <c r="B22" s="10" t="s">
        <v>24</v>
      </c>
      <c r="C22" s="53"/>
      <c r="D22" s="53">
        <f>'分布工程'!F309+'分布工程'!F310+'分布工程'!F311+'分布工程'!F361</f>
        <v>203.72524751458124</v>
      </c>
      <c r="E22" s="53">
        <f>'分布工程'!F336</f>
        <v>1106.7255309730672</v>
      </c>
      <c r="F22" s="53"/>
      <c r="G22" s="227">
        <f t="shared" si="1"/>
        <v>1310.4507784876484</v>
      </c>
    </row>
    <row r="23" spans="1:7" s="216" customFormat="1" ht="19.5" customHeight="1">
      <c r="A23" s="228" t="s">
        <v>13</v>
      </c>
      <c r="B23" s="10" t="s">
        <v>25</v>
      </c>
      <c r="C23" s="53"/>
      <c r="D23" s="53">
        <f>'分布工程'!F366</f>
        <v>20.88916207804691</v>
      </c>
      <c r="E23" s="53">
        <f>'分布工程'!F377</f>
        <v>116.12225190471894</v>
      </c>
      <c r="F23" s="53"/>
      <c r="G23" s="227">
        <f t="shared" si="1"/>
        <v>137.01141398276584</v>
      </c>
    </row>
    <row r="24" spans="1:8" s="216" customFormat="1" ht="19.5" customHeight="1">
      <c r="A24" s="226" t="s">
        <v>26</v>
      </c>
      <c r="B24" s="3"/>
      <c r="C24" s="53">
        <f>C5+C15</f>
        <v>1217.688761445795</v>
      </c>
      <c r="D24" s="53">
        <f>D5+D15</f>
        <v>563.0912390559527</v>
      </c>
      <c r="E24" s="53">
        <f>E5+E15</f>
        <v>2376.327923618149</v>
      </c>
      <c r="F24" s="53"/>
      <c r="G24" s="227">
        <f aca="true" t="shared" si="2" ref="G24:G29">SUM(C24:F24)</f>
        <v>4157.107924119897</v>
      </c>
      <c r="H24" s="230"/>
    </row>
    <row r="25" spans="1:8" ht="19.5" customHeight="1">
      <c r="A25" s="226" t="s">
        <v>27</v>
      </c>
      <c r="B25" s="3"/>
      <c r="C25" s="227"/>
      <c r="D25" s="227"/>
      <c r="E25" s="227"/>
      <c r="F25" s="227">
        <f>SUM(F26:F28)</f>
        <v>266.0549071436734</v>
      </c>
      <c r="G25" s="227">
        <f t="shared" si="2"/>
        <v>266.0549071436734</v>
      </c>
      <c r="H25" s="231"/>
    </row>
    <row r="26" spans="1:8" s="216" customFormat="1" ht="19.5" customHeight="1">
      <c r="A26" s="232">
        <v>1</v>
      </c>
      <c r="B26" s="10" t="s">
        <v>28</v>
      </c>
      <c r="C26" s="53"/>
      <c r="D26" s="53"/>
      <c r="E26" s="53"/>
      <c r="F26" s="53">
        <f>'独立费'!E4</f>
        <v>99.77059017887753</v>
      </c>
      <c r="G26" s="227">
        <f t="shared" si="2"/>
        <v>99.77059017887753</v>
      </c>
      <c r="H26" s="230"/>
    </row>
    <row r="27" spans="1:7" s="216" customFormat="1" ht="19.5" customHeight="1">
      <c r="A27" s="232">
        <v>2</v>
      </c>
      <c r="B27" s="10" t="s">
        <v>29</v>
      </c>
      <c r="C27" s="53"/>
      <c r="D27" s="53"/>
      <c r="E27" s="53"/>
      <c r="F27" s="53">
        <f>'独立费'!E5</f>
        <v>62.35661886179845</v>
      </c>
      <c r="G27" s="227">
        <f t="shared" si="2"/>
        <v>62.35661886179845</v>
      </c>
    </row>
    <row r="28" spans="1:7" s="216" customFormat="1" ht="19.5" customHeight="1">
      <c r="A28" s="232">
        <v>3</v>
      </c>
      <c r="B28" s="10" t="s">
        <v>30</v>
      </c>
      <c r="C28" s="53"/>
      <c r="D28" s="53"/>
      <c r="E28" s="53"/>
      <c r="F28" s="53">
        <f>'独立费'!E6</f>
        <v>103.92769810299743</v>
      </c>
      <c r="G28" s="227">
        <f t="shared" si="2"/>
        <v>103.92769810299743</v>
      </c>
    </row>
    <row r="29" spans="1:7" ht="19.5" customHeight="1">
      <c r="A29" s="226" t="s">
        <v>31</v>
      </c>
      <c r="B29" s="3"/>
      <c r="C29" s="227">
        <f>C5+C15+C25</f>
        <v>1217.688761445795</v>
      </c>
      <c r="D29" s="227">
        <f>D5+D15+D25</f>
        <v>563.0912390559527</v>
      </c>
      <c r="E29" s="227">
        <f>E5+E15+E25</f>
        <v>2376.327923618149</v>
      </c>
      <c r="F29" s="227">
        <f>F5+F15+F25</f>
        <v>266.0549071436734</v>
      </c>
      <c r="G29" s="227">
        <f t="shared" si="2"/>
        <v>4423.16283126357</v>
      </c>
    </row>
    <row r="30" spans="1:7" ht="19.5" customHeight="1">
      <c r="A30" s="226" t="s">
        <v>32</v>
      </c>
      <c r="B30" s="3"/>
      <c r="C30" s="227"/>
      <c r="D30" s="227"/>
      <c r="E30" s="227"/>
      <c r="F30" s="227"/>
      <c r="G30" s="227">
        <f>G29*3%</f>
        <v>132.6948849379071</v>
      </c>
    </row>
    <row r="31" spans="1:7" ht="19.5" customHeight="1">
      <c r="A31" s="233" t="s">
        <v>33</v>
      </c>
      <c r="B31" s="234"/>
      <c r="C31" s="235"/>
      <c r="D31" s="235"/>
      <c r="E31" s="235"/>
      <c r="F31" s="235"/>
      <c r="G31" s="236">
        <f>SUM(G29:G30)</f>
        <v>4555.857716201477</v>
      </c>
    </row>
    <row r="33" ht="14.25">
      <c r="E33" s="237"/>
    </row>
  </sheetData>
  <sheetProtection/>
  <mergeCells count="15">
    <mergeCell ref="A1:G1"/>
    <mergeCell ref="F2:G2"/>
    <mergeCell ref="D3:E3"/>
    <mergeCell ref="A5:B5"/>
    <mergeCell ref="A15:B15"/>
    <mergeCell ref="A24:B24"/>
    <mergeCell ref="A25:B25"/>
    <mergeCell ref="A29:B29"/>
    <mergeCell ref="A30:B30"/>
    <mergeCell ref="A31:B31"/>
    <mergeCell ref="A3:A4"/>
    <mergeCell ref="B3:B4"/>
    <mergeCell ref="C3:C4"/>
    <mergeCell ref="F3:F4"/>
    <mergeCell ref="G3:G4"/>
  </mergeCells>
  <printOptions horizontalCentered="1"/>
  <pageMargins left="0.5506944444444445" right="0.629861111111111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38" sqref="K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8:K12"/>
  <sheetViews>
    <sheetView zoomScaleSheetLayoutView="100" workbookViewId="0" topLeftCell="A1">
      <selection activeCell="I23" sqref="I23"/>
    </sheetView>
  </sheetViews>
  <sheetFormatPr defaultColWidth="9.00390625" defaultRowHeight="14.25"/>
  <sheetData>
    <row r="1" ht="14.25" customHeight="1"/>
    <row r="7" ht="15"/>
    <row r="8" spans="3:11" ht="15.75">
      <c r="C8" s="12" t="s">
        <v>696</v>
      </c>
      <c r="D8" s="12"/>
      <c r="E8" s="12"/>
      <c r="F8" s="13" t="s">
        <v>697</v>
      </c>
      <c r="G8" s="13"/>
      <c r="H8" s="13" t="s">
        <v>698</v>
      </c>
      <c r="I8" s="13"/>
      <c r="J8" s="13" t="s">
        <v>699</v>
      </c>
      <c r="K8" s="19" t="s">
        <v>700</v>
      </c>
    </row>
    <row r="9" spans="3:11" ht="15.75">
      <c r="C9" s="14" t="s">
        <v>701</v>
      </c>
      <c r="D9" s="15" t="s">
        <v>702</v>
      </c>
      <c r="E9" s="15" t="s">
        <v>703</v>
      </c>
      <c r="F9" s="15" t="s">
        <v>702</v>
      </c>
      <c r="G9" s="15" t="s">
        <v>703</v>
      </c>
      <c r="H9" s="15" t="s">
        <v>702</v>
      </c>
      <c r="I9" s="15" t="s">
        <v>703</v>
      </c>
      <c r="J9" s="15" t="s">
        <v>704</v>
      </c>
      <c r="K9" s="19"/>
    </row>
    <row r="10" spans="3:11" ht="15">
      <c r="C10" s="14" t="s">
        <v>705</v>
      </c>
      <c r="D10" s="16" t="s">
        <v>706</v>
      </c>
      <c r="E10" s="16">
        <v>30.41</v>
      </c>
      <c r="F10" s="16" t="s">
        <v>707</v>
      </c>
      <c r="G10" s="16">
        <v>280</v>
      </c>
      <c r="H10" s="16" t="s">
        <v>708</v>
      </c>
      <c r="I10" s="16">
        <v>40</v>
      </c>
      <c r="J10" s="20">
        <f>E10*G10/10000</f>
        <v>0.8514799999999999</v>
      </c>
      <c r="K10" s="21">
        <f>E10*I10/10000</f>
        <v>0.12164000000000001</v>
      </c>
    </row>
    <row r="11" spans="3:11" ht="15">
      <c r="C11" s="14" t="s">
        <v>709</v>
      </c>
      <c r="D11" s="16" t="s">
        <v>706</v>
      </c>
      <c r="E11" s="16">
        <v>7.89</v>
      </c>
      <c r="F11" s="16" t="s">
        <v>710</v>
      </c>
      <c r="G11" s="16">
        <v>180</v>
      </c>
      <c r="H11" s="16" t="s">
        <v>711</v>
      </c>
      <c r="I11" s="16">
        <v>35</v>
      </c>
      <c r="J11" s="20">
        <f>E11*G11/10000</f>
        <v>0.14202</v>
      </c>
      <c r="K11" s="21">
        <f>E11*I11/10000</f>
        <v>0.027614999999999997</v>
      </c>
    </row>
    <row r="12" spans="3:11" ht="15">
      <c r="C12" s="17" t="s">
        <v>712</v>
      </c>
      <c r="D12" s="18"/>
      <c r="E12" s="18"/>
      <c r="F12" s="18"/>
      <c r="G12" s="18"/>
      <c r="H12" s="18"/>
      <c r="I12" s="18"/>
      <c r="J12" s="22">
        <f>SUM(J10:J11)</f>
        <v>0.9934999999999999</v>
      </c>
      <c r="K12" s="22">
        <f>SUM(K10:K11)</f>
        <v>0.149255</v>
      </c>
    </row>
    <row r="13" ht="15"/>
  </sheetData>
  <sheetProtection/>
  <mergeCells count="4">
    <mergeCell ref="C8:E8"/>
    <mergeCell ref="F8:G8"/>
    <mergeCell ref="H8:I8"/>
    <mergeCell ref="K8:K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24" sqref="F24"/>
    </sheetView>
  </sheetViews>
  <sheetFormatPr defaultColWidth="9.00390625" defaultRowHeight="14.25"/>
  <cols>
    <col min="2" max="2" width="16.625" style="0" customWidth="1"/>
    <col min="3" max="3" width="9.50390625" style="0" customWidth="1"/>
    <col min="6" max="6" width="12.625" style="0" bestFit="1" customWidth="1"/>
    <col min="7" max="7" width="13.75390625" style="0" bestFit="1" customWidth="1"/>
  </cols>
  <sheetData>
    <row r="1" spans="1:5" ht="14.25">
      <c r="A1" s="1" t="s">
        <v>2</v>
      </c>
      <c r="B1" s="1" t="s">
        <v>713</v>
      </c>
      <c r="C1" s="1" t="s">
        <v>7</v>
      </c>
      <c r="D1" s="2" t="s">
        <v>714</v>
      </c>
      <c r="E1" s="2" t="s">
        <v>715</v>
      </c>
    </row>
    <row r="2" spans="1:6" ht="14.25">
      <c r="A2" s="3" t="s">
        <v>10</v>
      </c>
      <c r="B2" s="4"/>
      <c r="C2" s="5" t="e">
        <f>SUM(C3:C4)</f>
        <v>#REF!</v>
      </c>
      <c r="D2" s="5" t="e">
        <f>SUM(D3:D4)</f>
        <v>#REF!</v>
      </c>
      <c r="E2" s="5" t="e">
        <f>C2-D2-#REF!</f>
        <v>#REF!</v>
      </c>
      <c r="F2" s="6"/>
    </row>
    <row r="3" spans="1:6" ht="14.25">
      <c r="A3" s="7" t="s">
        <v>11</v>
      </c>
      <c r="B3" s="8" t="s">
        <v>716</v>
      </c>
      <c r="C3" s="9" t="e">
        <f>总表投资!#REF!</f>
        <v>#REF!</v>
      </c>
      <c r="D3" s="9" t="e">
        <f>#REF!</f>
        <v>#REF!</v>
      </c>
      <c r="E3" s="9" t="e">
        <f>C3-D3-#REF!</f>
        <v>#REF!</v>
      </c>
      <c r="F3" s="6"/>
    </row>
    <row r="4" spans="1:6" ht="14.25">
      <c r="A4" s="7" t="s">
        <v>21</v>
      </c>
      <c r="B4" s="10" t="s">
        <v>717</v>
      </c>
      <c r="C4" s="9" t="e">
        <f>总表投资!#REF!</f>
        <v>#REF!</v>
      </c>
      <c r="D4" s="9">
        <f>'总表投资'!G8*0.33</f>
        <v>3.045937396253053</v>
      </c>
      <c r="E4" s="9" t="e">
        <f>C4-D4-#REF!</f>
        <v>#REF!</v>
      </c>
      <c r="F4" s="6"/>
    </row>
    <row r="5" spans="1:6" ht="14.25">
      <c r="A5" s="3" t="s">
        <v>22</v>
      </c>
      <c r="B5" s="4"/>
      <c r="C5" s="5" t="e">
        <f>SUM(C6:C7)</f>
        <v>#REF!</v>
      </c>
      <c r="D5" s="5"/>
      <c r="E5" s="5" t="e">
        <f>C5-#REF!-D5</f>
        <v>#REF!</v>
      </c>
      <c r="F5" s="6"/>
    </row>
    <row r="6" spans="1:6" ht="14.25">
      <c r="A6" s="7" t="s">
        <v>11</v>
      </c>
      <c r="B6" s="8" t="s">
        <v>716</v>
      </c>
      <c r="C6" s="9" t="e">
        <f>总表投资!#REF!</f>
        <v>#REF!</v>
      </c>
      <c r="D6" s="9"/>
      <c r="E6" s="9" t="e">
        <f>分布工程!#REF!</f>
        <v>#REF!</v>
      </c>
      <c r="F6" s="6"/>
    </row>
    <row r="7" spans="1:6" ht="14.25">
      <c r="A7" s="7" t="s">
        <v>21</v>
      </c>
      <c r="B7" s="10" t="s">
        <v>717</v>
      </c>
      <c r="C7" s="9" t="e">
        <f>总表投资!#REF!</f>
        <v>#REF!</v>
      </c>
      <c r="D7" s="9"/>
      <c r="E7" s="9" t="e">
        <f>C7</f>
        <v>#REF!</v>
      </c>
      <c r="F7" s="6"/>
    </row>
    <row r="8" spans="1:6" ht="14.25">
      <c r="A8" s="3" t="s">
        <v>718</v>
      </c>
      <c r="B8" s="4"/>
      <c r="C8" s="5" t="e">
        <f>C9+C12</f>
        <v>#REF!</v>
      </c>
      <c r="D8" s="5" t="e">
        <f>C8*0.33</f>
        <v>#REF!</v>
      </c>
      <c r="E8" s="5" t="e">
        <f>C8-D8</f>
        <v>#REF!</v>
      </c>
      <c r="F8" s="6"/>
    </row>
    <row r="9" spans="1:6" ht="14.25">
      <c r="A9" s="7" t="s">
        <v>11</v>
      </c>
      <c r="B9" s="7" t="s">
        <v>719</v>
      </c>
      <c r="C9" s="9" t="e">
        <f>总表投资!#REF!</f>
        <v>#REF!</v>
      </c>
      <c r="D9" s="9" t="e">
        <f>C9*0.33</f>
        <v>#REF!</v>
      </c>
      <c r="E9" s="9" t="e">
        <f>C9-D9</f>
        <v>#REF!</v>
      </c>
      <c r="F9" s="6"/>
    </row>
    <row r="10" spans="1:6" ht="14.25">
      <c r="A10" s="7">
        <v>1</v>
      </c>
      <c r="B10" s="8" t="s">
        <v>716</v>
      </c>
      <c r="C10" s="9" t="e">
        <f>总表投资!#REF!</f>
        <v>#REF!</v>
      </c>
      <c r="D10" s="9" t="e">
        <f>C10*0.33</f>
        <v>#REF!</v>
      </c>
      <c r="E10" s="9" t="e">
        <f>C10-D10</f>
        <v>#REF!</v>
      </c>
      <c r="F10" s="6"/>
    </row>
    <row r="11" spans="1:6" ht="14.25">
      <c r="A11" s="7">
        <v>2</v>
      </c>
      <c r="B11" s="10" t="s">
        <v>717</v>
      </c>
      <c r="C11" s="9" t="e">
        <f>总表投资!#REF!</f>
        <v>#REF!</v>
      </c>
      <c r="D11" s="9" t="e">
        <f>C11*0.33</f>
        <v>#REF!</v>
      </c>
      <c r="E11" s="9" t="e">
        <f>C11-D11</f>
        <v>#REF!</v>
      </c>
      <c r="F11" s="6"/>
    </row>
    <row r="12" spans="1:6" ht="14.25">
      <c r="A12" s="7" t="s">
        <v>21</v>
      </c>
      <c r="B12" s="7" t="s">
        <v>720</v>
      </c>
      <c r="C12" s="9" t="e">
        <f>总表投资!#REF!</f>
        <v>#REF!</v>
      </c>
      <c r="D12" s="9" t="e">
        <f>C12*0.33</f>
        <v>#REF!</v>
      </c>
      <c r="E12" s="9" t="e">
        <f>C12-D12</f>
        <v>#REF!</v>
      </c>
      <c r="F12" s="6"/>
    </row>
    <row r="13" spans="1:6" ht="14.25">
      <c r="A13" s="3" t="s">
        <v>721</v>
      </c>
      <c r="B13" s="4"/>
      <c r="C13" s="5" t="e">
        <f>SUM(C14:C18)</f>
        <v>#REF!</v>
      </c>
      <c r="D13" s="5" t="e">
        <f>SUM(D14:D18)</f>
        <v>#REF!</v>
      </c>
      <c r="E13" s="5" t="e">
        <f>SUM(E14:E18)</f>
        <v>#REF!</v>
      </c>
      <c r="F13" s="6"/>
    </row>
    <row r="14" spans="1:6" ht="14.25">
      <c r="A14" s="11">
        <v>1</v>
      </c>
      <c r="B14" s="7" t="s">
        <v>722</v>
      </c>
      <c r="C14" s="9" t="e">
        <f>总表投资!#REF!</f>
        <v>#REF!</v>
      </c>
      <c r="D14" s="9" t="e">
        <f>C14*0.1</f>
        <v>#REF!</v>
      </c>
      <c r="E14" s="9" t="e">
        <f>C14-D14-#REF!</f>
        <v>#REF!</v>
      </c>
      <c r="F14" s="6"/>
    </row>
    <row r="15" spans="1:6" ht="14.25">
      <c r="A15" s="11">
        <v>2</v>
      </c>
      <c r="B15" s="7" t="s">
        <v>723</v>
      </c>
      <c r="C15" s="9" t="e">
        <f>总表投资!#REF!</f>
        <v>#REF!</v>
      </c>
      <c r="D15" s="9" t="e">
        <f>C15</f>
        <v>#REF!</v>
      </c>
      <c r="E15" s="9"/>
      <c r="F15" s="6"/>
    </row>
    <row r="16" spans="1:6" ht="14.25">
      <c r="A16" s="11">
        <v>3</v>
      </c>
      <c r="B16" s="7" t="s">
        <v>724</v>
      </c>
      <c r="C16" s="9" t="e">
        <f>总表投资!#REF!</f>
        <v>#REF!</v>
      </c>
      <c r="D16" s="9" t="e">
        <f>C16</f>
        <v>#REF!</v>
      </c>
      <c r="E16" s="9"/>
      <c r="F16" s="6"/>
    </row>
    <row r="17" spans="1:6" ht="14.25">
      <c r="A17" s="11">
        <v>4</v>
      </c>
      <c r="B17" s="7" t="s">
        <v>725</v>
      </c>
      <c r="C17" s="9" t="e">
        <f>总表投资!#REF!</f>
        <v>#REF!</v>
      </c>
      <c r="D17" s="9" t="e">
        <f>C17</f>
        <v>#REF!</v>
      </c>
      <c r="E17" s="9"/>
      <c r="F17" s="6"/>
    </row>
    <row r="18" spans="1:6" ht="14.25">
      <c r="A18" s="11">
        <v>5</v>
      </c>
      <c r="B18" s="7" t="s">
        <v>726</v>
      </c>
      <c r="C18" s="9" t="e">
        <f>总表投资!#REF!</f>
        <v>#REF!</v>
      </c>
      <c r="D18" s="9"/>
      <c r="E18" s="9" t="e">
        <f>C18-D18</f>
        <v>#REF!</v>
      </c>
      <c r="F18" s="6"/>
    </row>
    <row r="19" spans="1:6" ht="14.25">
      <c r="A19" s="3" t="s">
        <v>727</v>
      </c>
      <c r="B19" s="4"/>
      <c r="C19" s="5" t="e">
        <f>C2+C5+C8+C13</f>
        <v>#REF!</v>
      </c>
      <c r="D19" s="5" t="e">
        <f>D2+D5+D8+D13</f>
        <v>#REF!</v>
      </c>
      <c r="E19" s="5" t="e">
        <f>E2+E5+E8+E13</f>
        <v>#REF!</v>
      </c>
      <c r="F19" s="6"/>
    </row>
    <row r="20" spans="1:6" ht="14.25">
      <c r="A20" s="3" t="s">
        <v>728</v>
      </c>
      <c r="B20" s="4"/>
      <c r="C20" s="5" t="e">
        <f>总表投资!#REF!</f>
        <v>#REF!</v>
      </c>
      <c r="D20" s="5" t="e">
        <f>C20*0.33</f>
        <v>#REF!</v>
      </c>
      <c r="E20" s="5" t="e">
        <f>C20-D20</f>
        <v>#REF!</v>
      </c>
      <c r="F20" s="6"/>
    </row>
    <row r="21" spans="1:6" ht="14.25">
      <c r="A21" s="3" t="s">
        <v>729</v>
      </c>
      <c r="B21" s="3"/>
      <c r="C21" s="5" t="e">
        <f>总表投资!#REF!</f>
        <v>#REF!</v>
      </c>
      <c r="D21" s="5" t="e">
        <f>C21</f>
        <v>#REF!</v>
      </c>
      <c r="E21" s="5"/>
      <c r="F21" s="6"/>
    </row>
    <row r="22" spans="1:6" ht="14.25">
      <c r="A22" s="3" t="s">
        <v>730</v>
      </c>
      <c r="B22" s="4"/>
      <c r="C22" s="5" t="e">
        <f>C19+C20+C21</f>
        <v>#REF!</v>
      </c>
      <c r="D22" s="5" t="e">
        <f>SUM(D19:D21)</f>
        <v>#REF!</v>
      </c>
      <c r="E22" s="5" t="e">
        <f>SUM(E19:E21)</f>
        <v>#REF!</v>
      </c>
      <c r="F22" s="6"/>
    </row>
  </sheetData>
  <sheetProtection/>
  <mergeCells count="8">
    <mergeCell ref="A2:B2"/>
    <mergeCell ref="A5:B5"/>
    <mergeCell ref="A8:B8"/>
    <mergeCell ref="A13:B13"/>
    <mergeCell ref="A19:B19"/>
    <mergeCell ref="A20:B20"/>
    <mergeCell ref="A21:B21"/>
    <mergeCell ref="A22:B2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7"/>
  <sheetViews>
    <sheetView workbookViewId="0" topLeftCell="A1">
      <selection activeCell="E13" sqref="E13"/>
    </sheetView>
  </sheetViews>
  <sheetFormatPr defaultColWidth="9.00390625" defaultRowHeight="14.25"/>
  <cols>
    <col min="1" max="1" width="5.50390625" style="178" customWidth="1"/>
    <col min="2" max="2" width="29.125" style="178" customWidth="1"/>
    <col min="3" max="3" width="8.125" style="178" customWidth="1"/>
    <col min="4" max="4" width="10.125" style="178" bestFit="1" customWidth="1"/>
    <col min="5" max="5" width="11.00390625" style="179" customWidth="1"/>
    <col min="6" max="6" width="10.75390625" style="179" customWidth="1"/>
    <col min="7" max="7" width="10.875" style="147" customWidth="1"/>
    <col min="8" max="9" width="12.625" style="147" bestFit="1" customWidth="1"/>
    <col min="10" max="16384" width="9.00390625" style="147" customWidth="1"/>
  </cols>
  <sheetData>
    <row r="1" spans="1:6" ht="20.25">
      <c r="A1" s="180" t="s">
        <v>34</v>
      </c>
      <c r="B1" s="181"/>
      <c r="C1" s="181"/>
      <c r="D1" s="181"/>
      <c r="E1" s="181"/>
      <c r="F1" s="181"/>
    </row>
    <row r="2" spans="1:7" ht="14.25">
      <c r="A2" s="182"/>
      <c r="B2" s="183"/>
      <c r="C2" s="183"/>
      <c r="D2" s="183"/>
      <c r="E2" s="183"/>
      <c r="F2" s="184" t="s">
        <v>1</v>
      </c>
      <c r="G2" s="184"/>
    </row>
    <row r="3" spans="1:7" s="177" customFormat="1" ht="24.75">
      <c r="A3" s="185" t="s">
        <v>35</v>
      </c>
      <c r="B3" s="185" t="s">
        <v>36</v>
      </c>
      <c r="C3" s="185" t="s">
        <v>37</v>
      </c>
      <c r="D3" s="186" t="s">
        <v>38</v>
      </c>
      <c r="E3" s="187" t="s">
        <v>39</v>
      </c>
      <c r="F3" s="188" t="s">
        <v>40</v>
      </c>
      <c r="G3" s="189" t="s">
        <v>41</v>
      </c>
    </row>
    <row r="4" spans="1:7" s="177" customFormat="1" ht="15.75">
      <c r="A4" s="113" t="s">
        <v>42</v>
      </c>
      <c r="B4" s="113"/>
      <c r="C4" s="113"/>
      <c r="D4" s="113"/>
      <c r="E4" s="190"/>
      <c r="F4" s="191">
        <f>F5+F133</f>
        <v>1217.688761445795</v>
      </c>
      <c r="G4" s="192"/>
    </row>
    <row r="5" spans="1:7" s="177" customFormat="1" ht="15.75">
      <c r="A5" s="63" t="s">
        <v>11</v>
      </c>
      <c r="B5" s="63" t="s">
        <v>43</v>
      </c>
      <c r="C5" s="113"/>
      <c r="D5" s="113"/>
      <c r="E5" s="190"/>
      <c r="F5" s="191">
        <f>F6+F52+F55+F116+F125</f>
        <v>1016.5454041904397</v>
      </c>
      <c r="G5" s="192"/>
    </row>
    <row r="6" spans="1:7" ht="15.75">
      <c r="A6" s="63" t="s">
        <v>12</v>
      </c>
      <c r="B6" s="63" t="s">
        <v>44</v>
      </c>
      <c r="C6" s="113"/>
      <c r="D6" s="113"/>
      <c r="E6" s="190"/>
      <c r="F6" s="191">
        <f>F7+F11+F17+F24+F33+F38</f>
        <v>826.6806101488133</v>
      </c>
      <c r="G6" s="193"/>
    </row>
    <row r="7" spans="1:7" ht="15.75">
      <c r="A7" s="32">
        <v>1</v>
      </c>
      <c r="B7" s="32" t="s">
        <v>45</v>
      </c>
      <c r="C7" s="32" t="s">
        <v>46</v>
      </c>
      <c r="D7" s="32">
        <v>4235.8</v>
      </c>
      <c r="E7" s="66"/>
      <c r="F7" s="153">
        <f>SUM(F8:F10)</f>
        <v>142.6205690096034</v>
      </c>
      <c r="G7" s="193"/>
    </row>
    <row r="8" spans="1:7" ht="15.75">
      <c r="A8" s="32" t="s">
        <v>47</v>
      </c>
      <c r="B8" s="32" t="s">
        <v>48</v>
      </c>
      <c r="C8" s="32" t="s">
        <v>49</v>
      </c>
      <c r="D8" s="33">
        <v>2668.554</v>
      </c>
      <c r="E8" s="66">
        <f>'主要材料费'!D60</f>
        <v>334.75</v>
      </c>
      <c r="F8" s="153">
        <f aca="true" t="shared" si="0" ref="F8:F10">D8*E8/10000</f>
        <v>89.32984515000001</v>
      </c>
      <c r="G8" s="193"/>
    </row>
    <row r="9" spans="1:7" ht="15.75">
      <c r="A9" s="32" t="s">
        <v>50</v>
      </c>
      <c r="B9" s="32" t="s">
        <v>51</v>
      </c>
      <c r="C9" s="32" t="s">
        <v>49</v>
      </c>
      <c r="D9" s="33">
        <v>5559.4875</v>
      </c>
      <c r="E9" s="157">
        <v>90</v>
      </c>
      <c r="F9" s="153">
        <f t="shared" si="0"/>
        <v>50.0353875</v>
      </c>
      <c r="G9" s="193"/>
    </row>
    <row r="10" spans="1:7" ht="15.75">
      <c r="A10" s="32" t="s">
        <v>52</v>
      </c>
      <c r="B10" s="8" t="s">
        <v>53</v>
      </c>
      <c r="C10" s="32" t="s">
        <v>54</v>
      </c>
      <c r="D10" s="33">
        <v>22237.95</v>
      </c>
      <c r="E10" s="66">
        <f>'单价汇总'!E60/100</f>
        <v>1.4638653111475668</v>
      </c>
      <c r="F10" s="153">
        <f t="shared" si="0"/>
        <v>3.2553363596034033</v>
      </c>
      <c r="G10" s="193"/>
    </row>
    <row r="11" spans="1:7" ht="15.75">
      <c r="A11" s="32">
        <v>2</v>
      </c>
      <c r="B11" s="32" t="s">
        <v>55</v>
      </c>
      <c r="C11" s="32" t="s">
        <v>46</v>
      </c>
      <c r="D11" s="33">
        <f>555.37+1830</f>
        <v>2385.37</v>
      </c>
      <c r="E11" s="66"/>
      <c r="F11" s="153">
        <f>SUM(F12:F15)+F16</f>
        <v>221.39716171469792</v>
      </c>
      <c r="G11" s="193"/>
    </row>
    <row r="12" spans="1:7" ht="15.75">
      <c r="A12" s="32" t="s">
        <v>47</v>
      </c>
      <c r="B12" s="32" t="s">
        <v>56</v>
      </c>
      <c r="C12" s="32" t="s">
        <v>54</v>
      </c>
      <c r="D12" s="33">
        <v>7825.062</v>
      </c>
      <c r="E12" s="66">
        <f>'主要材料费'!D65</f>
        <v>97.85</v>
      </c>
      <c r="F12" s="153">
        <f aca="true" t="shared" si="1" ref="F12:F16">D12*E12/10000</f>
        <v>76.56823167</v>
      </c>
      <c r="G12" s="193"/>
    </row>
    <row r="13" spans="1:7" ht="15.75">
      <c r="A13" s="32" t="s">
        <v>50</v>
      </c>
      <c r="B13" s="32" t="s">
        <v>57</v>
      </c>
      <c r="C13" s="32" t="s">
        <v>49</v>
      </c>
      <c r="D13" s="33">
        <v>469.50372</v>
      </c>
      <c r="E13" s="66">
        <f>'主要材料费'!D61</f>
        <v>320.33</v>
      </c>
      <c r="F13" s="153">
        <f t="shared" si="1"/>
        <v>15.03961266276</v>
      </c>
      <c r="G13" s="193"/>
    </row>
    <row r="14" spans="1:7" ht="15.75">
      <c r="A14" s="32" t="s">
        <v>52</v>
      </c>
      <c r="B14" s="32" t="s">
        <v>58</v>
      </c>
      <c r="C14" s="32" t="s">
        <v>49</v>
      </c>
      <c r="D14" s="33">
        <v>1173.7593</v>
      </c>
      <c r="E14" s="66">
        <f>E9</f>
        <v>90</v>
      </c>
      <c r="F14" s="153">
        <f t="shared" si="1"/>
        <v>10.5638337</v>
      </c>
      <c r="G14" s="193"/>
    </row>
    <row r="15" spans="1:7" ht="15.75">
      <c r="A15" s="32" t="s">
        <v>59</v>
      </c>
      <c r="B15" s="32" t="s">
        <v>60</v>
      </c>
      <c r="C15" s="32" t="s">
        <v>54</v>
      </c>
      <c r="D15" s="33">
        <v>7825.062</v>
      </c>
      <c r="E15" s="66">
        <f>E10</f>
        <v>1.4638653111475668</v>
      </c>
      <c r="F15" s="153">
        <f t="shared" si="1"/>
        <v>1.1454836819379002</v>
      </c>
      <c r="G15" s="193"/>
    </row>
    <row r="16" spans="1:7" ht="15.75">
      <c r="A16" s="32" t="s">
        <v>61</v>
      </c>
      <c r="B16" s="8" t="s">
        <v>62</v>
      </c>
      <c r="C16" s="8" t="s">
        <v>63</v>
      </c>
      <c r="D16" s="33">
        <v>300</v>
      </c>
      <c r="E16" s="66">
        <f>'主要材料费'!D75</f>
        <v>3936</v>
      </c>
      <c r="F16" s="153">
        <f t="shared" si="1"/>
        <v>118.08</v>
      </c>
      <c r="G16" s="193"/>
    </row>
    <row r="17" spans="1:7" ht="15.75">
      <c r="A17" s="32">
        <v>3</v>
      </c>
      <c r="B17" s="32" t="s">
        <v>64</v>
      </c>
      <c r="C17" s="32" t="s">
        <v>46</v>
      </c>
      <c r="D17" s="33">
        <v>5200.155</v>
      </c>
      <c r="E17" s="66"/>
      <c r="F17" s="153">
        <f>F18+F20+F22+F23</f>
        <v>86.95656115795762</v>
      </c>
      <c r="G17" s="193"/>
    </row>
    <row r="18" spans="1:7" ht="15.75">
      <c r="A18" s="32" t="s">
        <v>47</v>
      </c>
      <c r="B18" s="32" t="s">
        <v>65</v>
      </c>
      <c r="C18" s="32" t="s">
        <v>54</v>
      </c>
      <c r="D18" s="33">
        <v>10920.3255</v>
      </c>
      <c r="E18" s="66"/>
      <c r="F18" s="153">
        <f>F19</f>
        <v>38.952801058499986</v>
      </c>
      <c r="G18" s="193"/>
    </row>
    <row r="19" spans="1:7" ht="15.75">
      <c r="A19" s="32"/>
      <c r="B19" s="8" t="s">
        <v>66</v>
      </c>
      <c r="C19" s="32" t="s">
        <v>67</v>
      </c>
      <c r="D19" s="33">
        <f>D18/(0.2*0.2)</f>
        <v>273008.13749999995</v>
      </c>
      <c r="E19" s="66">
        <f>'主要材料费'!D69</f>
        <v>1.4267999999999998</v>
      </c>
      <c r="F19" s="153">
        <f aca="true" t="shared" si="2" ref="F19:F23">D19*E19/10000</f>
        <v>38.952801058499986</v>
      </c>
      <c r="G19" s="193"/>
    </row>
    <row r="20" spans="1:7" ht="15.75">
      <c r="A20" s="32" t="s">
        <v>50</v>
      </c>
      <c r="B20" s="32" t="s">
        <v>68</v>
      </c>
      <c r="C20" s="32" t="s">
        <v>54</v>
      </c>
      <c r="D20" s="33">
        <f>10920.32</f>
        <v>10920.32</v>
      </c>
      <c r="E20" s="66"/>
      <c r="F20" s="153">
        <f>F21</f>
        <v>16.901379264</v>
      </c>
      <c r="G20" s="193"/>
    </row>
    <row r="21" spans="1:7" ht="15.75">
      <c r="A21" s="32"/>
      <c r="B21" s="32" t="s">
        <v>69</v>
      </c>
      <c r="C21" s="32" t="s">
        <v>70</v>
      </c>
      <c r="D21" s="33">
        <f>D20*0.03*1.54</f>
        <v>504.51878400000004</v>
      </c>
      <c r="E21" s="66">
        <f>'主要材料费'!D63</f>
        <v>335</v>
      </c>
      <c r="F21" s="153">
        <f t="shared" si="2"/>
        <v>16.901379264</v>
      </c>
      <c r="G21" s="193"/>
    </row>
    <row r="22" spans="1:7" ht="15.75">
      <c r="A22" s="32" t="s">
        <v>52</v>
      </c>
      <c r="B22" s="32" t="s">
        <v>71</v>
      </c>
      <c r="C22" s="32" t="s">
        <v>49</v>
      </c>
      <c r="D22" s="33">
        <v>1638.05</v>
      </c>
      <c r="E22" s="66">
        <f>'主要材料费'!D66*0.51912+'主要材料费'!D67*1.06353</f>
        <v>180.11533388399997</v>
      </c>
      <c r="F22" s="153">
        <f t="shared" si="2"/>
        <v>29.503792266868615</v>
      </c>
      <c r="G22" s="193"/>
    </row>
    <row r="23" spans="1:7" ht="15.75">
      <c r="A23" s="32" t="s">
        <v>59</v>
      </c>
      <c r="B23" s="32" t="s">
        <v>60</v>
      </c>
      <c r="C23" s="32" t="s">
        <v>54</v>
      </c>
      <c r="D23" s="33">
        <v>10920.3255</v>
      </c>
      <c r="E23" s="66">
        <f>E15</f>
        <v>1.4638653111475668</v>
      </c>
      <c r="F23" s="153">
        <f t="shared" si="2"/>
        <v>1.5985885685890209</v>
      </c>
      <c r="G23" s="193"/>
    </row>
    <row r="24" spans="1:7" ht="15.75">
      <c r="A24" s="32">
        <v>4</v>
      </c>
      <c r="B24" s="32" t="s">
        <v>72</v>
      </c>
      <c r="C24" s="32" t="s">
        <v>54</v>
      </c>
      <c r="D24" s="33">
        <v>7710.93</v>
      </c>
      <c r="E24" s="66"/>
      <c r="F24" s="153">
        <f>F25+F26+F28+F29+F30+F31</f>
        <v>215.83003108641552</v>
      </c>
      <c r="G24" s="193"/>
    </row>
    <row r="25" spans="1:7" ht="15.75">
      <c r="A25" s="32" t="s">
        <v>47</v>
      </c>
      <c r="B25" s="32" t="s">
        <v>73</v>
      </c>
      <c r="C25" s="32" t="s">
        <v>54</v>
      </c>
      <c r="D25" s="33">
        <v>7710.93</v>
      </c>
      <c r="E25" s="66">
        <f>'主要材料费'!D74</f>
        <v>202.45799999999997</v>
      </c>
      <c r="F25" s="153">
        <f aca="true" t="shared" si="3" ref="F25:F30">D25*E25/10000</f>
        <v>156.11394659399997</v>
      </c>
      <c r="G25" s="193"/>
    </row>
    <row r="26" spans="1:7" ht="15.75">
      <c r="A26" s="32" t="s">
        <v>50</v>
      </c>
      <c r="B26" s="32" t="s">
        <v>68</v>
      </c>
      <c r="C26" s="32" t="s">
        <v>54</v>
      </c>
      <c r="D26" s="33">
        <v>7710.93</v>
      </c>
      <c r="E26" s="66"/>
      <c r="F26" s="153">
        <f>F27</f>
        <v>11.934206361000001</v>
      </c>
      <c r="G26" s="193"/>
    </row>
    <row r="27" spans="1:7" ht="15.75">
      <c r="A27" s="32"/>
      <c r="B27" s="32" t="s">
        <v>69</v>
      </c>
      <c r="C27" s="32" t="s">
        <v>70</v>
      </c>
      <c r="D27" s="33">
        <f>D26*0.03*1.54</f>
        <v>356.24496600000003</v>
      </c>
      <c r="E27" s="66">
        <f>E21</f>
        <v>335</v>
      </c>
      <c r="F27" s="153">
        <f t="shared" si="3"/>
        <v>11.934206361000001</v>
      </c>
      <c r="G27" s="193"/>
    </row>
    <row r="28" spans="1:7" ht="15.75">
      <c r="A28" s="32" t="s">
        <v>52</v>
      </c>
      <c r="B28" s="32" t="s">
        <v>74</v>
      </c>
      <c r="C28" s="32" t="s">
        <v>49</v>
      </c>
      <c r="D28" s="33">
        <v>771.093</v>
      </c>
      <c r="E28" s="66">
        <f>'主要材料费'!D62</f>
        <v>310.03</v>
      </c>
      <c r="F28" s="153">
        <f t="shared" si="3"/>
        <v>23.906196278999996</v>
      </c>
      <c r="G28" s="193"/>
    </row>
    <row r="29" spans="1:7" ht="15.75">
      <c r="A29" s="32" t="s">
        <v>59</v>
      </c>
      <c r="B29" s="32" t="s">
        <v>71</v>
      </c>
      <c r="C29" s="32" t="s">
        <v>49</v>
      </c>
      <c r="D29" s="33">
        <v>1156.6395</v>
      </c>
      <c r="E29" s="66">
        <f>E22</f>
        <v>180.11533388399997</v>
      </c>
      <c r="F29" s="153">
        <f t="shared" si="3"/>
        <v>20.83285097259228</v>
      </c>
      <c r="G29" s="193"/>
    </row>
    <row r="30" spans="1:7" ht="15.75">
      <c r="A30" s="32" t="s">
        <v>61</v>
      </c>
      <c r="B30" s="32" t="s">
        <v>60</v>
      </c>
      <c r="C30" s="32" t="s">
        <v>54</v>
      </c>
      <c r="D30" s="33">
        <v>7710.93</v>
      </c>
      <c r="E30" s="66">
        <f>E15</f>
        <v>1.4638653111475668</v>
      </c>
      <c r="F30" s="153">
        <f t="shared" si="3"/>
        <v>1.1287762943687107</v>
      </c>
      <c r="G30" s="193"/>
    </row>
    <row r="31" spans="1:7" ht="15.75">
      <c r="A31" s="32" t="s">
        <v>75</v>
      </c>
      <c r="B31" s="32" t="s">
        <v>76</v>
      </c>
      <c r="C31" s="32" t="s">
        <v>46</v>
      </c>
      <c r="D31" s="33">
        <v>850.21</v>
      </c>
      <c r="E31" s="66"/>
      <c r="F31" s="153">
        <f>F32</f>
        <v>1.9140545854545457</v>
      </c>
      <c r="G31" s="193"/>
    </row>
    <row r="32" spans="1:7" ht="15.75">
      <c r="A32" s="32"/>
      <c r="B32" s="8" t="s">
        <v>77</v>
      </c>
      <c r="C32" s="32" t="s">
        <v>67</v>
      </c>
      <c r="D32" s="33">
        <f>D31/0.495</f>
        <v>1717.5959595959596</v>
      </c>
      <c r="E32" s="66">
        <f>'主要材料费'!D70</f>
        <v>11.143800000000002</v>
      </c>
      <c r="F32" s="153">
        <f aca="true" t="shared" si="4" ref="F32:F36">D32*E32/10000</f>
        <v>1.9140545854545457</v>
      </c>
      <c r="G32" s="193"/>
    </row>
    <row r="33" spans="1:7" ht="15.75">
      <c r="A33" s="32">
        <v>5</v>
      </c>
      <c r="B33" s="8" t="s">
        <v>78</v>
      </c>
      <c r="C33" s="32" t="s">
        <v>54</v>
      </c>
      <c r="D33" s="33">
        <v>2260.2195</v>
      </c>
      <c r="E33" s="66"/>
      <c r="F33" s="153">
        <f>F34+F35+F37+F36</f>
        <v>82.98783449061794</v>
      </c>
      <c r="G33" s="193"/>
    </row>
    <row r="34" spans="1:7" ht="15.75">
      <c r="A34" s="32"/>
      <c r="B34" s="8" t="s">
        <v>79</v>
      </c>
      <c r="C34" s="32" t="s">
        <v>49</v>
      </c>
      <c r="D34" s="33">
        <f>D33*0.1</f>
        <v>226.02195000000003</v>
      </c>
      <c r="E34" s="66">
        <f>'主要材料费'!D72</f>
        <v>2399.2133999999996</v>
      </c>
      <c r="F34" s="153">
        <f t="shared" si="4"/>
        <v>54.22748911341299</v>
      </c>
      <c r="G34" s="193"/>
    </row>
    <row r="35" spans="1:7" ht="15.75">
      <c r="A35" s="32"/>
      <c r="B35" s="8" t="s">
        <v>80</v>
      </c>
      <c r="C35" s="32" t="s">
        <v>49</v>
      </c>
      <c r="D35" s="33">
        <f>D34*0.2</f>
        <v>45.20439000000001</v>
      </c>
      <c r="E35" s="66">
        <f>'主要材料费'!D73</f>
        <v>2644.8075000000003</v>
      </c>
      <c r="F35" s="153">
        <f t="shared" si="4"/>
        <v>11.955690970492505</v>
      </c>
      <c r="G35" s="193"/>
    </row>
    <row r="36" spans="1:7" ht="15.75">
      <c r="A36" s="32"/>
      <c r="B36" s="8" t="s">
        <v>81</v>
      </c>
      <c r="C36" s="32" t="s">
        <v>49</v>
      </c>
      <c r="D36" s="33">
        <v>100</v>
      </c>
      <c r="E36" s="66">
        <v>1151</v>
      </c>
      <c r="F36" s="153">
        <f t="shared" si="4"/>
        <v>11.51</v>
      </c>
      <c r="G36" s="193"/>
    </row>
    <row r="37" spans="1:7" ht="15.75">
      <c r="A37" s="32"/>
      <c r="B37" s="8" t="s">
        <v>82</v>
      </c>
      <c r="C37" s="32" t="s">
        <v>83</v>
      </c>
      <c r="D37" s="33">
        <v>8</v>
      </c>
      <c r="E37" s="66">
        <f>F34+F35</f>
        <v>66.1831800839055</v>
      </c>
      <c r="F37" s="153">
        <f>E37*D37/100</f>
        <v>5.29465440671244</v>
      </c>
      <c r="G37" s="193"/>
    </row>
    <row r="38" spans="1:7" ht="15.75">
      <c r="A38" s="32">
        <v>6</v>
      </c>
      <c r="B38" s="32" t="s">
        <v>84</v>
      </c>
      <c r="C38" s="32" t="s">
        <v>54</v>
      </c>
      <c r="D38" s="33">
        <v>5405.3730000000005</v>
      </c>
      <c r="E38" s="66"/>
      <c r="F38" s="153">
        <f>F39+F43+F50</f>
        <v>76.88845268952095</v>
      </c>
      <c r="G38" s="193"/>
    </row>
    <row r="39" spans="1:7" ht="15.75">
      <c r="A39" s="65" t="s">
        <v>85</v>
      </c>
      <c r="B39" s="32" t="s">
        <v>86</v>
      </c>
      <c r="C39" s="32" t="s">
        <v>54</v>
      </c>
      <c r="D39" s="33">
        <v>2645.4735</v>
      </c>
      <c r="E39" s="66"/>
      <c r="F39" s="153">
        <f>F40+F41+F42</f>
        <v>17.81476631898707</v>
      </c>
      <c r="G39" s="193"/>
    </row>
    <row r="40" spans="1:7" ht="15.75">
      <c r="A40" s="32" t="s">
        <v>47</v>
      </c>
      <c r="B40" s="32" t="s">
        <v>48</v>
      </c>
      <c r="C40" s="32" t="s">
        <v>49</v>
      </c>
      <c r="D40" s="33">
        <v>333.32966100000004</v>
      </c>
      <c r="E40" s="66">
        <f>'主要材料费'!D60</f>
        <v>334.75</v>
      </c>
      <c r="F40" s="153">
        <f>D40*E40/10000</f>
        <v>11.158210401975001</v>
      </c>
      <c r="G40" s="193"/>
    </row>
    <row r="41" spans="1:7" ht="15.75">
      <c r="A41" s="32" t="s">
        <v>50</v>
      </c>
      <c r="B41" s="32" t="s">
        <v>51</v>
      </c>
      <c r="C41" s="32" t="s">
        <v>49</v>
      </c>
      <c r="D41" s="33">
        <v>694.43679375</v>
      </c>
      <c r="E41" s="66">
        <f>E14</f>
        <v>90</v>
      </c>
      <c r="F41" s="153">
        <f>D41*E41/10000</f>
        <v>6.2499311437500005</v>
      </c>
      <c r="G41" s="193"/>
    </row>
    <row r="42" spans="1:7" ht="15.75">
      <c r="A42" s="32" t="s">
        <v>52</v>
      </c>
      <c r="B42" s="32" t="s">
        <v>60</v>
      </c>
      <c r="C42" s="32" t="s">
        <v>54</v>
      </c>
      <c r="D42" s="33">
        <v>2777.747175</v>
      </c>
      <c r="E42" s="66">
        <f>E30</f>
        <v>1.4638653111475668</v>
      </c>
      <c r="F42" s="153">
        <f>D42*E42/10000</f>
        <v>0.4066247732620649</v>
      </c>
      <c r="G42" s="193"/>
    </row>
    <row r="43" spans="1:7" ht="15.75">
      <c r="A43" s="65" t="s">
        <v>87</v>
      </c>
      <c r="B43" s="32" t="s">
        <v>88</v>
      </c>
      <c r="C43" s="32" t="s">
        <v>54</v>
      </c>
      <c r="D43" s="33">
        <v>2759.8995000000004</v>
      </c>
      <c r="E43" s="66"/>
      <c r="F43" s="153">
        <f>F44+F46+F47+F48+F49</f>
        <v>56.17887208179751</v>
      </c>
      <c r="G43" s="193"/>
    </row>
    <row r="44" spans="1:7" ht="24.75">
      <c r="A44" s="32" t="s">
        <v>47</v>
      </c>
      <c r="B44" s="11" t="s">
        <v>89</v>
      </c>
      <c r="C44" s="32" t="s">
        <v>54</v>
      </c>
      <c r="D44" s="33">
        <v>2897.894475</v>
      </c>
      <c r="E44" s="66"/>
      <c r="F44" s="153">
        <f>F45</f>
        <v>11.976418286280001</v>
      </c>
      <c r="G44" s="193"/>
    </row>
    <row r="45" spans="1:7" ht="15.75">
      <c r="A45" s="32"/>
      <c r="B45" s="7" t="s">
        <v>90</v>
      </c>
      <c r="C45" s="32" t="s">
        <v>67</v>
      </c>
      <c r="D45" s="33">
        <v>46366.3116</v>
      </c>
      <c r="E45" s="66">
        <f>'主要材料费'!D71</f>
        <v>2.583</v>
      </c>
      <c r="F45" s="153">
        <f>D45*E45/10000</f>
        <v>11.976418286280001</v>
      </c>
      <c r="G45" s="193"/>
    </row>
    <row r="46" spans="1:7" ht="15.75">
      <c r="A46" s="32" t="s">
        <v>50</v>
      </c>
      <c r="B46" s="32" t="s">
        <v>91</v>
      </c>
      <c r="C46" s="32" t="s">
        <v>54</v>
      </c>
      <c r="D46" s="33">
        <v>2897.894475</v>
      </c>
      <c r="E46" s="66">
        <f>E48</f>
        <v>90</v>
      </c>
      <c r="F46" s="153">
        <f>D46*E46/10000</f>
        <v>26.081050275000003</v>
      </c>
      <c r="G46" s="193"/>
    </row>
    <row r="47" spans="1:7" ht="15.75">
      <c r="A47" s="32" t="s">
        <v>52</v>
      </c>
      <c r="B47" s="32" t="s">
        <v>92</v>
      </c>
      <c r="C47" s="32" t="s">
        <v>49</v>
      </c>
      <c r="D47" s="33">
        <v>289.7894475</v>
      </c>
      <c r="E47" s="66">
        <f>'主要材料费'!D61</f>
        <v>320.33</v>
      </c>
      <c r="F47" s="153">
        <f aca="true" t="shared" si="5" ref="F47:F49">D47*E47/10000</f>
        <v>9.2828253717675</v>
      </c>
      <c r="G47" s="193"/>
    </row>
    <row r="48" spans="1:7" ht="15.75">
      <c r="A48" s="67" t="s">
        <v>93</v>
      </c>
      <c r="B48" s="32" t="s">
        <v>94</v>
      </c>
      <c r="C48" s="32" t="s">
        <v>49</v>
      </c>
      <c r="D48" s="33">
        <v>869.3683425</v>
      </c>
      <c r="E48" s="66">
        <f>E41</f>
        <v>90</v>
      </c>
      <c r="F48" s="153">
        <f t="shared" si="5"/>
        <v>7.8243150825</v>
      </c>
      <c r="G48" s="193"/>
    </row>
    <row r="49" spans="1:7" ht="15.75">
      <c r="A49" s="67" t="s">
        <v>95</v>
      </c>
      <c r="B49" s="8" t="s">
        <v>96</v>
      </c>
      <c r="C49" s="32" t="s">
        <v>54</v>
      </c>
      <c r="D49" s="33">
        <v>2897.894475</v>
      </c>
      <c r="E49" s="66">
        <v>3.5</v>
      </c>
      <c r="F49" s="153">
        <f t="shared" si="5"/>
        <v>1.01426306625</v>
      </c>
      <c r="G49" s="193"/>
    </row>
    <row r="50" spans="1:7" ht="15.75">
      <c r="A50" s="65" t="s">
        <v>97</v>
      </c>
      <c r="B50" s="32" t="s">
        <v>98</v>
      </c>
      <c r="C50" s="32" t="s">
        <v>46</v>
      </c>
      <c r="D50" s="33">
        <v>1285.856775</v>
      </c>
      <c r="E50" s="66"/>
      <c r="F50" s="153">
        <f>F51</f>
        <v>2.894814288736365</v>
      </c>
      <c r="G50" s="193"/>
    </row>
    <row r="51" spans="1:7" ht="15.75">
      <c r="A51" s="65"/>
      <c r="B51" s="32" t="s">
        <v>99</v>
      </c>
      <c r="C51" s="32" t="s">
        <v>67</v>
      </c>
      <c r="D51" s="33">
        <v>2597.690454545455</v>
      </c>
      <c r="E51" s="66">
        <f>E32</f>
        <v>11.143800000000002</v>
      </c>
      <c r="F51" s="153">
        <f>D51*E51/10000</f>
        <v>2.894814288736365</v>
      </c>
      <c r="G51" s="193"/>
    </row>
    <row r="52" spans="1:7" ht="15.75">
      <c r="A52" s="63" t="s">
        <v>13</v>
      </c>
      <c r="B52" s="63" t="s">
        <v>14</v>
      </c>
      <c r="C52" s="113"/>
      <c r="D52" s="113"/>
      <c r="E52" s="190"/>
      <c r="F52" s="191">
        <f>F53+F54</f>
        <v>9.230113321978948</v>
      </c>
      <c r="G52" s="193"/>
    </row>
    <row r="53" spans="1:7" ht="15.75">
      <c r="A53" s="32">
        <v>1</v>
      </c>
      <c r="B53" s="8" t="s">
        <v>100</v>
      </c>
      <c r="C53" s="32" t="s">
        <v>101</v>
      </c>
      <c r="D53" s="32">
        <v>52.95</v>
      </c>
      <c r="E53" s="66">
        <f>'单价汇总'!E4</f>
        <v>916.2492725874071</v>
      </c>
      <c r="F53" s="153">
        <f aca="true" t="shared" si="6" ref="F53:F58">D53*E53/10000</f>
        <v>4.85153989835032</v>
      </c>
      <c r="G53" s="193"/>
    </row>
    <row r="54" spans="1:7" ht="15.75">
      <c r="A54" s="32">
        <v>2</v>
      </c>
      <c r="B54" s="8" t="s">
        <v>102</v>
      </c>
      <c r="C54" s="32" t="s">
        <v>101</v>
      </c>
      <c r="D54" s="32">
        <v>3.99</v>
      </c>
      <c r="E54" s="66">
        <f>'单价汇总'!E5*100</f>
        <v>10973.868229645681</v>
      </c>
      <c r="F54" s="153">
        <f t="shared" si="6"/>
        <v>4.378573423628627</v>
      </c>
      <c r="G54" s="193"/>
    </row>
    <row r="55" spans="1:7" ht="15.75">
      <c r="A55" s="63" t="s">
        <v>15</v>
      </c>
      <c r="B55" s="63" t="s">
        <v>103</v>
      </c>
      <c r="C55" s="32" t="s">
        <v>101</v>
      </c>
      <c r="D55" s="32"/>
      <c r="E55" s="66"/>
      <c r="F55" s="191">
        <f>F56+F59+F67+F80+F90+F100+F102+F110</f>
        <v>155.7574207196474</v>
      </c>
      <c r="G55" s="193"/>
    </row>
    <row r="56" spans="1:7" ht="15.75">
      <c r="A56" s="32">
        <v>1</v>
      </c>
      <c r="B56" s="8" t="s">
        <v>104</v>
      </c>
      <c r="C56" s="32"/>
      <c r="D56" s="32"/>
      <c r="E56" s="66"/>
      <c r="F56" s="153">
        <f>F57+F58</f>
        <v>5.34</v>
      </c>
      <c r="G56" s="193"/>
    </row>
    <row r="57" spans="1:7" ht="15.75">
      <c r="A57" s="32"/>
      <c r="B57" s="32" t="s">
        <v>105</v>
      </c>
      <c r="C57" s="32" t="s">
        <v>54</v>
      </c>
      <c r="D57" s="32">
        <v>9</v>
      </c>
      <c r="E57" s="66">
        <v>600</v>
      </c>
      <c r="F57" s="153">
        <f t="shared" si="6"/>
        <v>0.54</v>
      </c>
      <c r="G57" s="193"/>
    </row>
    <row r="58" spans="1:7" ht="15.75">
      <c r="A58" s="32"/>
      <c r="B58" s="32" t="s">
        <v>106</v>
      </c>
      <c r="C58" s="32" t="s">
        <v>54</v>
      </c>
      <c r="D58" s="32">
        <v>24</v>
      </c>
      <c r="E58" s="66">
        <v>2000</v>
      </c>
      <c r="F58" s="153">
        <f t="shared" si="6"/>
        <v>4.8</v>
      </c>
      <c r="G58" s="193"/>
    </row>
    <row r="59" spans="1:7" ht="15.75">
      <c r="A59" s="32">
        <v>2</v>
      </c>
      <c r="B59" s="8" t="s">
        <v>107</v>
      </c>
      <c r="C59" s="32" t="s">
        <v>46</v>
      </c>
      <c r="D59" s="32">
        <v>10782</v>
      </c>
      <c r="E59" s="32"/>
      <c r="F59" s="153">
        <f>SUM(F60:F66)</f>
        <v>54.59412794958264</v>
      </c>
      <c r="G59" s="193"/>
    </row>
    <row r="60" spans="1:7" ht="15.75">
      <c r="A60" s="32"/>
      <c r="B60" s="32" t="s">
        <v>108</v>
      </c>
      <c r="C60" s="32" t="s">
        <v>109</v>
      </c>
      <c r="D60" s="33">
        <f>0.5*(0.6+1.32)*1.2*D59*1.05</f>
        <v>13041.9072</v>
      </c>
      <c r="E60" s="33">
        <f>'单价汇总'!E61/100</f>
        <v>3.279104556588748</v>
      </c>
      <c r="F60" s="153">
        <f>D60*E60/10000</f>
        <v>4.27657773261276</v>
      </c>
      <c r="G60" s="193"/>
    </row>
    <row r="61" spans="1:7" ht="15.75">
      <c r="A61" s="32"/>
      <c r="B61" s="32" t="s">
        <v>110</v>
      </c>
      <c r="C61" s="32" t="s">
        <v>109</v>
      </c>
      <c r="D61" s="33">
        <f>D60</f>
        <v>13041.9072</v>
      </c>
      <c r="E61" s="33">
        <f>'单价汇总'!E62/100</f>
        <v>14.485332955727422</v>
      </c>
      <c r="F61" s="153">
        <f>D61*E61/10000</f>
        <v>18.891636816969875</v>
      </c>
      <c r="G61" s="193"/>
    </row>
    <row r="62" spans="1:7" ht="15.75">
      <c r="A62" s="32"/>
      <c r="B62" s="32" t="s">
        <v>111</v>
      </c>
      <c r="C62" s="32" t="s">
        <v>46</v>
      </c>
      <c r="D62" s="33">
        <v>1420</v>
      </c>
      <c r="E62" s="32">
        <v>38.74</v>
      </c>
      <c r="F62" s="153">
        <f>D62*E62/10000</f>
        <v>5.50108</v>
      </c>
      <c r="G62" s="193"/>
    </row>
    <row r="63" spans="1:7" ht="15.75">
      <c r="A63" s="32"/>
      <c r="B63" s="32" t="s">
        <v>112</v>
      </c>
      <c r="C63" s="32" t="s">
        <v>46</v>
      </c>
      <c r="D63" s="33">
        <v>2230</v>
      </c>
      <c r="E63" s="32">
        <v>30.37</v>
      </c>
      <c r="F63" s="153">
        <f aca="true" t="shared" si="7" ref="F63:F74">D63*E63/10000</f>
        <v>6.7725100000000005</v>
      </c>
      <c r="G63" s="193"/>
    </row>
    <row r="64" spans="1:7" ht="15.75">
      <c r="A64" s="32"/>
      <c r="B64" s="32" t="s">
        <v>113</v>
      </c>
      <c r="C64" s="32" t="s">
        <v>46</v>
      </c>
      <c r="D64" s="33">
        <v>7140</v>
      </c>
      <c r="E64" s="32">
        <v>20.11</v>
      </c>
      <c r="F64" s="153">
        <f t="shared" si="7"/>
        <v>14.35854</v>
      </c>
      <c r="G64" s="193"/>
    </row>
    <row r="65" spans="1:7" ht="15.75">
      <c r="A65" s="32"/>
      <c r="B65" s="32" t="s">
        <v>114</v>
      </c>
      <c r="C65" s="32" t="s">
        <v>83</v>
      </c>
      <c r="D65" s="33">
        <v>10</v>
      </c>
      <c r="E65" s="33">
        <f>SUM(F62:F64)</f>
        <v>26.63213</v>
      </c>
      <c r="F65" s="153">
        <f>E65*D65/100</f>
        <v>2.6632130000000003</v>
      </c>
      <c r="G65" s="193"/>
    </row>
    <row r="66" spans="1:7" ht="15.75">
      <c r="A66" s="32"/>
      <c r="B66" s="8" t="s">
        <v>115</v>
      </c>
      <c r="C66" s="32" t="s">
        <v>83</v>
      </c>
      <c r="D66" s="33">
        <v>8</v>
      </c>
      <c r="E66" s="33">
        <f>E65</f>
        <v>26.63213</v>
      </c>
      <c r="F66" s="153">
        <f>E66*D66/100</f>
        <v>2.1305704</v>
      </c>
      <c r="G66" s="193"/>
    </row>
    <row r="67" spans="1:7" ht="15.75">
      <c r="A67" s="32">
        <v>3</v>
      </c>
      <c r="B67" s="8" t="s">
        <v>116</v>
      </c>
      <c r="C67" s="32" t="s">
        <v>117</v>
      </c>
      <c r="D67" s="32">
        <v>4</v>
      </c>
      <c r="E67" s="32"/>
      <c r="F67" s="33">
        <f>SUM(F68:F79)</f>
        <v>2.324187197767902</v>
      </c>
      <c r="G67" s="193"/>
    </row>
    <row r="68" spans="1:7" ht="15.75">
      <c r="A68" s="32"/>
      <c r="B68" s="32" t="s">
        <v>108</v>
      </c>
      <c r="C68" s="32" t="s">
        <v>109</v>
      </c>
      <c r="D68" s="32">
        <v>92.4</v>
      </c>
      <c r="E68" s="33">
        <f>E60</f>
        <v>3.279104556588748</v>
      </c>
      <c r="F68" s="153">
        <f t="shared" si="7"/>
        <v>0.030298926102880035</v>
      </c>
      <c r="G68" s="193"/>
    </row>
    <row r="69" spans="1:7" ht="15.75">
      <c r="A69" s="32"/>
      <c r="B69" s="32" t="s">
        <v>110</v>
      </c>
      <c r="C69" s="32" t="s">
        <v>109</v>
      </c>
      <c r="D69" s="32">
        <v>84</v>
      </c>
      <c r="E69" s="33">
        <f>E61</f>
        <v>14.485332955727422</v>
      </c>
      <c r="F69" s="153">
        <f t="shared" si="7"/>
        <v>0.12167679682811036</v>
      </c>
      <c r="G69" s="193"/>
    </row>
    <row r="70" spans="1:7" ht="50.25">
      <c r="A70" s="32"/>
      <c r="B70" s="7" t="s">
        <v>118</v>
      </c>
      <c r="C70" s="32" t="s">
        <v>119</v>
      </c>
      <c r="D70" s="32">
        <v>4</v>
      </c>
      <c r="E70" s="32">
        <v>3500</v>
      </c>
      <c r="F70" s="153">
        <f t="shared" si="7"/>
        <v>1.4</v>
      </c>
      <c r="G70" s="193"/>
    </row>
    <row r="71" spans="1:7" ht="15.75">
      <c r="A71" s="32"/>
      <c r="B71" s="32" t="s">
        <v>120</v>
      </c>
      <c r="C71" s="32" t="s">
        <v>109</v>
      </c>
      <c r="D71" s="33">
        <v>0.156</v>
      </c>
      <c r="E71" s="32">
        <f>'主要材料费'!D61+40+27</f>
        <v>387.33</v>
      </c>
      <c r="F71" s="153">
        <v>0.01</v>
      </c>
      <c r="G71" s="193"/>
    </row>
    <row r="72" spans="1:7" ht="15.75">
      <c r="A72" s="32"/>
      <c r="B72" s="32" t="s">
        <v>121</v>
      </c>
      <c r="C72" s="32" t="s">
        <v>109</v>
      </c>
      <c r="D72" s="33">
        <v>2.48</v>
      </c>
      <c r="E72" s="32">
        <f>E71</f>
        <v>387.33</v>
      </c>
      <c r="F72" s="153">
        <f t="shared" si="7"/>
        <v>0.09605784</v>
      </c>
      <c r="G72" s="193"/>
    </row>
    <row r="73" spans="1:7" ht="15.75">
      <c r="A73" s="32"/>
      <c r="B73" s="32" t="s">
        <v>122</v>
      </c>
      <c r="C73" s="32" t="s">
        <v>70</v>
      </c>
      <c r="D73" s="33">
        <v>0.03</v>
      </c>
      <c r="E73" s="33">
        <f>'单价汇总'!E63</f>
        <v>9561.68161230381</v>
      </c>
      <c r="F73" s="153">
        <f t="shared" si="7"/>
        <v>0.02868504483691143</v>
      </c>
      <c r="G73" s="193"/>
    </row>
    <row r="74" spans="1:7" ht="15.75">
      <c r="A74" s="32"/>
      <c r="B74" s="32" t="s">
        <v>123</v>
      </c>
      <c r="C74" s="32" t="s">
        <v>109</v>
      </c>
      <c r="D74" s="33">
        <v>0.23</v>
      </c>
      <c r="E74" s="33">
        <f>E72</f>
        <v>387.33</v>
      </c>
      <c r="F74" s="153">
        <f t="shared" si="7"/>
        <v>0.00890859</v>
      </c>
      <c r="G74" s="193"/>
    </row>
    <row r="75" spans="1:7" ht="15.75">
      <c r="A75" s="32"/>
      <c r="B75" s="8" t="s">
        <v>124</v>
      </c>
      <c r="C75" s="32" t="s">
        <v>125</v>
      </c>
      <c r="D75" s="32">
        <v>1</v>
      </c>
      <c r="E75" s="33">
        <v>2900</v>
      </c>
      <c r="F75" s="153">
        <f aca="true" t="shared" si="8" ref="F75:F78">D75*E75/10000</f>
        <v>0.29</v>
      </c>
      <c r="G75" s="193"/>
    </row>
    <row r="76" spans="1:7" ht="15.75">
      <c r="A76" s="32"/>
      <c r="B76" s="32" t="s">
        <v>126</v>
      </c>
      <c r="C76" s="32" t="s">
        <v>125</v>
      </c>
      <c r="D76" s="32">
        <v>1</v>
      </c>
      <c r="E76" s="33">
        <v>750</v>
      </c>
      <c r="F76" s="153">
        <f t="shared" si="8"/>
        <v>0.075</v>
      </c>
      <c r="G76" s="193"/>
    </row>
    <row r="77" spans="1:7" ht="15.75">
      <c r="A77" s="32"/>
      <c r="B77" s="32" t="s">
        <v>127</v>
      </c>
      <c r="C77" s="32" t="s">
        <v>125</v>
      </c>
      <c r="D77" s="32">
        <v>1</v>
      </c>
      <c r="E77" s="32">
        <v>490</v>
      </c>
      <c r="F77" s="153">
        <f t="shared" si="8"/>
        <v>0.049</v>
      </c>
      <c r="G77" s="193"/>
    </row>
    <row r="78" spans="1:7" ht="15.75">
      <c r="A78" s="32"/>
      <c r="B78" s="32" t="s">
        <v>128</v>
      </c>
      <c r="C78" s="32" t="s">
        <v>125</v>
      </c>
      <c r="D78" s="32">
        <v>4</v>
      </c>
      <c r="E78" s="32">
        <v>420</v>
      </c>
      <c r="F78" s="153">
        <f t="shared" si="8"/>
        <v>0.168</v>
      </c>
      <c r="G78" s="193"/>
    </row>
    <row r="79" spans="1:7" ht="15.75">
      <c r="A79" s="32"/>
      <c r="B79" s="8" t="s">
        <v>129</v>
      </c>
      <c r="C79" s="32" t="s">
        <v>83</v>
      </c>
      <c r="D79" s="33">
        <v>8</v>
      </c>
      <c r="E79" s="66">
        <f>SUM(F75:F78)</f>
        <v>0.582</v>
      </c>
      <c r="F79" s="153">
        <f>E79*D79/100</f>
        <v>0.04656</v>
      </c>
      <c r="G79" s="193"/>
    </row>
    <row r="80" spans="1:7" ht="15.75">
      <c r="A80" s="32">
        <v>4</v>
      </c>
      <c r="B80" s="93" t="s">
        <v>130</v>
      </c>
      <c r="C80" s="33" t="s">
        <v>131</v>
      </c>
      <c r="D80" s="33">
        <v>11</v>
      </c>
      <c r="E80" s="33"/>
      <c r="F80" s="9">
        <f>SUM(F81:F89)</f>
        <v>7.2652077982484204</v>
      </c>
      <c r="G80" s="193"/>
    </row>
    <row r="81" spans="1:7" ht="15.75">
      <c r="A81" s="33"/>
      <c r="B81" s="94" t="s">
        <v>108</v>
      </c>
      <c r="C81" s="194" t="s">
        <v>132</v>
      </c>
      <c r="D81" s="33">
        <f>22*D80*1.05</f>
        <v>254.10000000000002</v>
      </c>
      <c r="E81" s="33">
        <f>E68</f>
        <v>3.279104556588748</v>
      </c>
      <c r="F81" s="153">
        <f>D81*E81/10000</f>
        <v>0.0833220467829201</v>
      </c>
      <c r="G81" s="193"/>
    </row>
    <row r="82" spans="1:7" ht="15.75">
      <c r="A82" s="33"/>
      <c r="B82" s="94" t="s">
        <v>110</v>
      </c>
      <c r="C82" s="194" t="s">
        <v>132</v>
      </c>
      <c r="D82" s="33">
        <f>20*D80*1.05</f>
        <v>231</v>
      </c>
      <c r="E82" s="33">
        <f>E69</f>
        <v>14.485332955727422</v>
      </c>
      <c r="F82" s="153">
        <f>D82*E82/10000</f>
        <v>0.33461119127730343</v>
      </c>
      <c r="G82" s="193"/>
    </row>
    <row r="83" spans="1:7" ht="50.25">
      <c r="A83" s="33"/>
      <c r="B83" s="93" t="s">
        <v>118</v>
      </c>
      <c r="C83" s="33" t="s">
        <v>133</v>
      </c>
      <c r="D83" s="33">
        <f>1*D80</f>
        <v>11</v>
      </c>
      <c r="E83" s="33">
        <f>E70</f>
        <v>3500</v>
      </c>
      <c r="F83" s="153">
        <f>D83*E83/10000</f>
        <v>3.85</v>
      </c>
      <c r="G83" s="193"/>
    </row>
    <row r="84" spans="1:7" ht="15.75">
      <c r="A84" s="33"/>
      <c r="B84" s="94" t="s">
        <v>120</v>
      </c>
      <c r="C84" s="194" t="s">
        <v>132</v>
      </c>
      <c r="D84" s="33">
        <f>0.03707712*D80*1.05</f>
        <v>0.428240736</v>
      </c>
      <c r="E84" s="33">
        <f>E71</f>
        <v>387.33</v>
      </c>
      <c r="F84" s="153">
        <f>D84*E84/10000</f>
        <v>0.016587048427488</v>
      </c>
      <c r="G84" s="193"/>
    </row>
    <row r="85" spans="1:7" ht="15.75">
      <c r="A85" s="33"/>
      <c r="B85" s="94" t="s">
        <v>134</v>
      </c>
      <c r="C85" s="194" t="s">
        <v>132</v>
      </c>
      <c r="D85" s="33">
        <f>0.5908852*D80*1.05</f>
        <v>6.82472406</v>
      </c>
      <c r="E85" s="33">
        <f>E84</f>
        <v>387.33</v>
      </c>
      <c r="F85" s="153">
        <f>D85*E85/10000</f>
        <v>0.26434203701597997</v>
      </c>
      <c r="G85" s="193"/>
    </row>
    <row r="86" spans="1:7" ht="15.75">
      <c r="A86" s="33"/>
      <c r="B86" s="94" t="s">
        <v>122</v>
      </c>
      <c r="C86" s="33" t="s">
        <v>70</v>
      </c>
      <c r="D86" s="33">
        <f>0.00612*D80*1.05</f>
        <v>0.070686</v>
      </c>
      <c r="E86" s="33">
        <f>E73</f>
        <v>9561.68161230381</v>
      </c>
      <c r="F86" s="153">
        <f aca="true" t="shared" si="9" ref="F86:F91">D86*E86/10000</f>
        <v>0.06758770264473071</v>
      </c>
      <c r="G86" s="193"/>
    </row>
    <row r="87" spans="1:7" ht="15.75">
      <c r="A87" s="33"/>
      <c r="B87" s="94" t="s">
        <v>123</v>
      </c>
      <c r="C87" s="194" t="s">
        <v>132</v>
      </c>
      <c r="D87" s="33">
        <f>0.054*D80*1.05</f>
        <v>0.6237</v>
      </c>
      <c r="E87" s="33">
        <f>E74</f>
        <v>387.33</v>
      </c>
      <c r="F87" s="153">
        <f t="shared" si="9"/>
        <v>0.0241577721</v>
      </c>
      <c r="G87" s="193"/>
    </row>
    <row r="88" spans="1:7" ht="15.75">
      <c r="A88" s="33"/>
      <c r="B88" s="93" t="s">
        <v>135</v>
      </c>
      <c r="C88" s="33" t="s">
        <v>136</v>
      </c>
      <c r="D88" s="33">
        <f>1*D80</f>
        <v>11</v>
      </c>
      <c r="E88" s="33">
        <v>1950</v>
      </c>
      <c r="F88" s="153">
        <f t="shared" si="9"/>
        <v>2.145</v>
      </c>
      <c r="G88" s="193"/>
    </row>
    <row r="89" spans="1:7" ht="15.75">
      <c r="A89" s="33"/>
      <c r="B89" s="8" t="s">
        <v>129</v>
      </c>
      <c r="C89" s="32" t="s">
        <v>83</v>
      </c>
      <c r="D89" s="33">
        <v>8</v>
      </c>
      <c r="E89" s="66">
        <f>F88+F83</f>
        <v>5.995</v>
      </c>
      <c r="F89" s="153">
        <f>E89*D89/100</f>
        <v>0.4796</v>
      </c>
      <c r="G89" s="193"/>
    </row>
    <row r="90" spans="1:7" ht="15.75">
      <c r="A90" s="32">
        <v>5</v>
      </c>
      <c r="B90" s="93" t="s">
        <v>137</v>
      </c>
      <c r="C90" s="94" t="s">
        <v>131</v>
      </c>
      <c r="D90" s="94">
        <v>11</v>
      </c>
      <c r="E90" s="94"/>
      <c r="F90" s="9">
        <f>SUM(F91:F99)</f>
        <v>7.2652077982484204</v>
      </c>
      <c r="G90" s="193"/>
    </row>
    <row r="91" spans="1:7" ht="15.75">
      <c r="A91" s="33"/>
      <c r="B91" s="94" t="s">
        <v>138</v>
      </c>
      <c r="C91" s="94" t="s">
        <v>132</v>
      </c>
      <c r="D91" s="94">
        <f>22*D90*1.05</f>
        <v>254.10000000000002</v>
      </c>
      <c r="E91" s="94">
        <f aca="true" t="shared" si="10" ref="E91:E98">E81</f>
        <v>3.279104556588748</v>
      </c>
      <c r="F91" s="153">
        <f t="shared" si="9"/>
        <v>0.0833220467829201</v>
      </c>
      <c r="G91" s="193"/>
    </row>
    <row r="92" spans="1:7" ht="15.75">
      <c r="A92" s="33"/>
      <c r="B92" s="94" t="s">
        <v>139</v>
      </c>
      <c r="C92" s="94" t="s">
        <v>132</v>
      </c>
      <c r="D92" s="94">
        <f>20*D90*1.05</f>
        <v>231</v>
      </c>
      <c r="E92" s="94">
        <f t="shared" si="10"/>
        <v>14.485332955727422</v>
      </c>
      <c r="F92" s="153">
        <f aca="true" t="shared" si="11" ref="F92:F98">D92*E92/10000</f>
        <v>0.33461119127730343</v>
      </c>
      <c r="G92" s="193"/>
    </row>
    <row r="93" spans="1:7" ht="50.25">
      <c r="A93" s="33"/>
      <c r="B93" s="94" t="s">
        <v>140</v>
      </c>
      <c r="C93" s="94" t="s">
        <v>133</v>
      </c>
      <c r="D93" s="94">
        <f>1*D90</f>
        <v>11</v>
      </c>
      <c r="E93" s="94">
        <f t="shared" si="10"/>
        <v>3500</v>
      </c>
      <c r="F93" s="153">
        <f t="shared" si="11"/>
        <v>3.85</v>
      </c>
      <c r="G93" s="193"/>
    </row>
    <row r="94" spans="1:7" ht="15.75">
      <c r="A94" s="33"/>
      <c r="B94" s="94" t="s">
        <v>141</v>
      </c>
      <c r="C94" s="94" t="s">
        <v>132</v>
      </c>
      <c r="D94" s="94">
        <f>0.03707712*D90*1.05</f>
        <v>0.428240736</v>
      </c>
      <c r="E94" s="94">
        <f t="shared" si="10"/>
        <v>387.33</v>
      </c>
      <c r="F94" s="153">
        <f t="shared" si="11"/>
        <v>0.016587048427488</v>
      </c>
      <c r="G94" s="193"/>
    </row>
    <row r="95" spans="1:7" ht="15.75">
      <c r="A95" s="33"/>
      <c r="B95" s="94" t="s">
        <v>121</v>
      </c>
      <c r="C95" s="94" t="s">
        <v>132</v>
      </c>
      <c r="D95" s="94">
        <f>0.5908852*D90*1.05</f>
        <v>6.82472406</v>
      </c>
      <c r="E95" s="94">
        <f t="shared" si="10"/>
        <v>387.33</v>
      </c>
      <c r="F95" s="153">
        <f t="shared" si="11"/>
        <v>0.26434203701597997</v>
      </c>
      <c r="G95" s="193"/>
    </row>
    <row r="96" spans="1:7" ht="15.75">
      <c r="A96" s="33"/>
      <c r="B96" s="94" t="s">
        <v>142</v>
      </c>
      <c r="C96" s="94" t="s">
        <v>70</v>
      </c>
      <c r="D96" s="94">
        <f>0.00612*D90*1.05</f>
        <v>0.070686</v>
      </c>
      <c r="E96" s="94">
        <f t="shared" si="10"/>
        <v>9561.68161230381</v>
      </c>
      <c r="F96" s="153">
        <f t="shared" si="11"/>
        <v>0.06758770264473071</v>
      </c>
      <c r="G96" s="193"/>
    </row>
    <row r="97" spans="1:7" ht="15.75">
      <c r="A97" s="33"/>
      <c r="B97" s="94" t="s">
        <v>143</v>
      </c>
      <c r="C97" s="94" t="s">
        <v>132</v>
      </c>
      <c r="D97" s="94">
        <f>0.054*D90*1.05</f>
        <v>0.6237</v>
      </c>
      <c r="E97" s="94">
        <f t="shared" si="10"/>
        <v>387.33</v>
      </c>
      <c r="F97" s="153">
        <f t="shared" si="11"/>
        <v>0.0241577721</v>
      </c>
      <c r="G97" s="193"/>
    </row>
    <row r="98" spans="1:7" ht="15.75">
      <c r="A98" s="33"/>
      <c r="B98" s="94" t="s">
        <v>144</v>
      </c>
      <c r="C98" s="94" t="s">
        <v>136</v>
      </c>
      <c r="D98" s="94">
        <f>1*D90</f>
        <v>11</v>
      </c>
      <c r="E98" s="94">
        <f t="shared" si="10"/>
        <v>1950</v>
      </c>
      <c r="F98" s="153">
        <f t="shared" si="11"/>
        <v>2.145</v>
      </c>
      <c r="G98" s="193"/>
    </row>
    <row r="99" spans="1:7" ht="15.75">
      <c r="A99" s="33"/>
      <c r="B99" s="94" t="s">
        <v>129</v>
      </c>
      <c r="C99" s="94" t="s">
        <v>83</v>
      </c>
      <c r="D99" s="94">
        <v>8</v>
      </c>
      <c r="E99" s="94">
        <f>F98+F93</f>
        <v>5.995</v>
      </c>
      <c r="F99" s="94">
        <f>E99*D99/100</f>
        <v>0.4796</v>
      </c>
      <c r="G99" s="193"/>
    </row>
    <row r="100" spans="1:7" ht="15.75">
      <c r="A100" s="32">
        <v>6</v>
      </c>
      <c r="B100" s="94" t="s">
        <v>145</v>
      </c>
      <c r="C100" s="94" t="s">
        <v>131</v>
      </c>
      <c r="D100" s="94">
        <v>54</v>
      </c>
      <c r="E100" s="195"/>
      <c r="F100" s="94">
        <f>F101</f>
        <v>0.4517817119999999</v>
      </c>
      <c r="G100" s="193"/>
    </row>
    <row r="101" spans="1:7" ht="15.75">
      <c r="A101" s="33"/>
      <c r="B101" s="94" t="s">
        <v>146</v>
      </c>
      <c r="C101" s="196" t="s">
        <v>132</v>
      </c>
      <c r="D101" s="94">
        <f>D100*0.6*0.6*0.6</f>
        <v>11.663999999999998</v>
      </c>
      <c r="E101" s="94">
        <f>E94</f>
        <v>387.33</v>
      </c>
      <c r="F101" s="153">
        <f aca="true" t="shared" si="12" ref="F101:F108">D101*E101/10000</f>
        <v>0.4517817119999999</v>
      </c>
      <c r="G101" s="193"/>
    </row>
    <row r="102" spans="1:7" ht="14.25">
      <c r="A102" s="32">
        <v>7</v>
      </c>
      <c r="B102" s="8" t="s">
        <v>147</v>
      </c>
      <c r="C102" s="32"/>
      <c r="D102" s="32"/>
      <c r="E102" s="32"/>
      <c r="F102" s="33">
        <f>SUM(F103:F109)</f>
        <v>19.4783939838</v>
      </c>
      <c r="G102" s="197"/>
    </row>
    <row r="103" spans="1:7" ht="15.75">
      <c r="A103" s="33"/>
      <c r="B103" s="32" t="s">
        <v>148</v>
      </c>
      <c r="C103" s="32" t="s">
        <v>46</v>
      </c>
      <c r="D103" s="33">
        <v>5705</v>
      </c>
      <c r="E103" s="33">
        <f>'主要材料费'!D88</f>
        <v>17.97</v>
      </c>
      <c r="F103" s="33">
        <f t="shared" si="12"/>
        <v>10.251885</v>
      </c>
      <c r="G103" s="193"/>
    </row>
    <row r="104" spans="1:7" ht="15.75">
      <c r="A104" s="33"/>
      <c r="B104" s="32" t="s">
        <v>149</v>
      </c>
      <c r="C104" s="32" t="s">
        <v>46</v>
      </c>
      <c r="D104" s="33">
        <v>270</v>
      </c>
      <c r="E104" s="33">
        <f>'主要材料费'!D89</f>
        <v>11.3</v>
      </c>
      <c r="F104" s="33">
        <f t="shared" si="12"/>
        <v>0.3051</v>
      </c>
      <c r="G104" s="193"/>
    </row>
    <row r="105" spans="1:7" ht="15.75">
      <c r="A105" s="33"/>
      <c r="B105" s="8" t="s">
        <v>114</v>
      </c>
      <c r="C105" s="32" t="s">
        <v>83</v>
      </c>
      <c r="D105" s="33">
        <v>0.1</v>
      </c>
      <c r="E105" s="33">
        <f>SUM(F103:F104)</f>
        <v>10.556985</v>
      </c>
      <c r="F105" s="33">
        <f>E105*D105/100</f>
        <v>0.010556984999999998</v>
      </c>
      <c r="G105" s="193"/>
    </row>
    <row r="106" spans="1:7" ht="15.75">
      <c r="A106" s="33"/>
      <c r="B106" s="32" t="s">
        <v>150</v>
      </c>
      <c r="C106" s="8" t="s">
        <v>125</v>
      </c>
      <c r="D106" s="33">
        <v>138</v>
      </c>
      <c r="E106" s="33">
        <f>'主要材料费'!D90</f>
        <v>18.56</v>
      </c>
      <c r="F106" s="33">
        <f t="shared" si="12"/>
        <v>0.25612799999999997</v>
      </c>
      <c r="G106" s="193"/>
    </row>
    <row r="107" spans="1:7" ht="15.75">
      <c r="A107" s="33"/>
      <c r="B107" s="8" t="s">
        <v>151</v>
      </c>
      <c r="C107" s="32" t="s">
        <v>46</v>
      </c>
      <c r="D107" s="33">
        <f>D106*2</f>
        <v>276</v>
      </c>
      <c r="E107" s="33">
        <f>E104</f>
        <v>11.3</v>
      </c>
      <c r="F107" s="33">
        <f t="shared" si="12"/>
        <v>0.31188</v>
      </c>
      <c r="G107" s="193"/>
    </row>
    <row r="108" spans="1:7" ht="15.75">
      <c r="A108" s="33"/>
      <c r="B108" s="8" t="s">
        <v>152</v>
      </c>
      <c r="C108" s="8" t="s">
        <v>117</v>
      </c>
      <c r="D108" s="33">
        <f>D106</f>
        <v>138</v>
      </c>
      <c r="E108" s="33">
        <v>500</v>
      </c>
      <c r="F108" s="33">
        <f t="shared" si="12"/>
        <v>6.9</v>
      </c>
      <c r="G108" s="193"/>
    </row>
    <row r="109" spans="1:7" ht="15.75">
      <c r="A109" s="33"/>
      <c r="B109" s="8" t="s">
        <v>153</v>
      </c>
      <c r="C109" s="32" t="s">
        <v>83</v>
      </c>
      <c r="D109" s="33">
        <v>8</v>
      </c>
      <c r="E109" s="33">
        <f>SUM(F103:F108)</f>
        <v>18.035549985</v>
      </c>
      <c r="F109" s="9">
        <f>E109*D109/100</f>
        <v>1.4428439988</v>
      </c>
      <c r="G109" s="193"/>
    </row>
    <row r="110" spans="1:7" ht="15.75">
      <c r="A110" s="32">
        <v>8</v>
      </c>
      <c r="B110" s="8" t="s">
        <v>154</v>
      </c>
      <c r="C110" s="32"/>
      <c r="D110" s="32"/>
      <c r="E110" s="198"/>
      <c r="F110" s="9">
        <f>SUM(F111:F115)</f>
        <v>59.038514279999994</v>
      </c>
      <c r="G110" s="193"/>
    </row>
    <row r="111" spans="1:7" ht="15.75">
      <c r="A111" s="33"/>
      <c r="B111" s="32" t="s">
        <v>155</v>
      </c>
      <c r="C111" s="32" t="s">
        <v>46</v>
      </c>
      <c r="D111" s="32">
        <v>28269</v>
      </c>
      <c r="E111" s="199">
        <f>'主要材料费'!D92</f>
        <v>4.14</v>
      </c>
      <c r="F111" s="33">
        <f>D111*E111/10000</f>
        <v>11.703365999999999</v>
      </c>
      <c r="G111" s="193"/>
    </row>
    <row r="112" spans="1:7" ht="14.25">
      <c r="A112" s="33"/>
      <c r="B112" s="8" t="s">
        <v>156</v>
      </c>
      <c r="C112" s="8" t="s">
        <v>119</v>
      </c>
      <c r="D112" s="32">
        <f>D111/4</f>
        <v>7067.25</v>
      </c>
      <c r="E112" s="200">
        <f>'主要材料费'!D94</f>
        <v>1</v>
      </c>
      <c r="F112" s="33">
        <f aca="true" t="shared" si="13" ref="F112:F117">D112*E112/10000</f>
        <v>0.706725</v>
      </c>
      <c r="G112" s="197"/>
    </row>
    <row r="113" spans="1:7" ht="15.75">
      <c r="A113" s="33"/>
      <c r="B113" s="32" t="s">
        <v>157</v>
      </c>
      <c r="C113" s="32" t="s">
        <v>46</v>
      </c>
      <c r="D113" s="32">
        <v>152766</v>
      </c>
      <c r="E113" s="200">
        <f>'主要材料费'!D93</f>
        <v>2</v>
      </c>
      <c r="F113" s="33">
        <f t="shared" si="13"/>
        <v>30.5532</v>
      </c>
      <c r="G113" s="193"/>
    </row>
    <row r="114" spans="1:7" ht="15.75">
      <c r="A114" s="33"/>
      <c r="B114" s="8" t="s">
        <v>158</v>
      </c>
      <c r="C114" s="8" t="s">
        <v>159</v>
      </c>
      <c r="D114" s="32">
        <v>234040</v>
      </c>
      <c r="E114" s="200">
        <f>'主要材料费'!D95</f>
        <v>0.5</v>
      </c>
      <c r="F114" s="33">
        <f t="shared" si="13"/>
        <v>11.702</v>
      </c>
      <c r="G114" s="193"/>
    </row>
    <row r="115" spans="1:7" ht="15.75">
      <c r="A115" s="33"/>
      <c r="B115" s="8" t="s">
        <v>153</v>
      </c>
      <c r="C115" s="32" t="s">
        <v>83</v>
      </c>
      <c r="D115" s="33">
        <v>8</v>
      </c>
      <c r="E115" s="33">
        <f>SUM(F111:F114)</f>
        <v>54.665290999999996</v>
      </c>
      <c r="F115" s="9">
        <f>E115*D115/100</f>
        <v>4.3732232799999995</v>
      </c>
      <c r="G115" s="193"/>
    </row>
    <row r="116" spans="1:7" ht="15.75">
      <c r="A116" s="63" t="s">
        <v>17</v>
      </c>
      <c r="B116" s="63" t="s">
        <v>18</v>
      </c>
      <c r="C116" s="32"/>
      <c r="D116" s="32"/>
      <c r="E116" s="66"/>
      <c r="F116" s="5">
        <f>SUM(F117:F124)</f>
        <v>12.759119999999998</v>
      </c>
      <c r="G116" s="193"/>
    </row>
    <row r="117" spans="1:7" ht="15.75">
      <c r="A117" s="33"/>
      <c r="B117" s="8" t="s">
        <v>160</v>
      </c>
      <c r="C117" s="8" t="s">
        <v>119</v>
      </c>
      <c r="D117" s="32">
        <v>2</v>
      </c>
      <c r="E117" s="199">
        <f>'主要材料费'!D96</f>
        <v>25000</v>
      </c>
      <c r="F117" s="33">
        <f t="shared" si="13"/>
        <v>5</v>
      </c>
      <c r="G117" s="193"/>
    </row>
    <row r="118" spans="1:7" ht="15.75">
      <c r="A118" s="33"/>
      <c r="B118" s="8" t="s">
        <v>161</v>
      </c>
      <c r="C118" s="8" t="s">
        <v>119</v>
      </c>
      <c r="D118" s="32">
        <v>2</v>
      </c>
      <c r="E118" s="199">
        <f>'主要材料费'!D97</f>
        <v>360</v>
      </c>
      <c r="F118" s="33">
        <f aca="true" t="shared" si="14" ref="F118:F123">D118*E118/10000</f>
        <v>0.072</v>
      </c>
      <c r="G118" s="193"/>
    </row>
    <row r="119" spans="1:7" ht="15.75">
      <c r="A119" s="33"/>
      <c r="B119" s="8" t="s">
        <v>162</v>
      </c>
      <c r="C119" s="8" t="s">
        <v>125</v>
      </c>
      <c r="D119" s="32">
        <v>2</v>
      </c>
      <c r="E119" s="199">
        <f>'主要材料费'!D98</f>
        <v>1550</v>
      </c>
      <c r="F119" s="33">
        <f t="shared" si="14"/>
        <v>0.31</v>
      </c>
      <c r="G119" s="193"/>
    </row>
    <row r="120" spans="1:7" ht="15.75">
      <c r="A120" s="33"/>
      <c r="B120" s="8" t="s">
        <v>163</v>
      </c>
      <c r="C120" s="8" t="s">
        <v>125</v>
      </c>
      <c r="D120" s="32">
        <v>2</v>
      </c>
      <c r="E120" s="199">
        <f>'主要材料费'!D99</f>
        <v>11300</v>
      </c>
      <c r="F120" s="33">
        <f t="shared" si="14"/>
        <v>2.26</v>
      </c>
      <c r="G120" s="193"/>
    </row>
    <row r="121" spans="1:7" ht="15.75">
      <c r="A121" s="33"/>
      <c r="B121" s="8" t="s">
        <v>164</v>
      </c>
      <c r="C121" s="8" t="s">
        <v>125</v>
      </c>
      <c r="D121" s="32">
        <v>2</v>
      </c>
      <c r="E121" s="199">
        <f>'主要材料费'!D100</f>
        <v>8500</v>
      </c>
      <c r="F121" s="33">
        <f t="shared" si="14"/>
        <v>1.7</v>
      </c>
      <c r="G121" s="193"/>
    </row>
    <row r="122" spans="1:7" ht="15.75">
      <c r="A122" s="33"/>
      <c r="B122" s="8" t="s">
        <v>161</v>
      </c>
      <c r="C122" s="8" t="s">
        <v>125</v>
      </c>
      <c r="D122" s="32">
        <v>2</v>
      </c>
      <c r="E122" s="199">
        <f>E118</f>
        <v>360</v>
      </c>
      <c r="F122" s="33">
        <f t="shared" si="14"/>
        <v>0.072</v>
      </c>
      <c r="G122" s="193"/>
    </row>
    <row r="123" spans="1:7" ht="15.75">
      <c r="A123" s="33"/>
      <c r="B123" s="8" t="s">
        <v>165</v>
      </c>
      <c r="C123" s="8" t="s">
        <v>125</v>
      </c>
      <c r="D123" s="32">
        <v>2</v>
      </c>
      <c r="E123" s="199">
        <f>'主要材料费'!D101</f>
        <v>12000</v>
      </c>
      <c r="F123" s="33">
        <f t="shared" si="14"/>
        <v>2.4</v>
      </c>
      <c r="G123" s="193"/>
    </row>
    <row r="124" spans="1:7" ht="15.75">
      <c r="A124" s="33"/>
      <c r="B124" s="201" t="s">
        <v>153</v>
      </c>
      <c r="C124" s="32" t="s">
        <v>83</v>
      </c>
      <c r="D124" s="33">
        <v>8</v>
      </c>
      <c r="E124" s="33">
        <f>SUM(F117:F123)</f>
        <v>11.813999999999998</v>
      </c>
      <c r="F124" s="9">
        <f>E124*D124/100</f>
        <v>0.9451199999999998</v>
      </c>
      <c r="G124" s="193"/>
    </row>
    <row r="125" spans="1:7" ht="15.75">
      <c r="A125" s="63" t="s">
        <v>19</v>
      </c>
      <c r="B125" s="63" t="s">
        <v>20</v>
      </c>
      <c r="C125" s="32"/>
      <c r="D125" s="32"/>
      <c r="E125" s="66"/>
      <c r="F125" s="5">
        <f>SUM(F126:F132)</f>
        <v>12.11814</v>
      </c>
      <c r="G125" s="193"/>
    </row>
    <row r="126" spans="1:7" ht="15.75">
      <c r="A126" s="63"/>
      <c r="B126" s="8" t="s">
        <v>166</v>
      </c>
      <c r="C126" s="32" t="s">
        <v>167</v>
      </c>
      <c r="D126" s="32">
        <v>0.5</v>
      </c>
      <c r="E126" s="202">
        <f>'主要材料费'!D102</f>
        <v>19010</v>
      </c>
      <c r="F126" s="33">
        <f aca="true" t="shared" si="15" ref="F126:F131">D126*E126/10000</f>
        <v>0.9505</v>
      </c>
      <c r="G126" s="193"/>
    </row>
    <row r="127" spans="1:7" ht="15.75">
      <c r="A127" s="63"/>
      <c r="B127" s="8" t="s">
        <v>168</v>
      </c>
      <c r="C127" s="8" t="s">
        <v>125</v>
      </c>
      <c r="D127" s="32">
        <v>2</v>
      </c>
      <c r="E127" s="202">
        <f>'主要材料费'!D103</f>
        <v>18500</v>
      </c>
      <c r="F127" s="33">
        <f t="shared" si="15"/>
        <v>3.7</v>
      </c>
      <c r="G127" s="193"/>
    </row>
    <row r="128" spans="1:7" ht="15.75">
      <c r="A128" s="63"/>
      <c r="B128" s="8" t="s">
        <v>169</v>
      </c>
      <c r="C128" s="8" t="s">
        <v>170</v>
      </c>
      <c r="D128" s="32">
        <v>2</v>
      </c>
      <c r="E128" s="202">
        <f>'主要材料费'!D104</f>
        <v>28500</v>
      </c>
      <c r="F128" s="33">
        <f t="shared" si="15"/>
        <v>5.7</v>
      </c>
      <c r="G128" s="193"/>
    </row>
    <row r="129" spans="1:7" ht="15.75">
      <c r="A129" s="63"/>
      <c r="B129" s="8" t="s">
        <v>171</v>
      </c>
      <c r="C129" s="8" t="s">
        <v>125</v>
      </c>
      <c r="D129" s="32">
        <v>2</v>
      </c>
      <c r="E129" s="202">
        <f>'主要材料费'!D105</f>
        <v>3500</v>
      </c>
      <c r="F129" s="33">
        <f t="shared" si="15"/>
        <v>0.7</v>
      </c>
      <c r="G129" s="193"/>
    </row>
    <row r="130" spans="1:7" ht="15.75">
      <c r="A130" s="63"/>
      <c r="B130" s="8" t="s">
        <v>172</v>
      </c>
      <c r="C130" s="8" t="s">
        <v>119</v>
      </c>
      <c r="D130" s="32">
        <v>2</v>
      </c>
      <c r="E130" s="202">
        <f>'主要材料费'!D106</f>
        <v>50</v>
      </c>
      <c r="F130" s="33">
        <f t="shared" si="15"/>
        <v>0.01</v>
      </c>
      <c r="G130" s="193"/>
    </row>
    <row r="131" spans="1:7" ht="15.75">
      <c r="A131" s="63"/>
      <c r="B131" s="8" t="s">
        <v>173</v>
      </c>
      <c r="C131" s="8" t="s">
        <v>119</v>
      </c>
      <c r="D131" s="32">
        <v>2</v>
      </c>
      <c r="E131" s="202">
        <f>'主要材料费'!D107</f>
        <v>800</v>
      </c>
      <c r="F131" s="33">
        <f t="shared" si="15"/>
        <v>0.16</v>
      </c>
      <c r="G131" s="193"/>
    </row>
    <row r="132" spans="1:7" ht="15.75">
      <c r="A132" s="63"/>
      <c r="B132" s="201" t="s">
        <v>153</v>
      </c>
      <c r="C132" s="32" t="s">
        <v>83</v>
      </c>
      <c r="D132" s="33">
        <v>8</v>
      </c>
      <c r="E132" s="33">
        <f>SUM(F126:F131)</f>
        <v>11.2205</v>
      </c>
      <c r="F132" s="9">
        <f>E132*D132/100</f>
        <v>0.89764</v>
      </c>
      <c r="G132" s="193"/>
    </row>
    <row r="133" spans="1:7" ht="14.25">
      <c r="A133" s="63" t="s">
        <v>21</v>
      </c>
      <c r="B133" s="64" t="s">
        <v>174</v>
      </c>
      <c r="C133" s="113"/>
      <c r="D133" s="114"/>
      <c r="E133" s="114"/>
      <c r="F133" s="5">
        <f>F134+F136</f>
        <v>201.14335725535523</v>
      </c>
      <c r="G133" s="203"/>
    </row>
    <row r="134" spans="1:7" ht="14.25">
      <c r="A134" s="63" t="s">
        <v>12</v>
      </c>
      <c r="B134" s="113" t="s">
        <v>175</v>
      </c>
      <c r="C134" s="113"/>
      <c r="D134" s="113"/>
      <c r="E134" s="190"/>
      <c r="F134" s="191">
        <f>F135</f>
        <v>6.606157255355205</v>
      </c>
      <c r="G134" s="203"/>
    </row>
    <row r="135" spans="1:7" ht="14.25">
      <c r="A135" s="32">
        <v>1</v>
      </c>
      <c r="B135" s="32" t="s">
        <v>176</v>
      </c>
      <c r="C135" s="32" t="s">
        <v>101</v>
      </c>
      <c r="D135" s="32">
        <v>72.1</v>
      </c>
      <c r="E135" s="66">
        <f>E53</f>
        <v>916.2492725874071</v>
      </c>
      <c r="F135" s="153">
        <f>D135*E135/10000</f>
        <v>6.606157255355205</v>
      </c>
      <c r="G135" s="203"/>
    </row>
    <row r="136" spans="1:7" ht="14.25">
      <c r="A136" s="63" t="s">
        <v>13</v>
      </c>
      <c r="B136" s="63" t="s">
        <v>103</v>
      </c>
      <c r="C136" s="113" t="s">
        <v>177</v>
      </c>
      <c r="D136" s="113">
        <v>54.34</v>
      </c>
      <c r="E136" s="190">
        <v>3.58</v>
      </c>
      <c r="F136" s="191">
        <f>D136*E136</f>
        <v>194.5372</v>
      </c>
      <c r="G136" s="203"/>
    </row>
    <row r="137" spans="1:7" ht="14.25">
      <c r="A137" s="113" t="s">
        <v>178</v>
      </c>
      <c r="B137" s="113"/>
      <c r="C137" s="113"/>
      <c r="D137" s="113"/>
      <c r="E137" s="190"/>
      <c r="F137" s="191">
        <f>F138+F307</f>
        <v>2939.4191626741017</v>
      </c>
      <c r="G137" s="203"/>
    </row>
    <row r="138" spans="1:7" s="177" customFormat="1" ht="15.75">
      <c r="A138" s="63" t="s">
        <v>11</v>
      </c>
      <c r="B138" s="63" t="s">
        <v>43</v>
      </c>
      <c r="C138" s="113"/>
      <c r="D138" s="113"/>
      <c r="E138" s="190"/>
      <c r="F138" s="191">
        <f>F139+F190+F255+F280</f>
        <v>1491.9569702036874</v>
      </c>
      <c r="G138" s="192"/>
    </row>
    <row r="139" spans="1:7" s="177" customFormat="1" ht="15.75">
      <c r="A139" s="63" t="s">
        <v>12</v>
      </c>
      <c r="B139" s="63" t="s">
        <v>23</v>
      </c>
      <c r="C139" s="32" t="s">
        <v>101</v>
      </c>
      <c r="D139" s="114">
        <v>26.16</v>
      </c>
      <c r="E139" s="190"/>
      <c r="F139" s="191">
        <f>F140+F141+F142+F164+F186</f>
        <v>358.0447244059329</v>
      </c>
      <c r="G139" s="192"/>
    </row>
    <row r="140" spans="1:7" s="177" customFormat="1" ht="15.75">
      <c r="A140" s="32">
        <v>1</v>
      </c>
      <c r="B140" s="52" t="s">
        <v>179</v>
      </c>
      <c r="C140" s="32" t="s">
        <v>180</v>
      </c>
      <c r="D140" s="204">
        <f>D143</f>
        <v>24297.124230762747</v>
      </c>
      <c r="E140" s="66">
        <f>'单价汇总'!E58/100</f>
        <v>2.4665377934967</v>
      </c>
      <c r="F140" s="153">
        <f>D140*E140/10000</f>
        <v>5.992977518846075</v>
      </c>
      <c r="G140" s="192"/>
    </row>
    <row r="141" spans="1:7" s="177" customFormat="1" ht="15.75">
      <c r="A141" s="32">
        <v>2</v>
      </c>
      <c r="B141" s="52" t="s">
        <v>181</v>
      </c>
      <c r="C141" s="32" t="s">
        <v>180</v>
      </c>
      <c r="D141" s="204">
        <f>D158</f>
        <v>246987.558246135</v>
      </c>
      <c r="E141" s="66">
        <f>'单价汇总'!E59/100</f>
        <v>0.7614943220057799</v>
      </c>
      <c r="F141" s="153">
        <f>D141*E141/10000</f>
        <v>18.807962321050365</v>
      </c>
      <c r="G141" s="192"/>
    </row>
    <row r="142" spans="1:7" s="177" customFormat="1" ht="15.75">
      <c r="A142" s="32">
        <v>3</v>
      </c>
      <c r="B142" s="32" t="s">
        <v>182</v>
      </c>
      <c r="C142" s="32"/>
      <c r="D142" s="32"/>
      <c r="E142" s="66"/>
      <c r="F142" s="153">
        <f>F143+F158</f>
        <v>121.80310689248446</v>
      </c>
      <c r="G142" s="192"/>
    </row>
    <row r="143" spans="1:7" s="177" customFormat="1" ht="15.75">
      <c r="A143" s="32" t="s">
        <v>47</v>
      </c>
      <c r="B143" s="32" t="s">
        <v>183</v>
      </c>
      <c r="C143" s="32" t="s">
        <v>184</v>
      </c>
      <c r="D143" s="204">
        <f>SUM(D144:D157)</f>
        <v>24297.124230762747</v>
      </c>
      <c r="E143" s="32"/>
      <c r="F143" s="33">
        <f>SUM(F144:F157)</f>
        <v>10.645456569400165</v>
      </c>
      <c r="G143" s="192"/>
    </row>
    <row r="144" spans="1:7" s="177" customFormat="1" ht="15.75">
      <c r="A144" s="32"/>
      <c r="B144" s="32" t="s">
        <v>185</v>
      </c>
      <c r="C144" s="32" t="s">
        <v>184</v>
      </c>
      <c r="D144" s="204">
        <v>1788.0727010588748</v>
      </c>
      <c r="E144" s="66">
        <f>'单价汇总'!E6/100</f>
        <v>12.152768662142767</v>
      </c>
      <c r="F144" s="153">
        <f>E144*D144/10000</f>
        <v>2.1730033887061264</v>
      </c>
      <c r="G144" s="192"/>
    </row>
    <row r="145" spans="1:7" s="177" customFormat="1" ht="15.75">
      <c r="A145" s="32"/>
      <c r="B145" s="32" t="s">
        <v>186</v>
      </c>
      <c r="C145" s="32" t="s">
        <v>184</v>
      </c>
      <c r="D145" s="204">
        <v>1462.9685735936248</v>
      </c>
      <c r="E145" s="66">
        <f>'单价汇总'!E7/100</f>
        <v>9.427096657999316</v>
      </c>
      <c r="F145" s="153">
        <f aca="true" t="shared" si="16" ref="F145:F162">E145*D145/10000</f>
        <v>1.3791546150882485</v>
      </c>
      <c r="G145" s="192"/>
    </row>
    <row r="146" spans="1:7" s="177" customFormat="1" ht="15.75">
      <c r="A146" s="32"/>
      <c r="B146" s="32" t="s">
        <v>187</v>
      </c>
      <c r="C146" s="32" t="s">
        <v>184</v>
      </c>
      <c r="D146" s="204">
        <v>249.9</v>
      </c>
      <c r="E146" s="66">
        <f>'单价汇总'!E8/100</f>
        <v>14.09961660406211</v>
      </c>
      <c r="F146" s="153">
        <f t="shared" si="16"/>
        <v>0.35234941893551214</v>
      </c>
      <c r="G146" s="192"/>
    </row>
    <row r="147" spans="1:7" s="177" customFormat="1" ht="15.75">
      <c r="A147" s="32"/>
      <c r="B147" s="32" t="s">
        <v>188</v>
      </c>
      <c r="C147" s="32" t="s">
        <v>184</v>
      </c>
      <c r="D147" s="204">
        <v>1830.15</v>
      </c>
      <c r="E147" s="66">
        <f>'单价汇总'!E9/100</f>
        <v>2.8165222845128035</v>
      </c>
      <c r="F147" s="153">
        <f t="shared" si="16"/>
        <v>0.5154658259001108</v>
      </c>
      <c r="G147" s="192"/>
    </row>
    <row r="148" spans="1:7" s="177" customFormat="1" ht="15.75">
      <c r="A148" s="32"/>
      <c r="B148" s="32" t="s">
        <v>189</v>
      </c>
      <c r="C148" s="32" t="s">
        <v>184</v>
      </c>
      <c r="D148" s="204">
        <v>1050.0863317127576</v>
      </c>
      <c r="E148" s="66">
        <f>'单价汇总'!E10/100</f>
        <v>3.0109099796074315</v>
      </c>
      <c r="F148" s="153">
        <f t="shared" si="16"/>
        <v>0.3161715415603301</v>
      </c>
      <c r="G148" s="192"/>
    </row>
    <row r="149" spans="1:7" s="177" customFormat="1" ht="15.75">
      <c r="A149" s="32"/>
      <c r="B149" s="32" t="s">
        <v>190</v>
      </c>
      <c r="C149" s="32" t="s">
        <v>184</v>
      </c>
      <c r="D149" s="204">
        <v>1565.918213957621</v>
      </c>
      <c r="E149" s="66">
        <f>'单价汇总'!E11/100</f>
        <v>3.2057221019839255</v>
      </c>
      <c r="F149" s="153">
        <f t="shared" si="16"/>
        <v>0.5019898628383139</v>
      </c>
      <c r="G149" s="192"/>
    </row>
    <row r="150" spans="1:7" s="177" customFormat="1" ht="15.75">
      <c r="A150" s="32"/>
      <c r="B150" s="32" t="s">
        <v>191</v>
      </c>
      <c r="C150" s="32" t="s">
        <v>184</v>
      </c>
      <c r="D150" s="204">
        <v>1694.8761845188367</v>
      </c>
      <c r="E150" s="66">
        <f>'单价汇总'!E12/100</f>
        <v>4.179358286584529</v>
      </c>
      <c r="F150" s="153">
        <f t="shared" si="16"/>
        <v>0.7083494826503569</v>
      </c>
      <c r="G150" s="192"/>
    </row>
    <row r="151" spans="1:7" s="177" customFormat="1" ht="15.75">
      <c r="A151" s="32"/>
      <c r="B151" s="32" t="s">
        <v>192</v>
      </c>
      <c r="C151" s="32" t="s">
        <v>184</v>
      </c>
      <c r="D151" s="204">
        <v>1750.1438861879292</v>
      </c>
      <c r="E151" s="66">
        <f>'单价汇总'!E13/100</f>
        <v>3.0109099796074315</v>
      </c>
      <c r="F151" s="153">
        <f t="shared" si="16"/>
        <v>0.5269525692672169</v>
      </c>
      <c r="G151" s="192"/>
    </row>
    <row r="152" spans="1:7" s="177" customFormat="1" ht="15.75">
      <c r="A152" s="32"/>
      <c r="B152" s="32" t="s">
        <v>193</v>
      </c>
      <c r="C152" s="32" t="s">
        <v>184</v>
      </c>
      <c r="D152" s="204">
        <v>1658.0310500727749</v>
      </c>
      <c r="E152" s="66">
        <f>'单价汇总'!E14/100</f>
        <v>3.5949219194550484</v>
      </c>
      <c r="F152" s="153">
        <f t="shared" si="16"/>
        <v>0.5960492165043689</v>
      </c>
      <c r="G152" s="192"/>
    </row>
    <row r="153" spans="1:7" s="177" customFormat="1" ht="15.75">
      <c r="A153" s="32"/>
      <c r="B153" s="32" t="s">
        <v>194</v>
      </c>
      <c r="C153" s="32" t="s">
        <v>184</v>
      </c>
      <c r="D153" s="204">
        <v>1289.5797056121583</v>
      </c>
      <c r="E153" s="66">
        <f>'单价汇总'!E15/100</f>
        <v>4.957757921526774</v>
      </c>
      <c r="F153" s="153">
        <f t="shared" si="16"/>
        <v>0.6393424000938843</v>
      </c>
      <c r="G153" s="192"/>
    </row>
    <row r="154" spans="1:7" s="177" customFormat="1" ht="15.75">
      <c r="A154" s="32"/>
      <c r="B154" s="32" t="s">
        <v>195</v>
      </c>
      <c r="C154" s="32" t="s">
        <v>184</v>
      </c>
      <c r="D154" s="204">
        <v>1252.7345711660967</v>
      </c>
      <c r="E154" s="66">
        <f>'单价汇总'!E16/100</f>
        <v>5.6627316367062</v>
      </c>
      <c r="F154" s="153">
        <f t="shared" si="16"/>
        <v>0.709389968853783</v>
      </c>
      <c r="G154" s="192"/>
    </row>
    <row r="155" spans="1:7" s="177" customFormat="1" ht="15.75">
      <c r="A155" s="32"/>
      <c r="B155" s="32" t="s">
        <v>196</v>
      </c>
      <c r="C155" s="32" t="s">
        <v>184</v>
      </c>
      <c r="D155" s="204">
        <v>2072.538812590969</v>
      </c>
      <c r="E155" s="66">
        <f>'单价汇总'!E17/100</f>
        <v>2.606855207271</v>
      </c>
      <c r="F155" s="153">
        <f t="shared" si="16"/>
        <v>0.5402808595874022</v>
      </c>
      <c r="G155" s="192"/>
    </row>
    <row r="156" spans="1:7" s="177" customFormat="1" ht="15.75">
      <c r="A156" s="32"/>
      <c r="B156" s="32" t="s">
        <v>197</v>
      </c>
      <c r="C156" s="32" t="s">
        <v>184</v>
      </c>
      <c r="D156" s="204">
        <v>3357.5128763973694</v>
      </c>
      <c r="E156" s="66">
        <f>'单价汇总'!E18/100</f>
        <v>2.543615542272966</v>
      </c>
      <c r="F156" s="153">
        <f t="shared" si="16"/>
        <v>0.8540221935785961</v>
      </c>
      <c r="G156" s="192"/>
    </row>
    <row r="157" spans="1:7" s="177" customFormat="1" ht="15.75">
      <c r="A157" s="32"/>
      <c r="B157" s="32" t="s">
        <v>198</v>
      </c>
      <c r="C157" s="32" t="s">
        <v>184</v>
      </c>
      <c r="D157" s="204">
        <v>3274.6113238937305</v>
      </c>
      <c r="E157" s="66">
        <f>'单价汇总'!E19/100</f>
        <v>2.543615542272966</v>
      </c>
      <c r="F157" s="153">
        <f t="shared" si="16"/>
        <v>0.8329352258359146</v>
      </c>
      <c r="G157" s="192"/>
    </row>
    <row r="158" spans="1:7" s="177" customFormat="1" ht="15.75">
      <c r="A158" s="32" t="s">
        <v>50</v>
      </c>
      <c r="B158" s="32" t="s">
        <v>199</v>
      </c>
      <c r="C158" s="32" t="s">
        <v>184</v>
      </c>
      <c r="D158" s="204">
        <f>SUM(D159:D163)</f>
        <v>246987.558246135</v>
      </c>
      <c r="E158" s="66"/>
      <c r="F158" s="33">
        <f>SUM(F159:F163)</f>
        <v>111.1576503230843</v>
      </c>
      <c r="G158" s="192"/>
    </row>
    <row r="159" spans="1:7" s="177" customFormat="1" ht="15.75">
      <c r="A159" s="32"/>
      <c r="B159" s="32" t="s">
        <v>200</v>
      </c>
      <c r="C159" s="32" t="s">
        <v>184</v>
      </c>
      <c r="D159" s="204">
        <v>8286.0342121284</v>
      </c>
      <c r="E159" s="66">
        <f>'单价汇总'!E40/100</f>
        <v>3.3442981468261674</v>
      </c>
      <c r="F159" s="153">
        <f>E159*D159/10000</f>
        <v>2.771096886015923</v>
      </c>
      <c r="G159" s="192"/>
    </row>
    <row r="160" spans="1:7" s="177" customFormat="1" ht="15.75">
      <c r="A160" s="32"/>
      <c r="B160" s="32" t="s">
        <v>201</v>
      </c>
      <c r="C160" s="32" t="s">
        <v>184</v>
      </c>
      <c r="D160" s="204">
        <v>8126.6874003567</v>
      </c>
      <c r="E160" s="66">
        <f>'单价汇总'!E41/100</f>
        <v>3.3442981468261674</v>
      </c>
      <c r="F160" s="153">
        <f>E160*D160/10000</f>
        <v>2.717806561284848</v>
      </c>
      <c r="G160" s="192"/>
    </row>
    <row r="161" spans="1:7" s="177" customFormat="1" ht="15.75">
      <c r="A161" s="32"/>
      <c r="B161" s="32" t="s">
        <v>202</v>
      </c>
      <c r="C161" s="32" t="s">
        <v>184</v>
      </c>
      <c r="D161" s="204">
        <v>7489.3001532699</v>
      </c>
      <c r="E161" s="66">
        <f>'单价汇总'!E42/100</f>
        <v>2.6691758171379836</v>
      </c>
      <c r="F161" s="153">
        <f>E161*D161/10000</f>
        <v>1.9990258856395813</v>
      </c>
      <c r="G161" s="192"/>
    </row>
    <row r="162" spans="1:7" s="177" customFormat="1" ht="15.75">
      <c r="A162" s="32"/>
      <c r="B162" s="32" t="s">
        <v>203</v>
      </c>
      <c r="C162" s="32" t="s">
        <v>184</v>
      </c>
      <c r="D162" s="204">
        <v>109949.30012247301</v>
      </c>
      <c r="E162" s="66">
        <f>'单价汇总'!E43/100</f>
        <v>3.084548650324176</v>
      </c>
      <c r="F162" s="153">
        <f>E162*D162/10000</f>
        <v>33.91439652968619</v>
      </c>
      <c r="G162" s="192"/>
    </row>
    <row r="163" spans="1:7" s="177" customFormat="1" ht="15.75">
      <c r="A163" s="32"/>
      <c r="B163" s="32" t="s">
        <v>204</v>
      </c>
      <c r="C163" s="32" t="s">
        <v>184</v>
      </c>
      <c r="D163" s="204">
        <v>113136.23635790701</v>
      </c>
      <c r="E163" s="66">
        <f>'单价汇总'!E44/100</f>
        <v>6.16560411642</v>
      </c>
      <c r="F163" s="153">
        <f>E163*D163/10000</f>
        <v>69.75532446045776</v>
      </c>
      <c r="G163" s="192"/>
    </row>
    <row r="164" spans="1:7" s="177" customFormat="1" ht="15.75">
      <c r="A164" s="32">
        <v>4</v>
      </c>
      <c r="B164" s="32" t="s">
        <v>205</v>
      </c>
      <c r="C164" s="32"/>
      <c r="D164" s="32"/>
      <c r="E164" s="66"/>
      <c r="F164" s="153">
        <f>F165+F180</f>
        <v>202.73428521587692</v>
      </c>
      <c r="G164" s="192"/>
    </row>
    <row r="165" spans="1:7" s="177" customFormat="1" ht="15.75">
      <c r="A165" s="32" t="s">
        <v>47</v>
      </c>
      <c r="B165" s="32" t="s">
        <v>183</v>
      </c>
      <c r="C165" s="32" t="s">
        <v>184</v>
      </c>
      <c r="D165" s="204">
        <f>SUM(D166:D179)</f>
        <v>24297.124230762747</v>
      </c>
      <c r="E165" s="32"/>
      <c r="F165" s="33">
        <f>SUM(F166:F179)</f>
        <v>148.9075201891321</v>
      </c>
      <c r="G165" s="192"/>
    </row>
    <row r="166" spans="1:7" s="177" customFormat="1" ht="15.75">
      <c r="A166" s="32"/>
      <c r="B166" s="32" t="s">
        <v>185</v>
      </c>
      <c r="C166" s="32" t="s">
        <v>184</v>
      </c>
      <c r="D166" s="204">
        <f>D144</f>
        <v>1788.0727010588748</v>
      </c>
      <c r="E166" s="66">
        <f>'主要材料费'!D11</f>
        <v>234.22109999999998</v>
      </c>
      <c r="F166" s="153">
        <f>E166*D166/10000</f>
        <v>41.880435492198075</v>
      </c>
      <c r="G166" s="192"/>
    </row>
    <row r="167" spans="1:7" s="177" customFormat="1" ht="15.75">
      <c r="A167" s="32"/>
      <c r="B167" s="32" t="s">
        <v>186</v>
      </c>
      <c r="C167" s="32" t="s">
        <v>184</v>
      </c>
      <c r="D167" s="204">
        <f aca="true" t="shared" si="17" ref="D167:D184">D145</f>
        <v>1462.9685735936248</v>
      </c>
      <c r="E167" s="66">
        <f>'主要材料费'!D12</f>
        <v>162.93689999999998</v>
      </c>
      <c r="F167" s="153">
        <f aca="true" t="shared" si="18" ref="F167:F184">E167*D167/10000</f>
        <v>23.837156417876706</v>
      </c>
      <c r="G167" s="192"/>
    </row>
    <row r="168" spans="1:7" s="177" customFormat="1" ht="15.75">
      <c r="A168" s="32"/>
      <c r="B168" s="32" t="s">
        <v>187</v>
      </c>
      <c r="C168" s="32" t="s">
        <v>184</v>
      </c>
      <c r="D168" s="204">
        <f t="shared" si="17"/>
        <v>249.9</v>
      </c>
      <c r="E168" s="66">
        <f>'主要材料费'!D13</f>
        <v>285.1368</v>
      </c>
      <c r="F168" s="153">
        <f t="shared" si="18"/>
        <v>7.125568631999999</v>
      </c>
      <c r="G168" s="192"/>
    </row>
    <row r="169" spans="1:7" s="177" customFormat="1" ht="15.75">
      <c r="A169" s="32"/>
      <c r="B169" s="32" t="s">
        <v>188</v>
      </c>
      <c r="C169" s="32" t="s">
        <v>184</v>
      </c>
      <c r="D169" s="204">
        <f t="shared" si="17"/>
        <v>1830.15</v>
      </c>
      <c r="E169" s="66">
        <f>'主要材料费'!D14</f>
        <v>25.4634</v>
      </c>
      <c r="F169" s="153">
        <f t="shared" si="18"/>
        <v>4.660184151</v>
      </c>
      <c r="G169" s="192"/>
    </row>
    <row r="170" spans="1:7" s="177" customFormat="1" ht="15.75">
      <c r="A170" s="32"/>
      <c r="B170" s="32" t="s">
        <v>189</v>
      </c>
      <c r="C170" s="32" t="s">
        <v>184</v>
      </c>
      <c r="D170" s="204">
        <f t="shared" si="17"/>
        <v>1050.0863317127576</v>
      </c>
      <c r="E170" s="66">
        <f>'主要材料费'!D15</f>
        <v>30.5472</v>
      </c>
      <c r="F170" s="153">
        <f t="shared" si="18"/>
        <v>3.207719719209595</v>
      </c>
      <c r="G170" s="192"/>
    </row>
    <row r="171" spans="1:7" s="177" customFormat="1" ht="15.75">
      <c r="A171" s="32"/>
      <c r="B171" s="32" t="s">
        <v>190</v>
      </c>
      <c r="C171" s="32" t="s">
        <v>184</v>
      </c>
      <c r="D171" s="204">
        <f t="shared" si="17"/>
        <v>1565.918213957621</v>
      </c>
      <c r="E171" s="66">
        <f>'主要材料费'!D16</f>
        <v>35.6421</v>
      </c>
      <c r="F171" s="153">
        <f t="shared" si="18"/>
        <v>5.581261357369892</v>
      </c>
      <c r="G171" s="192"/>
    </row>
    <row r="172" spans="1:7" s="177" customFormat="1" ht="15.75">
      <c r="A172" s="32"/>
      <c r="B172" s="32" t="s">
        <v>191</v>
      </c>
      <c r="C172" s="32" t="s">
        <v>184</v>
      </c>
      <c r="D172" s="204">
        <f t="shared" si="17"/>
        <v>1694.8761845188367</v>
      </c>
      <c r="E172" s="66">
        <f>'主要材料费'!D17</f>
        <v>61.1055</v>
      </c>
      <c r="F172" s="153">
        <f t="shared" si="18"/>
        <v>10.356625669311578</v>
      </c>
      <c r="G172" s="192"/>
    </row>
    <row r="173" spans="1:7" s="177" customFormat="1" ht="15.75">
      <c r="A173" s="32"/>
      <c r="B173" s="32" t="s">
        <v>192</v>
      </c>
      <c r="C173" s="32" t="s">
        <v>184</v>
      </c>
      <c r="D173" s="204">
        <f t="shared" si="17"/>
        <v>1750.1438861879292</v>
      </c>
      <c r="E173" s="66">
        <f>'主要材料费'!D18</f>
        <v>30.5472</v>
      </c>
      <c r="F173" s="153">
        <f t="shared" si="18"/>
        <v>5.346199532015992</v>
      </c>
      <c r="G173" s="192"/>
    </row>
    <row r="174" spans="1:7" s="177" customFormat="1" ht="15.75">
      <c r="A174" s="32"/>
      <c r="B174" s="32" t="s">
        <v>193</v>
      </c>
      <c r="C174" s="32" t="s">
        <v>184</v>
      </c>
      <c r="D174" s="204">
        <f t="shared" si="17"/>
        <v>1658.0310500727749</v>
      </c>
      <c r="E174" s="66">
        <f>'主要材料费'!D19</f>
        <v>45.8208</v>
      </c>
      <c r="F174" s="153">
        <f t="shared" si="18"/>
        <v>7.59723091391746</v>
      </c>
      <c r="G174" s="192"/>
    </row>
    <row r="175" spans="1:7" s="177" customFormat="1" ht="15.75">
      <c r="A175" s="32"/>
      <c r="B175" s="32" t="s">
        <v>194</v>
      </c>
      <c r="C175" s="32" t="s">
        <v>184</v>
      </c>
      <c r="D175" s="204">
        <f t="shared" si="17"/>
        <v>1289.5797056121583</v>
      </c>
      <c r="E175" s="66">
        <f>'主要材料费'!D20</f>
        <v>81.4629</v>
      </c>
      <c r="F175" s="153">
        <f t="shared" si="18"/>
        <v>10.50529026003127</v>
      </c>
      <c r="G175" s="192"/>
    </row>
    <row r="176" spans="1:7" s="177" customFormat="1" ht="15.75">
      <c r="A176" s="32"/>
      <c r="B176" s="32" t="s">
        <v>195</v>
      </c>
      <c r="C176" s="32" t="s">
        <v>184</v>
      </c>
      <c r="D176" s="204">
        <f t="shared" si="17"/>
        <v>1252.7345711660967</v>
      </c>
      <c r="E176" s="66">
        <f>'主要材料费'!D21</f>
        <v>99.9</v>
      </c>
      <c r="F176" s="153">
        <f t="shared" si="18"/>
        <v>12.514818365949306</v>
      </c>
      <c r="G176" s="192"/>
    </row>
    <row r="177" spans="1:7" s="177" customFormat="1" ht="15.75">
      <c r="A177" s="32"/>
      <c r="B177" s="32" t="s">
        <v>196</v>
      </c>
      <c r="C177" s="32" t="s">
        <v>184</v>
      </c>
      <c r="D177" s="204">
        <f t="shared" si="17"/>
        <v>2072.538812590969</v>
      </c>
      <c r="E177" s="66">
        <f>'主要材料费'!D22</f>
        <v>19.98</v>
      </c>
      <c r="F177" s="153">
        <f t="shared" si="18"/>
        <v>4.140932547556756</v>
      </c>
      <c r="G177" s="192"/>
    </row>
    <row r="178" spans="1:7" s="177" customFormat="1" ht="15.75">
      <c r="A178" s="32"/>
      <c r="B178" s="32" t="s">
        <v>197</v>
      </c>
      <c r="C178" s="32" t="s">
        <v>184</v>
      </c>
      <c r="D178" s="204">
        <f t="shared" si="17"/>
        <v>3357.5128763973694</v>
      </c>
      <c r="E178" s="66">
        <f>'主要材料费'!D23</f>
        <v>18.3261</v>
      </c>
      <c r="F178" s="153">
        <f t="shared" si="18"/>
        <v>6.153011672414583</v>
      </c>
      <c r="G178" s="192"/>
    </row>
    <row r="179" spans="1:7" s="177" customFormat="1" ht="15.75">
      <c r="A179" s="32"/>
      <c r="B179" s="32" t="s">
        <v>198</v>
      </c>
      <c r="C179" s="32" t="s">
        <v>184</v>
      </c>
      <c r="D179" s="204">
        <f t="shared" si="17"/>
        <v>3274.6113238937305</v>
      </c>
      <c r="E179" s="66">
        <f>'主要材料费'!D24</f>
        <v>18.3261</v>
      </c>
      <c r="F179" s="153">
        <f t="shared" si="18"/>
        <v>6.0010854582808895</v>
      </c>
      <c r="G179" s="192"/>
    </row>
    <row r="180" spans="1:7" s="177" customFormat="1" ht="15.75">
      <c r="A180" s="32" t="s">
        <v>50</v>
      </c>
      <c r="B180" s="32" t="s">
        <v>199</v>
      </c>
      <c r="C180" s="32" t="s">
        <v>184</v>
      </c>
      <c r="D180" s="204">
        <f>SUM(D181:D185)</f>
        <v>246987.558246135</v>
      </c>
      <c r="E180" s="66"/>
      <c r="F180" s="33">
        <f>SUM(F181:F185)</f>
        <v>53.82676502674482</v>
      </c>
      <c r="G180" s="192"/>
    </row>
    <row r="181" spans="1:7" s="177" customFormat="1" ht="15.75">
      <c r="A181" s="32"/>
      <c r="B181" s="32" t="s">
        <v>200</v>
      </c>
      <c r="C181" s="32" t="s">
        <v>184</v>
      </c>
      <c r="D181" s="204">
        <f>D159</f>
        <v>8286.0342121284</v>
      </c>
      <c r="E181" s="66">
        <f>'主要材料费'!D39</f>
        <v>25.4634</v>
      </c>
      <c r="F181" s="153">
        <f>E181*D181/10000</f>
        <v>21.09906035571103</v>
      </c>
      <c r="G181" s="192"/>
    </row>
    <row r="182" spans="1:7" s="177" customFormat="1" ht="15.75">
      <c r="A182" s="32"/>
      <c r="B182" s="32" t="s">
        <v>201</v>
      </c>
      <c r="C182" s="32" t="s">
        <v>184</v>
      </c>
      <c r="D182" s="204">
        <f>D160</f>
        <v>8126.6874003567</v>
      </c>
      <c r="E182" s="66">
        <f>'主要材料费'!D40</f>
        <v>15.2736</v>
      </c>
      <c r="F182" s="153">
        <f>E182*D182/10000</f>
        <v>12.41237726780881</v>
      </c>
      <c r="G182" s="192"/>
    </row>
    <row r="183" spans="1:7" s="177" customFormat="1" ht="15.75">
      <c r="A183" s="32"/>
      <c r="B183" s="32" t="s">
        <v>202</v>
      </c>
      <c r="C183" s="32" t="s">
        <v>184</v>
      </c>
      <c r="D183" s="204">
        <f>D161</f>
        <v>7489.3001532699</v>
      </c>
      <c r="E183" s="66">
        <f>'主要材料费'!D41</f>
        <v>3.5631</v>
      </c>
      <c r="F183" s="153">
        <f>E183*D183/10000</f>
        <v>2.6685125376115977</v>
      </c>
      <c r="G183" s="192"/>
    </row>
    <row r="184" spans="1:7" s="177" customFormat="1" ht="15.75">
      <c r="A184" s="32"/>
      <c r="B184" s="32" t="s">
        <v>203</v>
      </c>
      <c r="C184" s="32" t="s">
        <v>184</v>
      </c>
      <c r="D184" s="204">
        <f>D162</f>
        <v>109949.30012247301</v>
      </c>
      <c r="E184" s="66">
        <f>'主要材料费'!D42</f>
        <v>0.9768</v>
      </c>
      <c r="F184" s="153">
        <f>E184*D184/10000</f>
        <v>10.739847635963164</v>
      </c>
      <c r="G184" s="192"/>
    </row>
    <row r="185" spans="1:7" s="177" customFormat="1" ht="15.75">
      <c r="A185" s="32"/>
      <c r="B185" s="32" t="s">
        <v>204</v>
      </c>
      <c r="C185" s="32" t="s">
        <v>184</v>
      </c>
      <c r="D185" s="204">
        <f>D163</f>
        <v>113136.23635790701</v>
      </c>
      <c r="E185" s="66">
        <f>'主要材料费'!D43</f>
        <v>0.6105</v>
      </c>
      <c r="F185" s="153">
        <f>E185*D185/10000</f>
        <v>6.906967229650223</v>
      </c>
      <c r="G185" s="192"/>
    </row>
    <row r="186" spans="1:7" s="177" customFormat="1" ht="15.75">
      <c r="A186" s="32">
        <v>5</v>
      </c>
      <c r="B186" s="205" t="s">
        <v>206</v>
      </c>
      <c r="C186" s="205"/>
      <c r="D186" s="206"/>
      <c r="E186" s="207"/>
      <c r="F186" s="207">
        <f>SUM(F187:F189)</f>
        <v>8.70639245767509</v>
      </c>
      <c r="G186" s="192"/>
    </row>
    <row r="187" spans="1:7" s="177" customFormat="1" ht="15.75">
      <c r="A187" s="32"/>
      <c r="B187" s="208" t="s">
        <v>207</v>
      </c>
      <c r="C187" s="208" t="s">
        <v>101</v>
      </c>
      <c r="D187" s="209">
        <f>D139</f>
        <v>26.16</v>
      </c>
      <c r="E187" s="210">
        <f>'单价汇总'!E55</f>
        <v>1453.5341104032</v>
      </c>
      <c r="F187" s="210">
        <f aca="true" t="shared" si="19" ref="F187:F189">D187*E187/10000</f>
        <v>3.8024452328147706</v>
      </c>
      <c r="G187" s="192"/>
    </row>
    <row r="188" spans="1:7" s="177" customFormat="1" ht="15.75">
      <c r="A188" s="32"/>
      <c r="B188" s="208" t="s">
        <v>208</v>
      </c>
      <c r="C188" s="208" t="s">
        <v>101</v>
      </c>
      <c r="D188" s="209">
        <f>D187</f>
        <v>26.16</v>
      </c>
      <c r="E188" s="210">
        <f>'单价汇总'!E56</f>
        <v>1049.7746352912</v>
      </c>
      <c r="F188" s="210">
        <f t="shared" si="19"/>
        <v>2.746210445921779</v>
      </c>
      <c r="G188" s="192"/>
    </row>
    <row r="189" spans="1:7" s="177" customFormat="1" ht="15.75">
      <c r="A189" s="32"/>
      <c r="B189" s="208" t="s">
        <v>209</v>
      </c>
      <c r="C189" s="208" t="s">
        <v>101</v>
      </c>
      <c r="D189" s="209">
        <f>D188</f>
        <v>26.16</v>
      </c>
      <c r="E189" s="210">
        <f>'单价汇总'!E57</f>
        <v>824.8229277288</v>
      </c>
      <c r="F189" s="210">
        <f t="shared" si="19"/>
        <v>2.1577367789385407</v>
      </c>
      <c r="G189" s="192"/>
    </row>
    <row r="190" spans="1:7" s="177" customFormat="1" ht="15.75">
      <c r="A190" s="63" t="s">
        <v>13</v>
      </c>
      <c r="B190" s="63" t="s">
        <v>24</v>
      </c>
      <c r="C190" s="32" t="s">
        <v>101</v>
      </c>
      <c r="D190" s="114">
        <f>167156.8/10000</f>
        <v>16.71568</v>
      </c>
      <c r="E190" s="190"/>
      <c r="F190" s="191">
        <f>F191+F192+F193+F222+F251</f>
        <v>487.8035745982217</v>
      </c>
      <c r="G190" s="192"/>
    </row>
    <row r="191" spans="1:7" s="177" customFormat="1" ht="15.75">
      <c r="A191" s="32">
        <v>1</v>
      </c>
      <c r="B191" s="52" t="s">
        <v>179</v>
      </c>
      <c r="C191" s="32" t="s">
        <v>180</v>
      </c>
      <c r="D191" s="32">
        <f>D194</f>
        <v>14377</v>
      </c>
      <c r="E191" s="66">
        <f>E140</f>
        <v>2.4665377934967</v>
      </c>
      <c r="F191" s="153">
        <f>D191*E191/10000</f>
        <v>3.546141385710206</v>
      </c>
      <c r="G191" s="192"/>
    </row>
    <row r="192" spans="1:7" s="177" customFormat="1" ht="15.75">
      <c r="A192" s="32">
        <v>2</v>
      </c>
      <c r="B192" s="52" t="s">
        <v>181</v>
      </c>
      <c r="C192" s="32" t="s">
        <v>180</v>
      </c>
      <c r="D192" s="32">
        <f>D209</f>
        <v>49144</v>
      </c>
      <c r="E192" s="66">
        <f>E141</f>
        <v>0.7614943220057799</v>
      </c>
      <c r="F192" s="153">
        <f>D192*E192/10000</f>
        <v>3.742287696065205</v>
      </c>
      <c r="G192" s="192"/>
    </row>
    <row r="193" spans="1:7" s="177" customFormat="1" ht="15.75">
      <c r="A193" s="32">
        <v>3</v>
      </c>
      <c r="B193" s="32" t="s">
        <v>210</v>
      </c>
      <c r="C193" s="32"/>
      <c r="D193" s="32"/>
      <c r="E193" s="66"/>
      <c r="F193" s="153">
        <f>F194+F209+F215</f>
        <v>50.84913445136554</v>
      </c>
      <c r="G193" s="192"/>
    </row>
    <row r="194" spans="1:7" s="177" customFormat="1" ht="15.75">
      <c r="A194" s="32" t="s">
        <v>47</v>
      </c>
      <c r="B194" s="32" t="s">
        <v>183</v>
      </c>
      <c r="C194" s="32" t="s">
        <v>184</v>
      </c>
      <c r="D194" s="32">
        <f>SUM(D195:D208)</f>
        <v>14377</v>
      </c>
      <c r="E194" s="66"/>
      <c r="F194" s="33">
        <f>SUM(F195:F208)</f>
        <v>12.234204393280848</v>
      </c>
      <c r="G194" s="192"/>
    </row>
    <row r="195" spans="1:7" s="177" customFormat="1" ht="15.75">
      <c r="A195" s="32"/>
      <c r="B195" s="52" t="s">
        <v>211</v>
      </c>
      <c r="C195" s="32" t="s">
        <v>184</v>
      </c>
      <c r="D195" s="204">
        <v>566</v>
      </c>
      <c r="E195" s="66">
        <f>'单价汇总'!E20/100</f>
        <v>19.982767988139074</v>
      </c>
      <c r="F195" s="153">
        <f>E195*D195/10000</f>
        <v>1.1310246681286715</v>
      </c>
      <c r="G195" s="192"/>
    </row>
    <row r="196" spans="1:7" s="177" customFormat="1" ht="15.75">
      <c r="A196" s="32"/>
      <c r="B196" s="52" t="s">
        <v>212</v>
      </c>
      <c r="C196" s="32" t="s">
        <v>184</v>
      </c>
      <c r="D196" s="204">
        <v>677</v>
      </c>
      <c r="E196" s="66">
        <f>'单价汇总'!E21/100</f>
        <v>16.088647677018525</v>
      </c>
      <c r="F196" s="153">
        <f>E196*D196/10000</f>
        <v>1.089201447734154</v>
      </c>
      <c r="G196" s="192"/>
    </row>
    <row r="197" spans="1:7" s="177" customFormat="1" ht="15.75">
      <c r="A197" s="32"/>
      <c r="B197" s="32" t="s">
        <v>213</v>
      </c>
      <c r="C197" s="32" t="s">
        <v>184</v>
      </c>
      <c r="D197" s="204">
        <v>616</v>
      </c>
      <c r="E197" s="66">
        <f>'单价汇总'!E22/100</f>
        <v>14.920623797323296</v>
      </c>
      <c r="F197" s="153">
        <f>E197*D197/10000</f>
        <v>0.919110425915115</v>
      </c>
      <c r="G197" s="192"/>
    </row>
    <row r="198" spans="1:7" s="177" customFormat="1" ht="15.75">
      <c r="A198" s="32"/>
      <c r="B198" s="52" t="s">
        <v>214</v>
      </c>
      <c r="C198" s="32" t="s">
        <v>184</v>
      </c>
      <c r="D198" s="204">
        <v>657</v>
      </c>
      <c r="E198" s="66">
        <f>'单价汇总'!E23/100</f>
        <v>13.362975672875075</v>
      </c>
      <c r="F198" s="153">
        <f>E198*D198/10000</f>
        <v>0.8779475017078925</v>
      </c>
      <c r="G198" s="192"/>
    </row>
    <row r="199" spans="1:8" s="177" customFormat="1" ht="15.75">
      <c r="A199" s="32"/>
      <c r="B199" s="52" t="s">
        <v>215</v>
      </c>
      <c r="C199" s="32" t="s">
        <v>184</v>
      </c>
      <c r="D199" s="204">
        <v>1509</v>
      </c>
      <c r="E199" s="66">
        <f>'单价汇总'!E24/100</f>
        <v>5.185959660444718</v>
      </c>
      <c r="F199" s="153">
        <f aca="true" t="shared" si="20" ref="F199:F208">E199*D199/10000</f>
        <v>0.782561312761108</v>
      </c>
      <c r="G199" s="192"/>
      <c r="H199" s="211"/>
    </row>
    <row r="200" spans="1:8" s="177" customFormat="1" ht="15.75">
      <c r="A200" s="32"/>
      <c r="B200" s="52" t="s">
        <v>216</v>
      </c>
      <c r="C200" s="32" t="s">
        <v>184</v>
      </c>
      <c r="D200" s="204">
        <v>1912</v>
      </c>
      <c r="E200" s="66">
        <f>'单价汇总'!E25/100</f>
        <v>5.575583905197704</v>
      </c>
      <c r="F200" s="153">
        <f t="shared" si="20"/>
        <v>1.0660516426738011</v>
      </c>
      <c r="G200" s="192"/>
      <c r="H200" s="211"/>
    </row>
    <row r="201" spans="1:8" s="177" customFormat="1" ht="15.75">
      <c r="A201" s="32"/>
      <c r="B201" s="52" t="s">
        <v>217</v>
      </c>
      <c r="C201" s="32" t="s">
        <v>184</v>
      </c>
      <c r="D201" s="204">
        <v>1107</v>
      </c>
      <c r="E201" s="66">
        <f>'单价汇总'!E26/100</f>
        <v>14.141799735099184</v>
      </c>
      <c r="F201" s="153">
        <f t="shared" si="20"/>
        <v>1.5654972306754797</v>
      </c>
      <c r="G201" s="192"/>
      <c r="H201" s="211"/>
    </row>
    <row r="202" spans="1:8" s="177" customFormat="1" ht="15.75">
      <c r="A202" s="32"/>
      <c r="B202" s="52" t="s">
        <v>218</v>
      </c>
      <c r="C202" s="32" t="s">
        <v>184</v>
      </c>
      <c r="D202" s="204">
        <v>2013</v>
      </c>
      <c r="E202" s="66">
        <f>'单价汇总'!E27/100</f>
        <v>9.079655544283401</v>
      </c>
      <c r="F202" s="153">
        <f t="shared" si="20"/>
        <v>1.8277346610642486</v>
      </c>
      <c r="G202" s="192"/>
      <c r="H202" s="211"/>
    </row>
    <row r="203" spans="1:8" s="177" customFormat="1" ht="15.75">
      <c r="A203" s="32"/>
      <c r="B203" s="52" t="s">
        <v>219</v>
      </c>
      <c r="C203" s="32" t="s">
        <v>184</v>
      </c>
      <c r="D203" s="204">
        <v>936</v>
      </c>
      <c r="E203" s="66">
        <f>'单价汇总'!E28/100</f>
        <v>8.301255909341158</v>
      </c>
      <c r="F203" s="153">
        <f t="shared" si="20"/>
        <v>0.7769975531143324</v>
      </c>
      <c r="G203" s="192"/>
      <c r="H203" s="211"/>
    </row>
    <row r="204" spans="1:8" s="177" customFormat="1" ht="15.75">
      <c r="A204" s="32"/>
      <c r="B204" s="52" t="s">
        <v>220</v>
      </c>
      <c r="C204" s="32" t="s">
        <v>184</v>
      </c>
      <c r="D204" s="204">
        <v>884</v>
      </c>
      <c r="E204" s="66">
        <f>'单价汇总'!E29/100</f>
        <v>6.905030290727982</v>
      </c>
      <c r="F204" s="153">
        <f t="shared" si="20"/>
        <v>0.6104046777003537</v>
      </c>
      <c r="G204" s="192"/>
      <c r="H204" s="211"/>
    </row>
    <row r="205" spans="1:8" s="177" customFormat="1" ht="15.75">
      <c r="A205" s="32"/>
      <c r="B205" s="52" t="s">
        <v>221</v>
      </c>
      <c r="C205" s="32" t="s">
        <v>184</v>
      </c>
      <c r="D205" s="204">
        <v>927</v>
      </c>
      <c r="E205" s="66">
        <f>'单价汇总'!E30/100</f>
        <v>4.179358286584529</v>
      </c>
      <c r="F205" s="153">
        <f t="shared" si="20"/>
        <v>0.3874265131663858</v>
      </c>
      <c r="G205" s="192"/>
      <c r="H205" s="211"/>
    </row>
    <row r="206" spans="1:8" s="177" customFormat="1" ht="15.75">
      <c r="A206" s="32"/>
      <c r="B206" s="52" t="s">
        <v>222</v>
      </c>
      <c r="C206" s="32" t="s">
        <v>184</v>
      </c>
      <c r="D206" s="204">
        <v>739</v>
      </c>
      <c r="E206" s="66">
        <f>'单价汇总'!E31/100</f>
        <v>6.126206228503873</v>
      </c>
      <c r="F206" s="153">
        <f t="shared" si="20"/>
        <v>0.4527266402864362</v>
      </c>
      <c r="G206" s="192"/>
      <c r="H206" s="211"/>
    </row>
    <row r="207" spans="1:8" s="177" customFormat="1" ht="15.75">
      <c r="A207" s="32"/>
      <c r="B207" s="52" t="s">
        <v>223</v>
      </c>
      <c r="C207" s="32" t="s">
        <v>184</v>
      </c>
      <c r="D207" s="204">
        <v>906</v>
      </c>
      <c r="E207" s="66">
        <f>'单价汇总'!E32/100</f>
        <v>4.568558104055652</v>
      </c>
      <c r="F207" s="153">
        <f t="shared" si="20"/>
        <v>0.4139113642274421</v>
      </c>
      <c r="G207" s="192"/>
      <c r="H207" s="211"/>
    </row>
    <row r="208" spans="1:8" s="177" customFormat="1" ht="15.75">
      <c r="A208" s="32"/>
      <c r="B208" s="52" t="s">
        <v>224</v>
      </c>
      <c r="C208" s="32" t="s">
        <v>184</v>
      </c>
      <c r="D208" s="204">
        <v>928</v>
      </c>
      <c r="E208" s="66">
        <f>'单价汇总'!E33/100</f>
        <v>3.5949219194550484</v>
      </c>
      <c r="F208" s="153">
        <f t="shared" si="20"/>
        <v>0.3336087541254285</v>
      </c>
      <c r="G208" s="192"/>
      <c r="H208" s="211"/>
    </row>
    <row r="209" spans="1:8" s="177" customFormat="1" ht="15.75">
      <c r="A209" s="32" t="s">
        <v>50</v>
      </c>
      <c r="B209" s="32" t="s">
        <v>199</v>
      </c>
      <c r="C209" s="32" t="s">
        <v>184</v>
      </c>
      <c r="D209" s="204">
        <f>SUM(D210:D214)</f>
        <v>49144</v>
      </c>
      <c r="E209" s="66"/>
      <c r="F209" s="33">
        <f>SUM(F210:F214)</f>
        <v>15.097276376217103</v>
      </c>
      <c r="G209" s="192"/>
      <c r="H209" s="211"/>
    </row>
    <row r="210" spans="1:8" s="177" customFormat="1" ht="15.75">
      <c r="A210" s="32"/>
      <c r="B210" s="32" t="s">
        <v>225</v>
      </c>
      <c r="C210" s="32" t="s">
        <v>184</v>
      </c>
      <c r="D210" s="32">
        <v>10566</v>
      </c>
      <c r="E210" s="66">
        <f>'单价汇总'!E39/100</f>
        <v>2.980988393548872</v>
      </c>
      <c r="F210" s="153">
        <f aca="true" t="shared" si="21" ref="F210:F214">E210*D210/10000</f>
        <v>3.1497123366237383</v>
      </c>
      <c r="G210" s="212"/>
      <c r="H210" s="211"/>
    </row>
    <row r="211" spans="1:8" s="177" customFormat="1" ht="15.75">
      <c r="A211" s="32"/>
      <c r="B211" s="32" t="s">
        <v>226</v>
      </c>
      <c r="C211" s="32" t="s">
        <v>184</v>
      </c>
      <c r="D211" s="32">
        <v>7716</v>
      </c>
      <c r="E211" s="66">
        <f>'单价汇总'!E40/100</f>
        <v>3.3442981468261674</v>
      </c>
      <c r="F211" s="153">
        <f t="shared" si="21"/>
        <v>2.5804604500910706</v>
      </c>
      <c r="G211" s="212"/>
      <c r="H211" s="211"/>
    </row>
    <row r="212" spans="1:8" s="177" customFormat="1" ht="15.75">
      <c r="A212" s="32"/>
      <c r="B212" s="32" t="s">
        <v>227</v>
      </c>
      <c r="C212" s="32" t="s">
        <v>184</v>
      </c>
      <c r="D212" s="32">
        <v>10713</v>
      </c>
      <c r="E212" s="66">
        <f>'单价汇总'!E41/100</f>
        <v>3.3442981468261674</v>
      </c>
      <c r="F212" s="153">
        <f t="shared" si="21"/>
        <v>3.5827466046948735</v>
      </c>
      <c r="G212" s="212"/>
      <c r="H212" s="211"/>
    </row>
    <row r="213" spans="1:8" s="177" customFormat="1" ht="15.75">
      <c r="A213" s="32"/>
      <c r="B213" s="32" t="s">
        <v>228</v>
      </c>
      <c r="C213" s="32" t="s">
        <v>184</v>
      </c>
      <c r="D213" s="32">
        <v>10369</v>
      </c>
      <c r="E213" s="66">
        <f>'单价汇总'!E42/100</f>
        <v>2.6691758171379836</v>
      </c>
      <c r="F213" s="153">
        <f t="shared" si="21"/>
        <v>2.7676684047903755</v>
      </c>
      <c r="G213" s="212"/>
      <c r="H213" s="211"/>
    </row>
    <row r="214" spans="1:8" s="177" customFormat="1" ht="15.75">
      <c r="A214" s="32"/>
      <c r="B214" s="32" t="s">
        <v>229</v>
      </c>
      <c r="C214" s="32" t="s">
        <v>184</v>
      </c>
      <c r="D214" s="32">
        <v>9780</v>
      </c>
      <c r="E214" s="66">
        <f>'单价汇总'!E43/100</f>
        <v>3.084548650324176</v>
      </c>
      <c r="F214" s="153">
        <f t="shared" si="21"/>
        <v>3.0166885800170444</v>
      </c>
      <c r="G214" s="212"/>
      <c r="H214" s="211"/>
    </row>
    <row r="215" spans="1:8" s="177" customFormat="1" ht="15.75">
      <c r="A215" s="32" t="s">
        <v>52</v>
      </c>
      <c r="B215" s="32" t="s">
        <v>230</v>
      </c>
      <c r="C215" s="208" t="s">
        <v>54</v>
      </c>
      <c r="D215" s="33">
        <f>SUM(D216:D221)</f>
        <v>38143.308</v>
      </c>
      <c r="E215" s="66"/>
      <c r="F215" s="33">
        <f>SUM(F216:F221)</f>
        <v>23.51765368186759</v>
      </c>
      <c r="G215" s="213"/>
      <c r="H215" s="211"/>
    </row>
    <row r="216" spans="1:8" s="177" customFormat="1" ht="15.75">
      <c r="A216" s="32"/>
      <c r="B216" s="32" t="s">
        <v>231</v>
      </c>
      <c r="C216" s="208" t="s">
        <v>54</v>
      </c>
      <c r="D216" s="33">
        <v>6102.92928</v>
      </c>
      <c r="E216" s="66">
        <f>'单价汇总'!E44/100</f>
        <v>6.16560411642</v>
      </c>
      <c r="F216" s="153">
        <f aca="true" t="shared" si="22" ref="F216:F221">E216*D216/10000</f>
        <v>3.762824589098815</v>
      </c>
      <c r="G216" s="213"/>
      <c r="H216" s="211"/>
    </row>
    <row r="217" spans="1:8" s="177" customFormat="1" ht="15.75">
      <c r="A217" s="32"/>
      <c r="B217" s="32" t="s">
        <v>232</v>
      </c>
      <c r="C217" s="208" t="s">
        <v>54</v>
      </c>
      <c r="D217" s="33">
        <v>6980.225364</v>
      </c>
      <c r="E217" s="66">
        <f>'单价汇总'!E45/100</f>
        <v>6.16560411642</v>
      </c>
      <c r="F217" s="153">
        <f t="shared" si="22"/>
        <v>4.303730623781769</v>
      </c>
      <c r="G217" s="213"/>
      <c r="H217" s="211"/>
    </row>
    <row r="218" spans="1:8" s="177" customFormat="1" ht="15.75">
      <c r="A218" s="32"/>
      <c r="B218" s="32" t="s">
        <v>233</v>
      </c>
      <c r="C218" s="208" t="s">
        <v>54</v>
      </c>
      <c r="D218" s="33">
        <v>7247.22852</v>
      </c>
      <c r="E218" s="66">
        <f>'单价汇总'!E46/100</f>
        <v>6.16560411642</v>
      </c>
      <c r="F218" s="153">
        <f t="shared" si="22"/>
        <v>4.468354199554843</v>
      </c>
      <c r="G218" s="213"/>
      <c r="H218" s="211"/>
    </row>
    <row r="219" spans="1:8" s="177" customFormat="1" ht="15.75">
      <c r="A219" s="32"/>
      <c r="B219" s="32" t="s">
        <v>234</v>
      </c>
      <c r="C219" s="208" t="s">
        <v>54</v>
      </c>
      <c r="D219" s="33">
        <v>7514.231676</v>
      </c>
      <c r="E219" s="66">
        <f>'单价汇总'!E47/100</f>
        <v>6.16560411642</v>
      </c>
      <c r="F219" s="153">
        <f t="shared" si="22"/>
        <v>4.632977775327916</v>
      </c>
      <c r="G219" s="213"/>
      <c r="H219" s="211"/>
    </row>
    <row r="220" spans="1:8" s="177" customFormat="1" ht="15.75">
      <c r="A220" s="32"/>
      <c r="B220" s="32" t="s">
        <v>235</v>
      </c>
      <c r="C220" s="208" t="s">
        <v>54</v>
      </c>
      <c r="D220" s="33">
        <v>5530.77966</v>
      </c>
      <c r="E220" s="66">
        <f>'单价汇总'!E48/100</f>
        <v>6.16560411642</v>
      </c>
      <c r="F220" s="153">
        <f t="shared" si="22"/>
        <v>3.410059783870801</v>
      </c>
      <c r="G220" s="213"/>
      <c r="H220" s="211"/>
    </row>
    <row r="221" spans="1:8" s="177" customFormat="1" ht="15.75">
      <c r="A221" s="32"/>
      <c r="B221" s="32" t="s">
        <v>236</v>
      </c>
      <c r="C221" s="208" t="s">
        <v>54</v>
      </c>
      <c r="D221" s="33">
        <v>4767.9135</v>
      </c>
      <c r="E221" s="66">
        <f>'单价汇总'!E49/100</f>
        <v>6.16560411642</v>
      </c>
      <c r="F221" s="153">
        <f t="shared" si="22"/>
        <v>2.9397067102334486</v>
      </c>
      <c r="G221" s="213"/>
      <c r="H221" s="211"/>
    </row>
    <row r="222" spans="1:7" s="177" customFormat="1" ht="15.75">
      <c r="A222" s="32">
        <v>4</v>
      </c>
      <c r="B222" s="32" t="s">
        <v>205</v>
      </c>
      <c r="C222" s="32"/>
      <c r="D222" s="32"/>
      <c r="E222" s="66"/>
      <c r="F222" s="153">
        <f>SUM(F223:F236)</f>
        <v>424.10281266000004</v>
      </c>
      <c r="G222" s="192"/>
    </row>
    <row r="223" spans="1:7" s="177" customFormat="1" ht="15.75">
      <c r="A223" s="32" t="s">
        <v>47</v>
      </c>
      <c r="B223" s="32" t="s">
        <v>183</v>
      </c>
      <c r="C223" s="32" t="s">
        <v>184</v>
      </c>
      <c r="D223" s="32">
        <f>SUM(D224:D237)</f>
        <v>14377</v>
      </c>
      <c r="E223" s="66"/>
      <c r="F223" s="33">
        <f>SUM(F224:F237)</f>
        <v>214.17749145</v>
      </c>
      <c r="G223" s="192"/>
    </row>
    <row r="224" spans="1:7" s="177" customFormat="1" ht="15.75">
      <c r="A224" s="32"/>
      <c r="B224" s="52" t="s">
        <v>211</v>
      </c>
      <c r="C224" s="32" t="s">
        <v>184</v>
      </c>
      <c r="D224" s="32">
        <f>D195</f>
        <v>566</v>
      </c>
      <c r="E224" s="66">
        <f>'主要材料费'!D25</f>
        <v>437.895</v>
      </c>
      <c r="F224" s="153">
        <f aca="true" t="shared" si="23" ref="F223:F241">E224*D224/10000</f>
        <v>24.784857</v>
      </c>
      <c r="G224" s="192"/>
    </row>
    <row r="225" spans="1:7" s="177" customFormat="1" ht="15.75">
      <c r="A225" s="32"/>
      <c r="B225" s="52" t="s">
        <v>212</v>
      </c>
      <c r="C225" s="32" t="s">
        <v>184</v>
      </c>
      <c r="D225" s="32">
        <f aca="true" t="shared" si="24" ref="D225:D237">D196</f>
        <v>677</v>
      </c>
      <c r="E225" s="66">
        <f>'主要材料费'!D26</f>
        <v>336.05249999999995</v>
      </c>
      <c r="F225" s="153">
        <f t="shared" si="23"/>
        <v>22.750754249999996</v>
      </c>
      <c r="G225" s="192"/>
    </row>
    <row r="226" spans="1:7" s="177" customFormat="1" ht="15.75">
      <c r="A226" s="32"/>
      <c r="B226" s="32" t="s">
        <v>213</v>
      </c>
      <c r="C226" s="32" t="s">
        <v>184</v>
      </c>
      <c r="D226" s="32">
        <f t="shared" si="24"/>
        <v>616</v>
      </c>
      <c r="E226" s="66">
        <f>'主要材料费'!D27</f>
        <v>305.50530000000003</v>
      </c>
      <c r="F226" s="153">
        <f t="shared" si="23"/>
        <v>18.819126480000005</v>
      </c>
      <c r="G226" s="192"/>
    </row>
    <row r="227" spans="1:7" s="177" customFormat="1" ht="15.75">
      <c r="A227" s="32"/>
      <c r="B227" s="52" t="s">
        <v>214</v>
      </c>
      <c r="C227" s="32" t="s">
        <v>184</v>
      </c>
      <c r="D227" s="32">
        <f t="shared" si="24"/>
        <v>657</v>
      </c>
      <c r="E227" s="66">
        <f>'主要材料费'!D28</f>
        <v>264.7683</v>
      </c>
      <c r="F227" s="153">
        <f t="shared" si="23"/>
        <v>17.39527731</v>
      </c>
      <c r="G227" s="192"/>
    </row>
    <row r="228" spans="1:7" s="177" customFormat="1" ht="15.75">
      <c r="A228" s="32"/>
      <c r="B228" s="52" t="s">
        <v>215</v>
      </c>
      <c r="C228" s="32" t="s">
        <v>184</v>
      </c>
      <c r="D228" s="32">
        <f t="shared" si="24"/>
        <v>1509</v>
      </c>
      <c r="E228" s="66">
        <f>'主要材料费'!D29</f>
        <v>50.9157</v>
      </c>
      <c r="F228" s="153">
        <f t="shared" si="23"/>
        <v>7.68317913</v>
      </c>
      <c r="G228" s="192"/>
    </row>
    <row r="229" spans="1:7" s="177" customFormat="1" ht="15.75">
      <c r="A229" s="32"/>
      <c r="B229" s="52" t="s">
        <v>216</v>
      </c>
      <c r="C229" s="32" t="s">
        <v>184</v>
      </c>
      <c r="D229" s="32">
        <f t="shared" si="24"/>
        <v>1912</v>
      </c>
      <c r="E229" s="66">
        <f>'主要材料费'!D30</f>
        <v>61.1055</v>
      </c>
      <c r="F229" s="153">
        <f t="shared" si="23"/>
        <v>11.6833716</v>
      </c>
      <c r="G229" s="192"/>
    </row>
    <row r="230" spans="1:7" s="177" customFormat="1" ht="15.75">
      <c r="A230" s="32"/>
      <c r="B230" s="52" t="s">
        <v>217</v>
      </c>
      <c r="C230" s="32" t="s">
        <v>184</v>
      </c>
      <c r="D230" s="32">
        <f t="shared" si="24"/>
        <v>1107</v>
      </c>
      <c r="E230" s="66">
        <f>'主要材料费'!D31</f>
        <v>285.1368</v>
      </c>
      <c r="F230" s="153">
        <f t="shared" si="23"/>
        <v>31.56464376</v>
      </c>
      <c r="G230" s="192"/>
    </row>
    <row r="231" spans="1:7" s="177" customFormat="1" ht="15.75">
      <c r="A231" s="32"/>
      <c r="B231" s="52" t="s">
        <v>218</v>
      </c>
      <c r="C231" s="32" t="s">
        <v>184</v>
      </c>
      <c r="D231" s="32">
        <f t="shared" si="24"/>
        <v>2013</v>
      </c>
      <c r="E231" s="66">
        <f>'主要材料费'!D32</f>
        <v>152.74710000000002</v>
      </c>
      <c r="F231" s="153">
        <f t="shared" si="23"/>
        <v>30.747991230000004</v>
      </c>
      <c r="G231" s="192"/>
    </row>
    <row r="232" spans="1:7" s="177" customFormat="1" ht="15.75">
      <c r="A232" s="32"/>
      <c r="B232" s="52" t="s">
        <v>219</v>
      </c>
      <c r="C232" s="32" t="s">
        <v>184</v>
      </c>
      <c r="D232" s="32">
        <f t="shared" si="24"/>
        <v>936</v>
      </c>
      <c r="E232" s="66">
        <f>'主要材料费'!D33</f>
        <v>132.3897</v>
      </c>
      <c r="F232" s="153">
        <f t="shared" si="23"/>
        <v>12.39167592</v>
      </c>
      <c r="G232" s="192"/>
    </row>
    <row r="233" spans="1:7" s="177" customFormat="1" ht="15.75">
      <c r="A233" s="32"/>
      <c r="B233" s="52" t="s">
        <v>220</v>
      </c>
      <c r="C233" s="32" t="s">
        <v>184</v>
      </c>
      <c r="D233" s="32">
        <f t="shared" si="24"/>
        <v>884</v>
      </c>
      <c r="E233" s="66">
        <f>'主要材料费'!D34</f>
        <v>132.3897</v>
      </c>
      <c r="F233" s="153">
        <f t="shared" si="23"/>
        <v>11.70324948</v>
      </c>
      <c r="G233" s="192"/>
    </row>
    <row r="234" spans="1:7" s="177" customFormat="1" ht="15.75">
      <c r="A234" s="32"/>
      <c r="B234" s="52" t="s">
        <v>221</v>
      </c>
      <c r="C234" s="32" t="s">
        <v>184</v>
      </c>
      <c r="D234" s="32">
        <f t="shared" si="24"/>
        <v>927</v>
      </c>
      <c r="E234" s="66">
        <f>'主要材料费'!D35</f>
        <v>61.1055</v>
      </c>
      <c r="F234" s="153">
        <f t="shared" si="23"/>
        <v>5.664479849999999</v>
      </c>
      <c r="G234" s="192"/>
    </row>
    <row r="235" spans="1:7" s="177" customFormat="1" ht="15.75">
      <c r="A235" s="32"/>
      <c r="B235" s="52" t="s">
        <v>222</v>
      </c>
      <c r="C235" s="32" t="s">
        <v>184</v>
      </c>
      <c r="D235" s="32">
        <f t="shared" si="24"/>
        <v>739</v>
      </c>
      <c r="E235" s="66">
        <f>'主要材料费'!D36</f>
        <v>112.02120000000001</v>
      </c>
      <c r="F235" s="153">
        <f t="shared" si="23"/>
        <v>8.278366680000001</v>
      </c>
      <c r="G235" s="192"/>
    </row>
    <row r="236" spans="1:7" s="177" customFormat="1" ht="15.75">
      <c r="A236" s="32"/>
      <c r="B236" s="52" t="s">
        <v>223</v>
      </c>
      <c r="C236" s="32" t="s">
        <v>184</v>
      </c>
      <c r="D236" s="32">
        <f t="shared" si="24"/>
        <v>906</v>
      </c>
      <c r="E236" s="66">
        <f>'主要材料费'!D37</f>
        <v>71.2842</v>
      </c>
      <c r="F236" s="153">
        <f t="shared" si="23"/>
        <v>6.4583485199999995</v>
      </c>
      <c r="G236" s="192"/>
    </row>
    <row r="237" spans="1:7" s="177" customFormat="1" ht="15.75">
      <c r="A237" s="32"/>
      <c r="B237" s="52" t="s">
        <v>224</v>
      </c>
      <c r="C237" s="32" t="s">
        <v>184</v>
      </c>
      <c r="D237" s="32">
        <f t="shared" si="24"/>
        <v>928</v>
      </c>
      <c r="E237" s="66">
        <f>'主要材料费'!D38</f>
        <v>45.8208</v>
      </c>
      <c r="F237" s="153">
        <f t="shared" si="23"/>
        <v>4.25217024</v>
      </c>
      <c r="G237" s="192"/>
    </row>
    <row r="238" spans="1:7" s="177" customFormat="1" ht="15.75">
      <c r="A238" s="32" t="s">
        <v>50</v>
      </c>
      <c r="B238" s="32" t="s">
        <v>199</v>
      </c>
      <c r="C238" s="32" t="s">
        <v>184</v>
      </c>
      <c r="D238" s="204">
        <f>SUM(D239:D243)</f>
        <v>49144</v>
      </c>
      <c r="E238" s="66"/>
      <c r="F238" s="33">
        <f>SUM(F239:F243)</f>
        <v>148.91624025</v>
      </c>
      <c r="G238" s="192"/>
    </row>
    <row r="239" spans="1:7" s="177" customFormat="1" ht="15.75">
      <c r="A239" s="32"/>
      <c r="B239" s="32" t="s">
        <v>225</v>
      </c>
      <c r="C239" s="32" t="s">
        <v>184</v>
      </c>
      <c r="D239" s="32">
        <f>D210</f>
        <v>10566</v>
      </c>
      <c r="E239" s="66">
        <f>'主要材料费'!D44</f>
        <v>28.515900000000002</v>
      </c>
      <c r="F239" s="153">
        <f>E239*D239/10000</f>
        <v>30.12989994</v>
      </c>
      <c r="G239" s="192"/>
    </row>
    <row r="240" spans="1:7" s="177" customFormat="1" ht="15.75">
      <c r="A240" s="32"/>
      <c r="B240" s="32" t="s">
        <v>226</v>
      </c>
      <c r="C240" s="32" t="s">
        <v>184</v>
      </c>
      <c r="D240" s="32">
        <f>D211</f>
        <v>7716</v>
      </c>
      <c r="E240" s="66">
        <f>'主要材料费'!D45</f>
        <v>35.6421</v>
      </c>
      <c r="F240" s="153">
        <f aca="true" t="shared" si="25" ref="F240:F250">E240*D240/10000</f>
        <v>27.50144436</v>
      </c>
      <c r="G240" s="192"/>
    </row>
    <row r="241" spans="1:7" s="177" customFormat="1" ht="15.75">
      <c r="A241" s="32"/>
      <c r="B241" s="32" t="s">
        <v>227</v>
      </c>
      <c r="C241" s="32" t="s">
        <v>184</v>
      </c>
      <c r="D241" s="32">
        <f>D212</f>
        <v>10713</v>
      </c>
      <c r="E241" s="66">
        <f>'主要材料费'!D46</f>
        <v>35.6421</v>
      </c>
      <c r="F241" s="153">
        <f t="shared" si="25"/>
        <v>38.18338173</v>
      </c>
      <c r="G241" s="192"/>
    </row>
    <row r="242" spans="1:7" s="177" customFormat="1" ht="15.75">
      <c r="A242" s="32"/>
      <c r="B242" s="32" t="s">
        <v>228</v>
      </c>
      <c r="C242" s="32" t="s">
        <v>184</v>
      </c>
      <c r="D242" s="32">
        <f>D213</f>
        <v>10369</v>
      </c>
      <c r="E242" s="66">
        <f>'主要材料费'!D47</f>
        <v>22.3998</v>
      </c>
      <c r="F242" s="153">
        <f t="shared" si="25"/>
        <v>23.22635262</v>
      </c>
      <c r="G242" s="192"/>
    </row>
    <row r="243" spans="1:7" s="177" customFormat="1" ht="15.75">
      <c r="A243" s="32"/>
      <c r="B243" s="32" t="s">
        <v>229</v>
      </c>
      <c r="C243" s="32" t="s">
        <v>184</v>
      </c>
      <c r="D243" s="32">
        <f>D214</f>
        <v>9780</v>
      </c>
      <c r="E243" s="66">
        <f>'主要材料费'!D48</f>
        <v>30.5472</v>
      </c>
      <c r="F243" s="153">
        <f t="shared" si="25"/>
        <v>29.8751616</v>
      </c>
      <c r="G243" s="192"/>
    </row>
    <row r="244" spans="1:7" s="177" customFormat="1" ht="15.75">
      <c r="A244" s="32" t="s">
        <v>52</v>
      </c>
      <c r="B244" s="32" t="s">
        <v>230</v>
      </c>
      <c r="C244" s="33" t="s">
        <v>184</v>
      </c>
      <c r="D244" s="204">
        <f>SUM(D245:D250)</f>
        <v>885954.614916</v>
      </c>
      <c r="E244" s="66"/>
      <c r="F244" s="33">
        <f>SUM(F245:F250)</f>
        <v>129.29255970190306</v>
      </c>
      <c r="G244" s="192"/>
    </row>
    <row r="245" spans="1:7" s="177" customFormat="1" ht="15.75">
      <c r="A245" s="32"/>
      <c r="B245" s="32" t="s">
        <v>231</v>
      </c>
      <c r="C245" s="33" t="s">
        <v>184</v>
      </c>
      <c r="D245" s="204">
        <f>D216*25</f>
        <v>152573.23200000002</v>
      </c>
      <c r="E245" s="66">
        <f>'主要材料费'!D49</f>
        <v>1.0212</v>
      </c>
      <c r="F245" s="153">
        <f t="shared" si="25"/>
        <v>15.580778451840004</v>
      </c>
      <c r="G245" s="192"/>
    </row>
    <row r="246" spans="1:7" s="177" customFormat="1" ht="15.75">
      <c r="A246" s="32"/>
      <c r="B246" s="32" t="s">
        <v>232</v>
      </c>
      <c r="C246" s="33" t="s">
        <v>184</v>
      </c>
      <c r="D246" s="204">
        <f>D217*25</f>
        <v>174505.6341</v>
      </c>
      <c r="E246" s="66">
        <f>'主要材料费'!D59</f>
        <v>0.7103999999999999</v>
      </c>
      <c r="F246" s="153">
        <f t="shared" si="25"/>
        <v>12.396880246463999</v>
      </c>
      <c r="G246" s="192"/>
    </row>
    <row r="247" spans="1:7" s="177" customFormat="1" ht="15.75">
      <c r="A247" s="32"/>
      <c r="B247" s="32" t="s">
        <v>233</v>
      </c>
      <c r="C247" s="33" t="s">
        <v>184</v>
      </c>
      <c r="D247" s="204">
        <f>D218*25</f>
        <v>181180.713</v>
      </c>
      <c r="E247" s="66">
        <f>'主要材料费'!D50</f>
        <v>2.5419</v>
      </c>
      <c r="F247" s="153">
        <f t="shared" si="25"/>
        <v>46.05432543747</v>
      </c>
      <c r="G247" s="192"/>
    </row>
    <row r="248" spans="1:7" s="177" customFormat="1" ht="15.75">
      <c r="A248" s="32"/>
      <c r="B248" s="32" t="s">
        <v>234</v>
      </c>
      <c r="C248" s="33" t="s">
        <v>184</v>
      </c>
      <c r="D248" s="204">
        <f>D219*16</f>
        <v>120227.706816</v>
      </c>
      <c r="E248" s="66">
        <f>'主要材料费'!D52</f>
        <v>2.0313</v>
      </c>
      <c r="F248" s="153">
        <f t="shared" si="25"/>
        <v>24.42185408553408</v>
      </c>
      <c r="G248" s="192"/>
    </row>
    <row r="249" spans="1:7" s="177" customFormat="1" ht="15.75">
      <c r="A249" s="32"/>
      <c r="B249" s="32" t="s">
        <v>235</v>
      </c>
      <c r="C249" s="33" t="s">
        <v>184</v>
      </c>
      <c r="D249" s="204">
        <f>D220*25</f>
        <v>138269.4915</v>
      </c>
      <c r="E249" s="66">
        <f>'主要材料费'!D57</f>
        <v>1.5317999999999998</v>
      </c>
      <c r="F249" s="153">
        <f t="shared" si="25"/>
        <v>21.180120707969998</v>
      </c>
      <c r="G249" s="192"/>
    </row>
    <row r="250" spans="1:7" s="177" customFormat="1" ht="15.75">
      <c r="A250" s="32"/>
      <c r="B250" s="32" t="s">
        <v>236</v>
      </c>
      <c r="C250" s="33" t="s">
        <v>184</v>
      </c>
      <c r="D250" s="204">
        <f>D221*25</f>
        <v>119197.8375</v>
      </c>
      <c r="E250" s="66">
        <f>'主要材料费'!D58</f>
        <v>0.8102999999999999</v>
      </c>
      <c r="F250" s="153">
        <f t="shared" si="25"/>
        <v>9.658600772624998</v>
      </c>
      <c r="G250" s="192"/>
    </row>
    <row r="251" spans="1:7" s="177" customFormat="1" ht="15.75">
      <c r="A251" s="32">
        <v>5</v>
      </c>
      <c r="B251" s="205" t="s">
        <v>206</v>
      </c>
      <c r="C251" s="205"/>
      <c r="D251" s="206"/>
      <c r="E251" s="207"/>
      <c r="F251" s="207">
        <f>SUM(F252:F254)</f>
        <v>5.563198405080671</v>
      </c>
      <c r="G251" s="192"/>
    </row>
    <row r="252" spans="1:7" s="177" customFormat="1" ht="15.75">
      <c r="A252" s="32"/>
      <c r="B252" s="208" t="s">
        <v>207</v>
      </c>
      <c r="C252" s="208" t="s">
        <v>101</v>
      </c>
      <c r="D252" s="209">
        <f>D190</f>
        <v>16.71568</v>
      </c>
      <c r="E252" s="210">
        <f>E187</f>
        <v>1453.5341104032</v>
      </c>
      <c r="F252" s="210">
        <f aca="true" t="shared" si="26" ref="F252:F254">D252*E252/10000</f>
        <v>2.429681105858456</v>
      </c>
      <c r="G252" s="192"/>
    </row>
    <row r="253" spans="1:7" s="177" customFormat="1" ht="15.75">
      <c r="A253" s="32"/>
      <c r="B253" s="208" t="s">
        <v>208</v>
      </c>
      <c r="C253" s="208" t="s">
        <v>101</v>
      </c>
      <c r="D253" s="209">
        <f>D252</f>
        <v>16.71568</v>
      </c>
      <c r="E253" s="210">
        <f>E188</f>
        <v>1049.7746352912</v>
      </c>
      <c r="F253" s="210">
        <f t="shared" si="26"/>
        <v>1.7547696875644403</v>
      </c>
      <c r="G253" s="192"/>
    </row>
    <row r="254" spans="1:7" s="177" customFormat="1" ht="15.75">
      <c r="A254" s="32"/>
      <c r="B254" s="208" t="s">
        <v>209</v>
      </c>
      <c r="C254" s="208" t="s">
        <v>101</v>
      </c>
      <c r="D254" s="209">
        <f>D253</f>
        <v>16.71568</v>
      </c>
      <c r="E254" s="210">
        <f>E189</f>
        <v>824.8229277288</v>
      </c>
      <c r="F254" s="210">
        <f t="shared" si="26"/>
        <v>1.3787476116577748</v>
      </c>
      <c r="G254" s="192"/>
    </row>
    <row r="255" spans="1:7" s="177" customFormat="1" ht="15.75">
      <c r="A255" s="63" t="s">
        <v>15</v>
      </c>
      <c r="B255" s="63" t="s">
        <v>25</v>
      </c>
      <c r="C255" s="32" t="s">
        <v>101</v>
      </c>
      <c r="D255" s="114">
        <v>10.07</v>
      </c>
      <c r="E255" s="190"/>
      <c r="F255" s="191">
        <f>F256+F268</f>
        <v>526.4221477524761</v>
      </c>
      <c r="G255" s="192"/>
    </row>
    <row r="256" spans="1:7" s="177" customFormat="1" ht="15.75">
      <c r="A256" s="32">
        <v>1</v>
      </c>
      <c r="B256" s="32" t="s">
        <v>210</v>
      </c>
      <c r="C256" s="32"/>
      <c r="D256" s="32"/>
      <c r="E256" s="66"/>
      <c r="F256" s="153">
        <f>F257+F263</f>
        <v>92.74357202356012</v>
      </c>
      <c r="G256" s="192"/>
    </row>
    <row r="257" spans="1:7" s="177" customFormat="1" ht="15.75">
      <c r="A257" s="32" t="s">
        <v>47</v>
      </c>
      <c r="B257" s="32" t="s">
        <v>230</v>
      </c>
      <c r="C257" s="208" t="s">
        <v>54</v>
      </c>
      <c r="D257" s="33">
        <v>89770.8</v>
      </c>
      <c r="E257" s="66"/>
      <c r="F257" s="33">
        <f>SUM(F258:F262)</f>
        <v>55.34912140143166</v>
      </c>
      <c r="G257" s="32"/>
    </row>
    <row r="258" spans="1:7" s="177" customFormat="1" ht="15.75">
      <c r="A258" s="32"/>
      <c r="B258" s="32" t="s">
        <v>231</v>
      </c>
      <c r="C258" s="208" t="s">
        <v>54</v>
      </c>
      <c r="D258" s="33">
        <v>19480.263600000002</v>
      </c>
      <c r="E258" s="66">
        <f>'单价汇总'!E44/100</f>
        <v>6.16560411642</v>
      </c>
      <c r="F258" s="153">
        <f>E258*D258/10000</f>
        <v>12.010759344110669</v>
      </c>
      <c r="G258" s="192"/>
    </row>
    <row r="259" spans="1:7" s="177" customFormat="1" ht="15.75">
      <c r="A259" s="32"/>
      <c r="B259" s="32" t="s">
        <v>233</v>
      </c>
      <c r="C259" s="208" t="s">
        <v>54</v>
      </c>
      <c r="D259" s="33">
        <v>19300.722</v>
      </c>
      <c r="E259" s="66">
        <f>'单价汇总'!E45/100</f>
        <v>6.16560411642</v>
      </c>
      <c r="F259" s="153">
        <f aca="true" t="shared" si="27" ref="F259:F267">E259*D259/10000</f>
        <v>11.900061101307806</v>
      </c>
      <c r="G259" s="192"/>
    </row>
    <row r="260" spans="1:7" s="177" customFormat="1" ht="15.75">
      <c r="A260" s="32"/>
      <c r="B260" s="32" t="s">
        <v>237</v>
      </c>
      <c r="C260" s="208" t="s">
        <v>54</v>
      </c>
      <c r="D260" s="33">
        <v>19121.1804</v>
      </c>
      <c r="E260" s="66">
        <f>'单价汇总'!E46/100</f>
        <v>6.16560411642</v>
      </c>
      <c r="F260" s="153">
        <f t="shared" si="27"/>
        <v>11.789362858504942</v>
      </c>
      <c r="G260" s="192"/>
    </row>
    <row r="261" spans="1:7" s="177" customFormat="1" ht="15.75">
      <c r="A261" s="32"/>
      <c r="B261" s="32" t="s">
        <v>234</v>
      </c>
      <c r="C261" s="208" t="s">
        <v>54</v>
      </c>
      <c r="D261" s="33">
        <v>17505.306</v>
      </c>
      <c r="E261" s="66">
        <f>'单价汇总'!E47/100</f>
        <v>6.16560411642</v>
      </c>
      <c r="F261" s="153">
        <f t="shared" si="27"/>
        <v>10.793078673279174</v>
      </c>
      <c r="G261" s="192"/>
    </row>
    <row r="262" spans="1:7" s="177" customFormat="1" ht="15.75">
      <c r="A262" s="32"/>
      <c r="B262" s="32" t="s">
        <v>238</v>
      </c>
      <c r="C262" s="208" t="s">
        <v>54</v>
      </c>
      <c r="D262" s="33">
        <v>14363.328000000001</v>
      </c>
      <c r="E262" s="66">
        <f>'单价汇总'!E48/100</f>
        <v>6.16560411642</v>
      </c>
      <c r="F262" s="153">
        <f t="shared" si="27"/>
        <v>8.855859424229065</v>
      </c>
      <c r="G262" s="192"/>
    </row>
    <row r="263" spans="1:7" s="177" customFormat="1" ht="15.75">
      <c r="A263" s="32" t="s">
        <v>50</v>
      </c>
      <c r="B263" s="32" t="s">
        <v>239</v>
      </c>
      <c r="C263" s="208" t="s">
        <v>54</v>
      </c>
      <c r="D263" s="33">
        <f>SUM(D264:D267)</f>
        <v>60650.1</v>
      </c>
      <c r="E263" s="66"/>
      <c r="F263" s="33">
        <f>SUM(F264:F267)</f>
        <v>37.39445062212846</v>
      </c>
      <c r="G263" s="192"/>
    </row>
    <row r="264" spans="1:7" s="177" customFormat="1" ht="15.75">
      <c r="A264" s="32"/>
      <c r="B264" s="32" t="s">
        <v>238</v>
      </c>
      <c r="C264" s="208" t="s">
        <v>54</v>
      </c>
      <c r="D264" s="33">
        <v>5892.768</v>
      </c>
      <c r="E264" s="66">
        <f>'单价汇总'!E48/100</f>
        <v>6.16560411642</v>
      </c>
      <c r="F264" s="153">
        <f t="shared" si="27"/>
        <v>3.633247463790805</v>
      </c>
      <c r="G264" s="192"/>
    </row>
    <row r="265" spans="1:7" s="177" customFormat="1" ht="15.75">
      <c r="A265" s="32"/>
      <c r="B265" s="32" t="s">
        <v>240</v>
      </c>
      <c r="C265" s="208" t="s">
        <v>54</v>
      </c>
      <c r="D265" s="33">
        <v>5813.136</v>
      </c>
      <c r="E265" s="66">
        <f>'单价汇总'!E49/100</f>
        <v>6.16560411642</v>
      </c>
      <c r="F265" s="153">
        <f t="shared" si="27"/>
        <v>3.58414952509093</v>
      </c>
      <c r="G265" s="192"/>
    </row>
    <row r="266" spans="1:7" s="177" customFormat="1" ht="15.75">
      <c r="A266" s="32"/>
      <c r="B266" s="32" t="s">
        <v>241</v>
      </c>
      <c r="C266" s="208" t="s">
        <v>54</v>
      </c>
      <c r="D266" s="33">
        <v>12251.946</v>
      </c>
      <c r="E266" s="66">
        <f>'单价汇总'!E50/100</f>
        <v>6.16560411642</v>
      </c>
      <c r="F266" s="153">
        <f t="shared" si="27"/>
        <v>7.554064869175554</v>
      </c>
      <c r="G266" s="192"/>
    </row>
    <row r="267" spans="1:7" s="177" customFormat="1" ht="15.75">
      <c r="A267" s="32"/>
      <c r="B267" s="32" t="s">
        <v>242</v>
      </c>
      <c r="C267" s="208" t="s">
        <v>54</v>
      </c>
      <c r="D267" s="33">
        <v>36692.25</v>
      </c>
      <c r="E267" s="66">
        <f>'单价汇总'!E51/100</f>
        <v>6.16560411642</v>
      </c>
      <c r="F267" s="153">
        <f t="shared" si="27"/>
        <v>22.622988764071174</v>
      </c>
      <c r="G267" s="192"/>
    </row>
    <row r="268" spans="1:7" s="177" customFormat="1" ht="15.75">
      <c r="A268" s="32">
        <v>2</v>
      </c>
      <c r="B268" s="32" t="s">
        <v>205</v>
      </c>
      <c r="C268" s="32"/>
      <c r="D268" s="32"/>
      <c r="E268" s="66"/>
      <c r="F268" s="153">
        <f>F269+F275</f>
        <v>433.67857572891603</v>
      </c>
      <c r="G268" s="192"/>
    </row>
    <row r="269" spans="1:7" s="177" customFormat="1" ht="15.75">
      <c r="A269" s="32" t="s">
        <v>47</v>
      </c>
      <c r="B269" s="32" t="s">
        <v>230</v>
      </c>
      <c r="C269" s="33" t="s">
        <v>184</v>
      </c>
      <c r="D269" s="204">
        <f>SUM(D270:D274)</f>
        <v>1785361.6704000002</v>
      </c>
      <c r="E269" s="66"/>
      <c r="F269" s="33">
        <f>SUM(F270:F275)</f>
        <v>379.67248488657606</v>
      </c>
      <c r="G269" s="192"/>
    </row>
    <row r="270" spans="1:7" s="177" customFormat="1" ht="15.75">
      <c r="A270" s="32"/>
      <c r="B270" s="32" t="s">
        <v>231</v>
      </c>
      <c r="C270" s="33" t="s">
        <v>184</v>
      </c>
      <c r="D270" s="204">
        <f>D258*25</f>
        <v>487006.59</v>
      </c>
      <c r="E270" s="66">
        <f>'主要材料费'!D49</f>
        <v>1.0212</v>
      </c>
      <c r="F270" s="153">
        <f aca="true" t="shared" si="28" ref="F270:F279">E270*D270/10000</f>
        <v>49.73311297080001</v>
      </c>
      <c r="G270" s="192"/>
    </row>
    <row r="271" spans="1:7" s="177" customFormat="1" ht="15.75">
      <c r="A271" s="32"/>
      <c r="B271" s="32" t="s">
        <v>233</v>
      </c>
      <c r="C271" s="33" t="s">
        <v>184</v>
      </c>
      <c r="D271" s="204">
        <f aca="true" t="shared" si="29" ref="D270:D272">D259*25</f>
        <v>482518.05000000005</v>
      </c>
      <c r="E271" s="66">
        <f>'主要材料费'!D50</f>
        <v>2.5419</v>
      </c>
      <c r="F271" s="153">
        <f t="shared" si="28"/>
        <v>122.65126312950002</v>
      </c>
      <c r="G271" s="192"/>
    </row>
    <row r="272" spans="1:7" s="177" customFormat="1" ht="15.75">
      <c r="A272" s="32"/>
      <c r="B272" s="32" t="s">
        <v>237</v>
      </c>
      <c r="C272" s="33" t="s">
        <v>184</v>
      </c>
      <c r="D272" s="204">
        <f>D260*16</f>
        <v>305938.8864</v>
      </c>
      <c r="E272" s="66">
        <f>'主要材料费'!D51</f>
        <v>2.5419</v>
      </c>
      <c r="F272" s="153">
        <f t="shared" si="28"/>
        <v>77.76660553401601</v>
      </c>
      <c r="G272" s="192"/>
    </row>
    <row r="273" spans="1:7" s="177" customFormat="1" ht="15.75">
      <c r="A273" s="32"/>
      <c r="B273" s="32" t="s">
        <v>234</v>
      </c>
      <c r="C273" s="33" t="s">
        <v>184</v>
      </c>
      <c r="D273" s="204">
        <f>D261*16</f>
        <v>280084.896</v>
      </c>
      <c r="E273" s="66">
        <f>'主要材料费'!D52</f>
        <v>2.0313</v>
      </c>
      <c r="F273" s="153">
        <f t="shared" si="28"/>
        <v>56.89364492448</v>
      </c>
      <c r="G273" s="192"/>
    </row>
    <row r="274" spans="1:7" s="177" customFormat="1" ht="15.75">
      <c r="A274" s="32"/>
      <c r="B274" s="32" t="s">
        <v>238</v>
      </c>
      <c r="C274" s="33" t="s">
        <v>184</v>
      </c>
      <c r="D274" s="204">
        <f>D262*16</f>
        <v>229813.24800000002</v>
      </c>
      <c r="E274" s="66">
        <f>'主要材料费'!D53</f>
        <v>0.8102999999999999</v>
      </c>
      <c r="F274" s="153">
        <f t="shared" si="28"/>
        <v>18.62176748544</v>
      </c>
      <c r="G274" s="192"/>
    </row>
    <row r="275" spans="1:7" s="177" customFormat="1" ht="15.75">
      <c r="A275" s="32" t="s">
        <v>50</v>
      </c>
      <c r="B275" s="32" t="s">
        <v>239</v>
      </c>
      <c r="C275" s="33" t="s">
        <v>184</v>
      </c>
      <c r="D275" s="204">
        <f>SUM(D276:D279)</f>
        <v>334254.228</v>
      </c>
      <c r="E275" s="204"/>
      <c r="F275" s="33">
        <f>SUM(F276:F279)</f>
        <v>54.00609084234</v>
      </c>
      <c r="G275" s="192"/>
    </row>
    <row r="276" spans="1:7" s="177" customFormat="1" ht="15.75">
      <c r="A276" s="32"/>
      <c r="B276" s="32" t="s">
        <v>238</v>
      </c>
      <c r="C276" s="33" t="s">
        <v>184</v>
      </c>
      <c r="D276" s="204">
        <f>D264*16</f>
        <v>94284.288</v>
      </c>
      <c r="E276" s="66">
        <f>'主要材料费'!D53</f>
        <v>0.8102999999999999</v>
      </c>
      <c r="F276" s="153">
        <f t="shared" si="28"/>
        <v>7.63985585664</v>
      </c>
      <c r="G276" s="192"/>
    </row>
    <row r="277" spans="1:7" s="177" customFormat="1" ht="15.75">
      <c r="A277" s="32"/>
      <c r="B277" s="32" t="s">
        <v>240</v>
      </c>
      <c r="C277" s="33" t="s">
        <v>184</v>
      </c>
      <c r="D277" s="204">
        <f>D265*16</f>
        <v>93010.176</v>
      </c>
      <c r="E277" s="66">
        <f>'主要材料费'!D54</f>
        <v>0.8102999999999999</v>
      </c>
      <c r="F277" s="153">
        <f t="shared" si="28"/>
        <v>7.5366145612799995</v>
      </c>
      <c r="G277" s="192"/>
    </row>
    <row r="278" spans="1:7" s="177" customFormat="1" ht="15.75">
      <c r="A278" s="32"/>
      <c r="B278" s="32" t="s">
        <v>241</v>
      </c>
      <c r="C278" s="33" t="s">
        <v>184</v>
      </c>
      <c r="D278" s="204">
        <f>D266*9</f>
        <v>110267.514</v>
      </c>
      <c r="E278" s="66">
        <f>'主要材料费'!D55</f>
        <v>0.8102999999999999</v>
      </c>
      <c r="F278" s="153">
        <f t="shared" si="28"/>
        <v>8.934976659419998</v>
      </c>
      <c r="G278" s="192"/>
    </row>
    <row r="279" spans="1:7" s="177" customFormat="1" ht="15.75">
      <c r="A279" s="32"/>
      <c r="B279" s="32" t="s">
        <v>242</v>
      </c>
      <c r="C279" s="33" t="s">
        <v>184</v>
      </c>
      <c r="D279" s="204">
        <f>D267*1</f>
        <v>36692.25</v>
      </c>
      <c r="E279" s="66">
        <f>'主要材料费'!D56</f>
        <v>8.147400000000001</v>
      </c>
      <c r="F279" s="153">
        <f t="shared" si="28"/>
        <v>29.894643765000005</v>
      </c>
      <c r="G279" s="192"/>
    </row>
    <row r="280" spans="1:7" s="177" customFormat="1" ht="15.75">
      <c r="A280" s="63" t="s">
        <v>17</v>
      </c>
      <c r="B280" s="63" t="s">
        <v>243</v>
      </c>
      <c r="C280" s="32" t="s">
        <v>101</v>
      </c>
      <c r="D280" s="114">
        <v>9.18</v>
      </c>
      <c r="E280" s="190"/>
      <c r="F280" s="191">
        <f>F281+F294</f>
        <v>119.6865234470567</v>
      </c>
      <c r="G280" s="192"/>
    </row>
    <row r="281" spans="1:7" s="177" customFormat="1" ht="15.75">
      <c r="A281" s="32">
        <v>1</v>
      </c>
      <c r="B281" s="32" t="s">
        <v>210</v>
      </c>
      <c r="C281" s="32"/>
      <c r="D281" s="32"/>
      <c r="E281" s="66"/>
      <c r="F281" s="153">
        <f>F282+F288</f>
        <v>26.72205631148682</v>
      </c>
      <c r="G281" s="192"/>
    </row>
    <row r="282" spans="1:7" s="177" customFormat="1" ht="15.75">
      <c r="A282" s="32" t="s">
        <v>47</v>
      </c>
      <c r="B282" s="32" t="s">
        <v>199</v>
      </c>
      <c r="C282" s="32" t="s">
        <v>184</v>
      </c>
      <c r="D282" s="204">
        <f>SUM(D283:D287)</f>
        <v>28927.3323465</v>
      </c>
      <c r="E282" s="66"/>
      <c r="F282" s="33">
        <f>SUM(F283:F287)</f>
        <v>8.886608372223836</v>
      </c>
      <c r="G282" s="192"/>
    </row>
    <row r="283" spans="1:7" s="177" customFormat="1" ht="15.75">
      <c r="A283" s="32"/>
      <c r="B283" s="32" t="s">
        <v>225</v>
      </c>
      <c r="C283" s="32" t="s">
        <v>184</v>
      </c>
      <c r="D283" s="204">
        <v>6219.3764544975</v>
      </c>
      <c r="E283" s="66">
        <f>E210</f>
        <v>2.980988393548872</v>
      </c>
      <c r="F283" s="153">
        <f aca="true" t="shared" si="30" ref="F283:F287">E283*D283/10000</f>
        <v>1.8539889025968184</v>
      </c>
      <c r="G283" s="192"/>
    </row>
    <row r="284" spans="1:7" s="177" customFormat="1" ht="15.75">
      <c r="A284" s="32"/>
      <c r="B284" s="32" t="s">
        <v>226</v>
      </c>
      <c r="C284" s="32" t="s">
        <v>184</v>
      </c>
      <c r="D284" s="204">
        <v>4541.5911784005</v>
      </c>
      <c r="E284" s="66">
        <f>E211</f>
        <v>3.3442981468261674</v>
      </c>
      <c r="F284" s="153">
        <f t="shared" si="30"/>
        <v>1.5188434961566863</v>
      </c>
      <c r="G284" s="192"/>
    </row>
    <row r="285" spans="1:7" s="177" customFormat="1" ht="15.75">
      <c r="A285" s="32"/>
      <c r="B285" s="32" t="s">
        <v>227</v>
      </c>
      <c r="C285" s="32" t="s">
        <v>184</v>
      </c>
      <c r="D285" s="204">
        <v>6306.1584515370005</v>
      </c>
      <c r="E285" s="66">
        <f>E212</f>
        <v>3.3442981468261674</v>
      </c>
      <c r="F285" s="153">
        <f t="shared" si="30"/>
        <v>2.108967402306736</v>
      </c>
      <c r="G285" s="192"/>
    </row>
    <row r="286" spans="1:7" s="177" customFormat="1" ht="15.75">
      <c r="A286" s="32"/>
      <c r="B286" s="32" t="s">
        <v>228</v>
      </c>
      <c r="C286" s="32" t="s">
        <v>184</v>
      </c>
      <c r="D286" s="204">
        <v>6103.667125111499</v>
      </c>
      <c r="E286" s="66">
        <f>E213</f>
        <v>2.6691758171379836</v>
      </c>
      <c r="F286" s="153">
        <f t="shared" si="30"/>
        <v>1.6291760686207735</v>
      </c>
      <c r="G286" s="192"/>
    </row>
    <row r="287" spans="1:7" s="177" customFormat="1" ht="15.75">
      <c r="A287" s="32"/>
      <c r="B287" s="32" t="s">
        <v>229</v>
      </c>
      <c r="C287" s="32" t="s">
        <v>184</v>
      </c>
      <c r="D287" s="204">
        <v>5756.539136953501</v>
      </c>
      <c r="E287" s="66">
        <f>E214</f>
        <v>3.084548650324176</v>
      </c>
      <c r="F287" s="153">
        <f t="shared" si="30"/>
        <v>1.7756325025428217</v>
      </c>
      <c r="G287" s="192"/>
    </row>
    <row r="288" spans="1:7" s="177" customFormat="1" ht="15.75">
      <c r="A288" s="32" t="s">
        <v>50</v>
      </c>
      <c r="B288" s="32" t="s">
        <v>230</v>
      </c>
      <c r="C288" s="208" t="s">
        <v>54</v>
      </c>
      <c r="D288" s="204">
        <f>SUM(D289:D293)</f>
        <v>28927.332346500003</v>
      </c>
      <c r="E288" s="66"/>
      <c r="F288" s="33">
        <f>SUM(F289:F293)</f>
        <v>17.835447939262984</v>
      </c>
      <c r="G288" s="192"/>
    </row>
    <row r="289" spans="1:7" s="177" customFormat="1" ht="15.75">
      <c r="A289" s="32"/>
      <c r="B289" s="32" t="s">
        <v>231</v>
      </c>
      <c r="C289" s="208" t="s">
        <v>54</v>
      </c>
      <c r="D289" s="204">
        <v>6277.2311191905</v>
      </c>
      <c r="E289" s="66">
        <f>E216</f>
        <v>6.16560411642</v>
      </c>
      <c r="F289" s="153">
        <f aca="true" t="shared" si="31" ref="F289:F293">E289*D289/10000</f>
        <v>3.870292202820067</v>
      </c>
      <c r="G289" s="192"/>
    </row>
    <row r="290" spans="1:7" s="177" customFormat="1" ht="15.75">
      <c r="A290" s="32"/>
      <c r="B290" s="32" t="s">
        <v>233</v>
      </c>
      <c r="C290" s="208" t="s">
        <v>54</v>
      </c>
      <c r="D290" s="204">
        <v>6219.3764544975</v>
      </c>
      <c r="E290" s="66">
        <f>E217</f>
        <v>6.16560411642</v>
      </c>
      <c r="F290" s="153">
        <f t="shared" si="31"/>
        <v>3.834621306941541</v>
      </c>
      <c r="G290" s="192"/>
    </row>
    <row r="291" spans="1:7" s="177" customFormat="1" ht="15.75">
      <c r="A291" s="32"/>
      <c r="B291" s="32" t="s">
        <v>237</v>
      </c>
      <c r="C291" s="208" t="s">
        <v>54</v>
      </c>
      <c r="D291" s="204">
        <v>6161.5217898045</v>
      </c>
      <c r="E291" s="66">
        <f>E218</f>
        <v>6.16560411642</v>
      </c>
      <c r="F291" s="153">
        <f t="shared" si="31"/>
        <v>3.7989504110630152</v>
      </c>
      <c r="G291" s="192"/>
    </row>
    <row r="292" spans="1:7" s="177" customFormat="1" ht="15.75">
      <c r="A292" s="32"/>
      <c r="B292" s="32" t="s">
        <v>234</v>
      </c>
      <c r="C292" s="208" t="s">
        <v>54</v>
      </c>
      <c r="D292" s="204">
        <v>5640.8298075675</v>
      </c>
      <c r="E292" s="66">
        <f>E219</f>
        <v>6.16560411642</v>
      </c>
      <c r="F292" s="153">
        <f t="shared" si="31"/>
        <v>3.477912348156281</v>
      </c>
      <c r="G292" s="192"/>
    </row>
    <row r="293" spans="1:7" s="177" customFormat="1" ht="15.75">
      <c r="A293" s="32"/>
      <c r="B293" s="32" t="s">
        <v>238</v>
      </c>
      <c r="C293" s="208" t="s">
        <v>54</v>
      </c>
      <c r="D293" s="204">
        <v>4628.3731754400005</v>
      </c>
      <c r="E293" s="66">
        <f>E220</f>
        <v>6.16560411642</v>
      </c>
      <c r="F293" s="153">
        <f t="shared" si="31"/>
        <v>2.8536716702820772</v>
      </c>
      <c r="G293" s="192"/>
    </row>
    <row r="294" spans="1:7" s="177" customFormat="1" ht="15.75">
      <c r="A294" s="32">
        <v>2</v>
      </c>
      <c r="B294" s="32" t="s">
        <v>205</v>
      </c>
      <c r="C294" s="32"/>
      <c r="D294" s="32"/>
      <c r="E294" s="66"/>
      <c r="F294" s="153">
        <f>F295+F301</f>
        <v>92.96446713556988</v>
      </c>
      <c r="G294" s="192"/>
    </row>
    <row r="295" spans="1:7" s="177" customFormat="1" ht="15.75">
      <c r="A295" s="32" t="s">
        <v>47</v>
      </c>
      <c r="B295" s="32" t="s">
        <v>199</v>
      </c>
      <c r="C295" s="32" t="s">
        <v>184</v>
      </c>
      <c r="D295" s="204">
        <f>SUM(D296:D300)</f>
        <v>28927.3323465</v>
      </c>
      <c r="E295" s="66"/>
      <c r="F295" s="33">
        <f>SUM(F296:F300)</f>
        <v>87.65547693174193</v>
      </c>
      <c r="G295" s="192"/>
    </row>
    <row r="296" spans="1:7" s="177" customFormat="1" ht="15.75">
      <c r="A296" s="32"/>
      <c r="B296" s="32" t="s">
        <v>225</v>
      </c>
      <c r="C296" s="32" t="s">
        <v>184</v>
      </c>
      <c r="D296" s="204">
        <f>D283</f>
        <v>6219.3764544975</v>
      </c>
      <c r="E296" s="66">
        <f>E239</f>
        <v>28.515900000000002</v>
      </c>
      <c r="F296" s="153">
        <f aca="true" t="shared" si="32" ref="F296:F300">E296*D296/10000</f>
        <v>17.735111703880527</v>
      </c>
      <c r="G296" s="192"/>
    </row>
    <row r="297" spans="1:7" s="177" customFormat="1" ht="15.75">
      <c r="A297" s="32"/>
      <c r="B297" s="32" t="s">
        <v>226</v>
      </c>
      <c r="C297" s="32" t="s">
        <v>184</v>
      </c>
      <c r="D297" s="204">
        <f>D284</f>
        <v>4541.5911784005</v>
      </c>
      <c r="E297" s="66">
        <f>E240</f>
        <v>35.6421</v>
      </c>
      <c r="F297" s="153">
        <f t="shared" si="32"/>
        <v>16.187184693966845</v>
      </c>
      <c r="G297" s="192"/>
    </row>
    <row r="298" spans="1:7" s="177" customFormat="1" ht="15.75">
      <c r="A298" s="32"/>
      <c r="B298" s="32" t="s">
        <v>227</v>
      </c>
      <c r="C298" s="32" t="s">
        <v>184</v>
      </c>
      <c r="D298" s="204">
        <f>D285</f>
        <v>6306.1584515370005</v>
      </c>
      <c r="E298" s="66">
        <f>E241</f>
        <v>35.6421</v>
      </c>
      <c r="F298" s="153">
        <f t="shared" si="32"/>
        <v>22.476473014552692</v>
      </c>
      <c r="G298" s="192"/>
    </row>
    <row r="299" spans="1:7" s="177" customFormat="1" ht="15.75">
      <c r="A299" s="32"/>
      <c r="B299" s="32" t="s">
        <v>228</v>
      </c>
      <c r="C299" s="32" t="s">
        <v>184</v>
      </c>
      <c r="D299" s="204">
        <f>D286</f>
        <v>6103.667125111499</v>
      </c>
      <c r="E299" s="66">
        <f>E242</f>
        <v>22.3998</v>
      </c>
      <c r="F299" s="153">
        <f t="shared" si="32"/>
        <v>13.672092286907256</v>
      </c>
      <c r="G299" s="192"/>
    </row>
    <row r="300" spans="1:7" s="177" customFormat="1" ht="15.75">
      <c r="A300" s="32"/>
      <c r="B300" s="32" t="s">
        <v>229</v>
      </c>
      <c r="C300" s="32" t="s">
        <v>184</v>
      </c>
      <c r="D300" s="204">
        <f>D287</f>
        <v>5756.539136953501</v>
      </c>
      <c r="E300" s="66">
        <f>E243</f>
        <v>30.5472</v>
      </c>
      <c r="F300" s="153">
        <f t="shared" si="32"/>
        <v>17.584615232434597</v>
      </c>
      <c r="G300" s="192"/>
    </row>
    <row r="301" spans="1:7" s="177" customFormat="1" ht="15.75">
      <c r="A301" s="32" t="s">
        <v>50</v>
      </c>
      <c r="B301" s="32" t="s">
        <v>230</v>
      </c>
      <c r="C301" s="33" t="s">
        <v>184</v>
      </c>
      <c r="D301" s="204">
        <f>SUM(D302:D306)</f>
        <v>28927.332346500003</v>
      </c>
      <c r="E301" s="66"/>
      <c r="F301" s="33">
        <f>SUM(F302:F306)</f>
        <v>5.308990203827949</v>
      </c>
      <c r="G301" s="192"/>
    </row>
    <row r="302" spans="1:7" s="177" customFormat="1" ht="15.75">
      <c r="A302" s="32"/>
      <c r="B302" s="32" t="s">
        <v>231</v>
      </c>
      <c r="C302" s="33" t="s">
        <v>184</v>
      </c>
      <c r="D302" s="204">
        <f>D289</f>
        <v>6277.2311191905</v>
      </c>
      <c r="E302" s="66">
        <f>E270</f>
        <v>1.0212</v>
      </c>
      <c r="F302" s="153">
        <f aca="true" t="shared" si="33" ref="F302:F306">E302*D302/10000</f>
        <v>0.641030841891734</v>
      </c>
      <c r="G302" s="192"/>
    </row>
    <row r="303" spans="1:7" s="177" customFormat="1" ht="15.75">
      <c r="A303" s="32"/>
      <c r="B303" s="32" t="s">
        <v>233</v>
      </c>
      <c r="C303" s="33" t="s">
        <v>184</v>
      </c>
      <c r="D303" s="204">
        <f>D290</f>
        <v>6219.3764544975</v>
      </c>
      <c r="E303" s="66">
        <f>E271</f>
        <v>2.5419</v>
      </c>
      <c r="F303" s="153">
        <f t="shared" si="33"/>
        <v>1.5809033009687197</v>
      </c>
      <c r="G303" s="192"/>
    </row>
    <row r="304" spans="1:7" s="177" customFormat="1" ht="15.75">
      <c r="A304" s="32"/>
      <c r="B304" s="32" t="s">
        <v>237</v>
      </c>
      <c r="C304" s="33" t="s">
        <v>184</v>
      </c>
      <c r="D304" s="204">
        <f>D291</f>
        <v>6161.5217898045</v>
      </c>
      <c r="E304" s="66">
        <f>E272</f>
        <v>2.5419</v>
      </c>
      <c r="F304" s="153">
        <f t="shared" si="33"/>
        <v>1.566197223750406</v>
      </c>
      <c r="G304" s="192"/>
    </row>
    <row r="305" spans="1:7" s="177" customFormat="1" ht="15.75">
      <c r="A305" s="32"/>
      <c r="B305" s="32" t="s">
        <v>234</v>
      </c>
      <c r="C305" s="33" t="s">
        <v>184</v>
      </c>
      <c r="D305" s="204">
        <f>D292</f>
        <v>5640.8298075675</v>
      </c>
      <c r="E305" s="66">
        <f>E273</f>
        <v>2.0313</v>
      </c>
      <c r="F305" s="153">
        <f t="shared" si="33"/>
        <v>1.145821758811186</v>
      </c>
      <c r="G305" s="192"/>
    </row>
    <row r="306" spans="1:7" s="177" customFormat="1" ht="15.75">
      <c r="A306" s="32"/>
      <c r="B306" s="32" t="s">
        <v>238</v>
      </c>
      <c r="C306" s="33" t="s">
        <v>184</v>
      </c>
      <c r="D306" s="204">
        <f>D293</f>
        <v>4628.3731754400005</v>
      </c>
      <c r="E306" s="66">
        <f>E274</f>
        <v>0.8102999999999999</v>
      </c>
      <c r="F306" s="153">
        <f t="shared" si="33"/>
        <v>0.37503707840590317</v>
      </c>
      <c r="G306" s="192"/>
    </row>
    <row r="307" spans="1:7" s="177" customFormat="1" ht="15.75">
      <c r="A307" s="63" t="s">
        <v>21</v>
      </c>
      <c r="B307" s="63" t="s">
        <v>174</v>
      </c>
      <c r="C307" s="113"/>
      <c r="D307" s="113"/>
      <c r="E307" s="190"/>
      <c r="F307" s="191">
        <f>F308+F365</f>
        <v>1447.4621924704143</v>
      </c>
      <c r="G307" s="192"/>
    </row>
    <row r="308" spans="1:7" s="177" customFormat="1" ht="15.75">
      <c r="A308" s="63" t="s">
        <v>12</v>
      </c>
      <c r="B308" s="63" t="s">
        <v>24</v>
      </c>
      <c r="C308" s="32" t="s">
        <v>101</v>
      </c>
      <c r="D308" s="114">
        <v>72.1</v>
      </c>
      <c r="E308" s="190"/>
      <c r="F308" s="191">
        <f>F309+F310+F311+F336+F361</f>
        <v>1310.4507784876484</v>
      </c>
      <c r="G308" s="192"/>
    </row>
    <row r="309" spans="1:7" s="177" customFormat="1" ht="15.75">
      <c r="A309" s="32">
        <v>1</v>
      </c>
      <c r="B309" s="52" t="s">
        <v>179</v>
      </c>
      <c r="C309" s="32" t="s">
        <v>180</v>
      </c>
      <c r="D309" s="204">
        <f>D312</f>
        <v>51160.096498</v>
      </c>
      <c r="E309" s="66">
        <f>E191</f>
        <v>2.4665377934967</v>
      </c>
      <c r="F309" s="153">
        <f>D309*E309/10000</f>
        <v>12.618831153125516</v>
      </c>
      <c r="G309" s="192"/>
    </row>
    <row r="310" spans="1:7" s="177" customFormat="1" ht="15.75">
      <c r="A310" s="32">
        <v>2</v>
      </c>
      <c r="B310" s="52" t="s">
        <v>181</v>
      </c>
      <c r="C310" s="32" t="s">
        <v>180</v>
      </c>
      <c r="D310" s="204">
        <f>D323</f>
        <v>211974.00000000006</v>
      </c>
      <c r="E310" s="66">
        <f>E192</f>
        <v>0.7614943220057799</v>
      </c>
      <c r="F310" s="153">
        <f>D310*E310/10000</f>
        <v>16.141699741285322</v>
      </c>
      <c r="G310" s="192"/>
    </row>
    <row r="311" spans="1:7" s="177" customFormat="1" ht="15.75">
      <c r="A311" s="32">
        <v>3</v>
      </c>
      <c r="B311" s="32" t="s">
        <v>210</v>
      </c>
      <c r="C311" s="32"/>
      <c r="D311" s="32"/>
      <c r="E311" s="66"/>
      <c r="F311" s="153">
        <f>F312+F323+F329</f>
        <v>150.96888725478914</v>
      </c>
      <c r="G311" s="192"/>
    </row>
    <row r="312" spans="1:7" s="177" customFormat="1" ht="15.75">
      <c r="A312" s="32" t="s">
        <v>47</v>
      </c>
      <c r="B312" s="32" t="s">
        <v>183</v>
      </c>
      <c r="C312" s="32" t="s">
        <v>184</v>
      </c>
      <c r="D312" s="204">
        <f>SUM(D313:D322)</f>
        <v>51160.096498</v>
      </c>
      <c r="E312" s="66"/>
      <c r="F312" s="33">
        <f>SUM(F313:F322)</f>
        <v>35.44047834423019</v>
      </c>
      <c r="G312" s="192"/>
    </row>
    <row r="313" spans="1:7" s="177" customFormat="1" ht="15.75">
      <c r="A313" s="32"/>
      <c r="B313" s="52" t="s">
        <v>215</v>
      </c>
      <c r="C313" s="32" t="s">
        <v>184</v>
      </c>
      <c r="D313" s="204">
        <v>6510.630000000001</v>
      </c>
      <c r="E313" s="66">
        <f aca="true" t="shared" si="34" ref="E313:E337">E199</f>
        <v>5.185959660444718</v>
      </c>
      <c r="F313" s="153">
        <f aca="true" t="shared" si="35" ref="F313:F322">E313*D313/10000</f>
        <v>3.3763864544081197</v>
      </c>
      <c r="G313" s="192"/>
    </row>
    <row r="314" spans="1:7" s="177" customFormat="1" ht="15.75">
      <c r="A314" s="32"/>
      <c r="B314" s="52" t="s">
        <v>216</v>
      </c>
      <c r="C314" s="32" t="s">
        <v>184</v>
      </c>
      <c r="D314" s="204">
        <v>8246.798</v>
      </c>
      <c r="E314" s="66">
        <f t="shared" si="34"/>
        <v>5.575583905197704</v>
      </c>
      <c r="F314" s="153">
        <f t="shared" si="35"/>
        <v>4.598071419821662</v>
      </c>
      <c r="G314" s="192"/>
    </row>
    <row r="315" spans="1:7" s="177" customFormat="1" ht="15.75">
      <c r="A315" s="32"/>
      <c r="B315" s="52" t="s">
        <v>217</v>
      </c>
      <c r="C315" s="32" t="s">
        <v>184</v>
      </c>
      <c r="D315" s="204">
        <v>4774.462</v>
      </c>
      <c r="E315" s="66">
        <f t="shared" si="34"/>
        <v>14.141799735099184</v>
      </c>
      <c r="F315" s="153">
        <f t="shared" si="35"/>
        <v>6.7519485446841125</v>
      </c>
      <c r="G315" s="192"/>
    </row>
    <row r="316" spans="1:7" s="177" customFormat="1" ht="15.75">
      <c r="A316" s="32"/>
      <c r="B316" s="52" t="s">
        <v>218</v>
      </c>
      <c r="C316" s="32" t="s">
        <v>184</v>
      </c>
      <c r="D316" s="204">
        <v>8680.84</v>
      </c>
      <c r="E316" s="66">
        <f t="shared" si="34"/>
        <v>9.079655544283401</v>
      </c>
      <c r="F316" s="153">
        <f t="shared" si="35"/>
        <v>7.8819037035037125</v>
      </c>
      <c r="G316" s="192"/>
    </row>
    <row r="317" spans="1:7" s="177" customFormat="1" ht="15.75">
      <c r="A317" s="32"/>
      <c r="B317" s="52" t="s">
        <v>219</v>
      </c>
      <c r="C317" s="32" t="s">
        <v>184</v>
      </c>
      <c r="D317" s="204">
        <v>4036.5906</v>
      </c>
      <c r="E317" s="66">
        <f t="shared" si="34"/>
        <v>8.301255909341158</v>
      </c>
      <c r="F317" s="153">
        <f t="shared" si="35"/>
        <v>3.3508771571840974</v>
      </c>
      <c r="G317" s="192"/>
    </row>
    <row r="318" spans="1:7" s="177" customFormat="1" ht="15.75">
      <c r="A318" s="32"/>
      <c r="B318" s="52" t="s">
        <v>220</v>
      </c>
      <c r="C318" s="32" t="s">
        <v>184</v>
      </c>
      <c r="D318" s="204">
        <v>3812.624928</v>
      </c>
      <c r="E318" s="66">
        <f t="shared" si="34"/>
        <v>6.905030290727982</v>
      </c>
      <c r="F318" s="153">
        <f t="shared" si="35"/>
        <v>2.6326290615024592</v>
      </c>
      <c r="G318" s="192"/>
    </row>
    <row r="319" spans="1:7" s="177" customFormat="1" ht="15.75">
      <c r="A319" s="32"/>
      <c r="B319" s="52" t="s">
        <v>221</v>
      </c>
      <c r="C319" s="32" t="s">
        <v>184</v>
      </c>
      <c r="D319" s="204">
        <v>4000.131072</v>
      </c>
      <c r="E319" s="66">
        <f t="shared" si="34"/>
        <v>4.179358286584529</v>
      </c>
      <c r="F319" s="153">
        <f t="shared" si="35"/>
        <v>1.6717980943187456</v>
      </c>
      <c r="G319" s="192"/>
    </row>
    <row r="320" spans="1:7" s="177" customFormat="1" ht="15.75">
      <c r="A320" s="32"/>
      <c r="B320" s="52" t="s">
        <v>222</v>
      </c>
      <c r="C320" s="32" t="s">
        <v>184</v>
      </c>
      <c r="D320" s="204">
        <v>3187.604448</v>
      </c>
      <c r="E320" s="66">
        <f t="shared" si="34"/>
        <v>6.126206228503873</v>
      </c>
      <c r="F320" s="153">
        <f t="shared" si="35"/>
        <v>1.9527922223344252</v>
      </c>
      <c r="G320" s="192"/>
    </row>
    <row r="321" spans="1:7" s="177" customFormat="1" ht="15.75">
      <c r="A321" s="32"/>
      <c r="B321" s="52" t="s">
        <v>223</v>
      </c>
      <c r="C321" s="32" t="s">
        <v>184</v>
      </c>
      <c r="D321" s="204">
        <v>3906.378</v>
      </c>
      <c r="E321" s="66">
        <f t="shared" si="34"/>
        <v>4.568558104055652</v>
      </c>
      <c r="F321" s="153">
        <f t="shared" si="35"/>
        <v>1.7846514869404713</v>
      </c>
      <c r="G321" s="192"/>
    </row>
    <row r="322" spans="1:7" s="177" customFormat="1" ht="15.75">
      <c r="A322" s="32"/>
      <c r="B322" s="52" t="s">
        <v>224</v>
      </c>
      <c r="C322" s="32" t="s">
        <v>184</v>
      </c>
      <c r="D322" s="204">
        <v>4004.0374500000003</v>
      </c>
      <c r="E322" s="66">
        <f t="shared" si="34"/>
        <v>3.5949219194550484</v>
      </c>
      <c r="F322" s="153">
        <f t="shared" si="35"/>
        <v>1.4394201995323899</v>
      </c>
      <c r="G322" s="192"/>
    </row>
    <row r="323" spans="1:7" s="177" customFormat="1" ht="15.75">
      <c r="A323" s="32" t="s">
        <v>50</v>
      </c>
      <c r="B323" s="32" t="s">
        <v>199</v>
      </c>
      <c r="C323" s="32" t="s">
        <v>184</v>
      </c>
      <c r="D323" s="204">
        <f>SUM(D324:D328)</f>
        <v>211974.00000000006</v>
      </c>
      <c r="E323" s="66"/>
      <c r="F323" s="33">
        <f>SUM(F324:F328)</f>
        <v>65.11937915774296</v>
      </c>
      <c r="G323" s="192"/>
    </row>
    <row r="324" spans="1:7" s="177" customFormat="1" ht="15.75">
      <c r="A324" s="32"/>
      <c r="B324" s="32" t="s">
        <v>225</v>
      </c>
      <c r="C324" s="32" t="s">
        <v>184</v>
      </c>
      <c r="D324" s="204">
        <v>45574.41</v>
      </c>
      <c r="E324" s="66">
        <f t="shared" si="34"/>
        <v>2.980988393548872</v>
      </c>
      <c r="F324" s="153">
        <f aca="true" t="shared" si="36" ref="F324:F328">E324*D324/10000</f>
        <v>13.585678725283767</v>
      </c>
      <c r="G324" s="192"/>
    </row>
    <row r="325" spans="1:7" s="177" customFormat="1" ht="15.75">
      <c r="A325" s="32"/>
      <c r="B325" s="32" t="s">
        <v>226</v>
      </c>
      <c r="C325" s="32" t="s">
        <v>184</v>
      </c>
      <c r="D325" s="204">
        <v>33279.918000000005</v>
      </c>
      <c r="E325" s="66">
        <f t="shared" si="34"/>
        <v>3.3442981468261674</v>
      </c>
      <c r="F325" s="153">
        <f t="shared" si="36"/>
        <v>11.129796809392683</v>
      </c>
      <c r="G325" s="192"/>
    </row>
    <row r="326" spans="1:7" s="177" customFormat="1" ht="15.75">
      <c r="A326" s="32"/>
      <c r="B326" s="32" t="s">
        <v>227</v>
      </c>
      <c r="C326" s="32" t="s">
        <v>184</v>
      </c>
      <c r="D326" s="204">
        <v>46210.33200000001</v>
      </c>
      <c r="E326" s="66">
        <f t="shared" si="34"/>
        <v>3.3442981468261674</v>
      </c>
      <c r="F326" s="153">
        <f t="shared" si="36"/>
        <v>15.454112767182197</v>
      </c>
      <c r="G326" s="192"/>
    </row>
    <row r="327" spans="1:7" s="177" customFormat="1" ht="15.75">
      <c r="A327" s="32"/>
      <c r="B327" s="32" t="s">
        <v>228</v>
      </c>
      <c r="C327" s="32" t="s">
        <v>184</v>
      </c>
      <c r="D327" s="204">
        <v>44726.51400000001</v>
      </c>
      <c r="E327" s="66">
        <f t="shared" si="34"/>
        <v>2.6691758171379836</v>
      </c>
      <c r="F327" s="153">
        <f t="shared" si="36"/>
        <v>11.938292955368349</v>
      </c>
      <c r="G327" s="192"/>
    </row>
    <row r="328" spans="1:7" s="177" customFormat="1" ht="15.75">
      <c r="A328" s="32"/>
      <c r="B328" s="32" t="s">
        <v>229</v>
      </c>
      <c r="C328" s="32" t="s">
        <v>184</v>
      </c>
      <c r="D328" s="204">
        <v>42182.826000000015</v>
      </c>
      <c r="E328" s="66">
        <f t="shared" si="34"/>
        <v>3.084548650324176</v>
      </c>
      <c r="F328" s="153">
        <f t="shared" si="36"/>
        <v>13.01149790051596</v>
      </c>
      <c r="G328" s="192"/>
    </row>
    <row r="329" spans="1:7" s="177" customFormat="1" ht="15.75">
      <c r="A329" s="32" t="s">
        <v>52</v>
      </c>
      <c r="B329" s="32" t="s">
        <v>230</v>
      </c>
      <c r="C329" s="208" t="s">
        <v>54</v>
      </c>
      <c r="D329" s="33">
        <f>SUM(D330:D335)</f>
        <v>81758.45999999999</v>
      </c>
      <c r="E329" s="66"/>
      <c r="F329" s="33">
        <f>SUM(F330:F335)</f>
        <v>50.40902975281599</v>
      </c>
      <c r="G329" s="192"/>
    </row>
    <row r="330" spans="1:7" s="177" customFormat="1" ht="15.75">
      <c r="A330" s="32"/>
      <c r="B330" s="32" t="s">
        <v>231</v>
      </c>
      <c r="C330" s="208" t="s">
        <v>54</v>
      </c>
      <c r="D330" s="33">
        <v>13081.353600000002</v>
      </c>
      <c r="E330" s="66">
        <f t="shared" si="34"/>
        <v>6.16560411642</v>
      </c>
      <c r="F330" s="153">
        <f aca="true" t="shared" si="37" ref="F330:F335">E330*D330/10000</f>
        <v>8.065444760450559</v>
      </c>
      <c r="G330" s="192"/>
    </row>
    <row r="331" spans="1:7" s="177" customFormat="1" ht="15.75">
      <c r="A331" s="32"/>
      <c r="B331" s="32" t="s">
        <v>232</v>
      </c>
      <c r="C331" s="208" t="s">
        <v>54</v>
      </c>
      <c r="D331" s="33">
        <v>14961.79818</v>
      </c>
      <c r="E331" s="66">
        <f t="shared" si="34"/>
        <v>6.16560411642</v>
      </c>
      <c r="F331" s="153">
        <f t="shared" si="37"/>
        <v>9.224852444765327</v>
      </c>
      <c r="G331" s="192"/>
    </row>
    <row r="332" spans="1:7" s="177" customFormat="1" ht="15.75">
      <c r="A332" s="32"/>
      <c r="B332" s="32" t="s">
        <v>233</v>
      </c>
      <c r="C332" s="208" t="s">
        <v>54</v>
      </c>
      <c r="D332" s="33">
        <v>15534.107399999999</v>
      </c>
      <c r="E332" s="66">
        <f t="shared" si="34"/>
        <v>6.16560411642</v>
      </c>
      <c r="F332" s="153">
        <f t="shared" si="37"/>
        <v>9.577715653035037</v>
      </c>
      <c r="G332" s="192"/>
    </row>
    <row r="333" spans="1:7" s="177" customFormat="1" ht="15.75">
      <c r="A333" s="32"/>
      <c r="B333" s="32" t="s">
        <v>234</v>
      </c>
      <c r="C333" s="208" t="s">
        <v>54</v>
      </c>
      <c r="D333" s="33">
        <v>16106.416620000002</v>
      </c>
      <c r="E333" s="66">
        <f t="shared" si="34"/>
        <v>6.16560411642</v>
      </c>
      <c r="F333" s="153">
        <f t="shared" si="37"/>
        <v>9.93057886130475</v>
      </c>
      <c r="G333" s="192"/>
    </row>
    <row r="334" spans="1:7" s="177" customFormat="1" ht="15.75">
      <c r="A334" s="32"/>
      <c r="B334" s="32" t="s">
        <v>235</v>
      </c>
      <c r="C334" s="208" t="s">
        <v>54</v>
      </c>
      <c r="D334" s="33">
        <v>11854.976699999997</v>
      </c>
      <c r="E334" s="66">
        <f t="shared" si="34"/>
        <v>6.16560411642</v>
      </c>
      <c r="F334" s="153">
        <f t="shared" si="37"/>
        <v>7.309309314158317</v>
      </c>
      <c r="G334" s="192"/>
    </row>
    <row r="335" spans="1:7" s="177" customFormat="1" ht="15.75">
      <c r="A335" s="32"/>
      <c r="B335" s="32" t="s">
        <v>236</v>
      </c>
      <c r="C335" s="208" t="s">
        <v>54</v>
      </c>
      <c r="D335" s="33">
        <v>10219.8075</v>
      </c>
      <c r="E335" s="66">
        <f t="shared" si="34"/>
        <v>6.16560411642</v>
      </c>
      <c r="F335" s="153">
        <f t="shared" si="37"/>
        <v>6.301128719101999</v>
      </c>
      <c r="G335" s="192"/>
    </row>
    <row r="336" spans="1:7" s="177" customFormat="1" ht="15.75">
      <c r="A336" s="32">
        <v>4</v>
      </c>
      <c r="B336" s="32" t="s">
        <v>205</v>
      </c>
      <c r="C336" s="32"/>
      <c r="D336" s="32"/>
      <c r="E336" s="66"/>
      <c r="F336" s="153">
        <f>SUM(F337:F346)</f>
        <v>1106.7255309730672</v>
      </c>
      <c r="G336" s="192"/>
    </row>
    <row r="337" spans="1:7" s="177" customFormat="1" ht="15.75">
      <c r="A337" s="32" t="s">
        <v>47</v>
      </c>
      <c r="B337" s="32" t="s">
        <v>183</v>
      </c>
      <c r="C337" s="32" t="s">
        <v>184</v>
      </c>
      <c r="D337" s="204">
        <f>SUM(D338:D347)</f>
        <v>51160.096498</v>
      </c>
      <c r="E337" s="66"/>
      <c r="F337" s="33">
        <f>SUM(F338:F347)</f>
        <v>562.5361754459817</v>
      </c>
      <c r="G337" s="192"/>
    </row>
    <row r="338" spans="1:7" s="177" customFormat="1" ht="15.75">
      <c r="A338" s="32"/>
      <c r="B338" s="52" t="s">
        <v>215</v>
      </c>
      <c r="C338" s="32" t="s">
        <v>184</v>
      </c>
      <c r="D338" s="204">
        <f aca="true" t="shared" si="38" ref="D338:D347">D313</f>
        <v>6510.630000000001</v>
      </c>
      <c r="E338" s="66">
        <f aca="true" t="shared" si="39" ref="E338:E365">E228</f>
        <v>50.9157</v>
      </c>
      <c r="F338" s="153">
        <f aca="true" t="shared" si="40" ref="F338:F347">E338*D338/10000</f>
        <v>33.149328389100006</v>
      </c>
      <c r="G338" s="192"/>
    </row>
    <row r="339" spans="1:7" s="177" customFormat="1" ht="15.75">
      <c r="A339" s="32"/>
      <c r="B339" s="52" t="s">
        <v>216</v>
      </c>
      <c r="C339" s="32" t="s">
        <v>184</v>
      </c>
      <c r="D339" s="204">
        <f t="shared" si="38"/>
        <v>8246.798</v>
      </c>
      <c r="E339" s="66">
        <f t="shared" si="39"/>
        <v>61.1055</v>
      </c>
      <c r="F339" s="153">
        <f t="shared" si="40"/>
        <v>50.3924715189</v>
      </c>
      <c r="G339" s="192"/>
    </row>
    <row r="340" spans="1:7" s="177" customFormat="1" ht="15.75">
      <c r="A340" s="32"/>
      <c r="B340" s="52" t="s">
        <v>217</v>
      </c>
      <c r="C340" s="32" t="s">
        <v>184</v>
      </c>
      <c r="D340" s="204">
        <f t="shared" si="38"/>
        <v>4774.462</v>
      </c>
      <c r="E340" s="66">
        <f t="shared" si="39"/>
        <v>285.1368</v>
      </c>
      <c r="F340" s="153">
        <f t="shared" si="40"/>
        <v>136.13748164016002</v>
      </c>
      <c r="G340" s="192"/>
    </row>
    <row r="341" spans="1:7" s="177" customFormat="1" ht="15.75">
      <c r="A341" s="32"/>
      <c r="B341" s="52" t="s">
        <v>218</v>
      </c>
      <c r="C341" s="32" t="s">
        <v>184</v>
      </c>
      <c r="D341" s="204">
        <f t="shared" si="38"/>
        <v>8680.84</v>
      </c>
      <c r="E341" s="66">
        <f t="shared" si="39"/>
        <v>152.74710000000002</v>
      </c>
      <c r="F341" s="153">
        <f t="shared" si="40"/>
        <v>132.59731355640002</v>
      </c>
      <c r="G341" s="192"/>
    </row>
    <row r="342" spans="1:7" s="177" customFormat="1" ht="15.75">
      <c r="A342" s="32"/>
      <c r="B342" s="52" t="s">
        <v>219</v>
      </c>
      <c r="C342" s="32" t="s">
        <v>184</v>
      </c>
      <c r="D342" s="204">
        <f t="shared" si="38"/>
        <v>4036.5906</v>
      </c>
      <c r="E342" s="66">
        <f t="shared" si="39"/>
        <v>132.3897</v>
      </c>
      <c r="F342" s="153">
        <f t="shared" si="40"/>
        <v>53.440301855682</v>
      </c>
      <c r="G342" s="192"/>
    </row>
    <row r="343" spans="1:7" s="177" customFormat="1" ht="15.75">
      <c r="A343" s="32"/>
      <c r="B343" s="52" t="s">
        <v>220</v>
      </c>
      <c r="C343" s="32" t="s">
        <v>184</v>
      </c>
      <c r="D343" s="204">
        <f t="shared" si="38"/>
        <v>3812.624928</v>
      </c>
      <c r="E343" s="66">
        <f t="shared" si="39"/>
        <v>132.3897</v>
      </c>
      <c r="F343" s="153">
        <f t="shared" si="40"/>
        <v>50.475227043044164</v>
      </c>
      <c r="G343" s="192"/>
    </row>
    <row r="344" spans="1:7" s="177" customFormat="1" ht="15.75">
      <c r="A344" s="32"/>
      <c r="B344" s="52" t="s">
        <v>221</v>
      </c>
      <c r="C344" s="32" t="s">
        <v>184</v>
      </c>
      <c r="D344" s="204">
        <f t="shared" si="38"/>
        <v>4000.131072</v>
      </c>
      <c r="E344" s="66">
        <f t="shared" si="39"/>
        <v>61.1055</v>
      </c>
      <c r="F344" s="153">
        <f t="shared" si="40"/>
        <v>24.4430009220096</v>
      </c>
      <c r="G344" s="192"/>
    </row>
    <row r="345" spans="1:7" s="177" customFormat="1" ht="15.75">
      <c r="A345" s="32"/>
      <c r="B345" s="52" t="s">
        <v>222</v>
      </c>
      <c r="C345" s="32" t="s">
        <v>184</v>
      </c>
      <c r="D345" s="204">
        <f t="shared" si="38"/>
        <v>3187.604448</v>
      </c>
      <c r="E345" s="66">
        <f t="shared" si="39"/>
        <v>112.02120000000001</v>
      </c>
      <c r="F345" s="153">
        <f t="shared" si="40"/>
        <v>35.70792753902976</v>
      </c>
      <c r="G345" s="192"/>
    </row>
    <row r="346" spans="1:7" s="177" customFormat="1" ht="15.75">
      <c r="A346" s="32"/>
      <c r="B346" s="52" t="s">
        <v>223</v>
      </c>
      <c r="C346" s="32" t="s">
        <v>184</v>
      </c>
      <c r="D346" s="204">
        <f t="shared" si="38"/>
        <v>3906.378</v>
      </c>
      <c r="E346" s="66">
        <f t="shared" si="39"/>
        <v>71.2842</v>
      </c>
      <c r="F346" s="153">
        <f t="shared" si="40"/>
        <v>27.846303062760004</v>
      </c>
      <c r="G346" s="192"/>
    </row>
    <row r="347" spans="1:7" s="177" customFormat="1" ht="15.75">
      <c r="A347" s="32"/>
      <c r="B347" s="52" t="s">
        <v>224</v>
      </c>
      <c r="C347" s="32" t="s">
        <v>184</v>
      </c>
      <c r="D347" s="204">
        <f t="shared" si="38"/>
        <v>4004.0374500000003</v>
      </c>
      <c r="E347" s="66">
        <f t="shared" si="39"/>
        <v>45.8208</v>
      </c>
      <c r="F347" s="153">
        <f t="shared" si="40"/>
        <v>18.346819918896003</v>
      </c>
      <c r="G347" s="192"/>
    </row>
    <row r="348" spans="1:7" s="177" customFormat="1" ht="15.75">
      <c r="A348" s="32" t="s">
        <v>50</v>
      </c>
      <c r="B348" s="32" t="s">
        <v>199</v>
      </c>
      <c r="C348" s="32" t="s">
        <v>184</v>
      </c>
      <c r="D348" s="204">
        <f>SUM(D349:D353)</f>
        <v>211974.00000000006</v>
      </c>
      <c r="E348" s="66"/>
      <c r="F348" s="33">
        <f>SUM(F349:F353)</f>
        <v>642.3226948328402</v>
      </c>
      <c r="G348" s="192"/>
    </row>
    <row r="349" spans="1:7" s="177" customFormat="1" ht="15.75">
      <c r="A349" s="32"/>
      <c r="B349" s="32" t="s">
        <v>225</v>
      </c>
      <c r="C349" s="32" t="s">
        <v>184</v>
      </c>
      <c r="D349" s="204">
        <f aca="true" t="shared" si="41" ref="D349:D353">D324</f>
        <v>45574.41</v>
      </c>
      <c r="E349" s="66">
        <f t="shared" si="39"/>
        <v>28.515900000000002</v>
      </c>
      <c r="F349" s="153">
        <f aca="true" t="shared" si="42" ref="F349:F353">E349*D349/10000</f>
        <v>129.9595318119</v>
      </c>
      <c r="G349" s="192"/>
    </row>
    <row r="350" spans="1:7" s="177" customFormat="1" ht="15.75">
      <c r="A350" s="32"/>
      <c r="B350" s="32" t="s">
        <v>226</v>
      </c>
      <c r="C350" s="32" t="s">
        <v>184</v>
      </c>
      <c r="D350" s="204">
        <f t="shared" si="41"/>
        <v>33279.918000000005</v>
      </c>
      <c r="E350" s="66">
        <f t="shared" si="39"/>
        <v>35.6421</v>
      </c>
      <c r="F350" s="153">
        <f t="shared" si="42"/>
        <v>118.61661653478001</v>
      </c>
      <c r="G350" s="192"/>
    </row>
    <row r="351" spans="1:7" s="177" customFormat="1" ht="15.75">
      <c r="A351" s="32"/>
      <c r="B351" s="32" t="s">
        <v>227</v>
      </c>
      <c r="C351" s="32" t="s">
        <v>184</v>
      </c>
      <c r="D351" s="204">
        <f t="shared" si="41"/>
        <v>46210.33200000001</v>
      </c>
      <c r="E351" s="66">
        <f t="shared" si="39"/>
        <v>35.6421</v>
      </c>
      <c r="F351" s="153">
        <f t="shared" si="42"/>
        <v>164.70332741772003</v>
      </c>
      <c r="G351" s="192"/>
    </row>
    <row r="352" spans="1:7" s="177" customFormat="1" ht="15.75">
      <c r="A352" s="32"/>
      <c r="B352" s="32" t="s">
        <v>228</v>
      </c>
      <c r="C352" s="32" t="s">
        <v>184</v>
      </c>
      <c r="D352" s="204">
        <f t="shared" si="41"/>
        <v>44726.51400000001</v>
      </c>
      <c r="E352" s="66">
        <f t="shared" si="39"/>
        <v>22.3998</v>
      </c>
      <c r="F352" s="153">
        <f t="shared" si="42"/>
        <v>100.18649682972001</v>
      </c>
      <c r="G352" s="192"/>
    </row>
    <row r="353" spans="1:7" s="177" customFormat="1" ht="15.75">
      <c r="A353" s="32"/>
      <c r="B353" s="32" t="s">
        <v>229</v>
      </c>
      <c r="C353" s="32" t="s">
        <v>184</v>
      </c>
      <c r="D353" s="204">
        <f t="shared" si="41"/>
        <v>42182.826000000015</v>
      </c>
      <c r="E353" s="66">
        <f t="shared" si="39"/>
        <v>30.5472</v>
      </c>
      <c r="F353" s="153">
        <f t="shared" si="42"/>
        <v>128.85672223872004</v>
      </c>
      <c r="G353" s="192"/>
    </row>
    <row r="354" spans="1:7" s="177" customFormat="1" ht="15.75">
      <c r="A354" s="32" t="s">
        <v>52</v>
      </c>
      <c r="B354" s="32" t="s">
        <v>230</v>
      </c>
      <c r="C354" s="33" t="s">
        <v>184</v>
      </c>
      <c r="D354" s="204">
        <f>SUM(D355:D360)</f>
        <v>1899003.7504200002</v>
      </c>
      <c r="E354" s="66"/>
      <c r="F354" s="33">
        <f>SUM(F355:F360)</f>
        <v>277.13276915273457</v>
      </c>
      <c r="G354" s="192"/>
    </row>
    <row r="355" spans="1:7" s="177" customFormat="1" ht="15.75">
      <c r="A355" s="32"/>
      <c r="B355" s="32" t="s">
        <v>231</v>
      </c>
      <c r="C355" s="33" t="s">
        <v>184</v>
      </c>
      <c r="D355" s="204">
        <f aca="true" t="shared" si="43" ref="D355:D357">D330*25</f>
        <v>327033.8400000001</v>
      </c>
      <c r="E355" s="66">
        <f t="shared" si="39"/>
        <v>1.0212</v>
      </c>
      <c r="F355" s="153">
        <f aca="true" t="shared" si="44" ref="F355:F360">E355*D355/10000</f>
        <v>33.39669574080001</v>
      </c>
      <c r="G355" s="192"/>
    </row>
    <row r="356" spans="1:7" s="177" customFormat="1" ht="15.75">
      <c r="A356" s="32"/>
      <c r="B356" s="32" t="s">
        <v>232</v>
      </c>
      <c r="C356" s="33" t="s">
        <v>184</v>
      </c>
      <c r="D356" s="204">
        <f t="shared" si="43"/>
        <v>374044.9545</v>
      </c>
      <c r="E356" s="66">
        <f t="shared" si="39"/>
        <v>0.7103999999999999</v>
      </c>
      <c r="F356" s="153">
        <f t="shared" si="44"/>
        <v>26.572153567679994</v>
      </c>
      <c r="G356" s="192"/>
    </row>
    <row r="357" spans="1:7" s="177" customFormat="1" ht="15.75">
      <c r="A357" s="32"/>
      <c r="B357" s="32" t="s">
        <v>233</v>
      </c>
      <c r="C357" s="33" t="s">
        <v>184</v>
      </c>
      <c r="D357" s="204">
        <f t="shared" si="43"/>
        <v>388352.685</v>
      </c>
      <c r="E357" s="66">
        <f t="shared" si="39"/>
        <v>2.5419</v>
      </c>
      <c r="F357" s="153">
        <f t="shared" si="44"/>
        <v>98.71536900014999</v>
      </c>
      <c r="G357" s="192"/>
    </row>
    <row r="358" spans="1:7" s="177" customFormat="1" ht="15.75">
      <c r="A358" s="32"/>
      <c r="B358" s="32" t="s">
        <v>234</v>
      </c>
      <c r="C358" s="33" t="s">
        <v>184</v>
      </c>
      <c r="D358" s="204">
        <f>D333*16</f>
        <v>257702.66592000003</v>
      </c>
      <c r="E358" s="66">
        <f t="shared" si="39"/>
        <v>2.0313</v>
      </c>
      <c r="F358" s="153">
        <f t="shared" si="44"/>
        <v>52.347142528329606</v>
      </c>
      <c r="G358" s="192"/>
    </row>
    <row r="359" spans="1:7" s="177" customFormat="1" ht="15.75">
      <c r="A359" s="32"/>
      <c r="B359" s="32" t="s">
        <v>235</v>
      </c>
      <c r="C359" s="33" t="s">
        <v>184</v>
      </c>
      <c r="D359" s="204">
        <f>D334*25</f>
        <v>296374.4174999999</v>
      </c>
      <c r="E359" s="66">
        <f t="shared" si="39"/>
        <v>1.5317999999999998</v>
      </c>
      <c r="F359" s="153">
        <f t="shared" si="44"/>
        <v>45.39863327264998</v>
      </c>
      <c r="G359" s="192"/>
    </row>
    <row r="360" spans="1:7" s="177" customFormat="1" ht="15.75">
      <c r="A360" s="32"/>
      <c r="B360" s="32" t="s">
        <v>236</v>
      </c>
      <c r="C360" s="33" t="s">
        <v>184</v>
      </c>
      <c r="D360" s="204">
        <f>D335*25</f>
        <v>255495.18750000003</v>
      </c>
      <c r="E360" s="66">
        <f t="shared" si="39"/>
        <v>0.8102999999999999</v>
      </c>
      <c r="F360" s="153">
        <f t="shared" si="44"/>
        <v>20.702775043125</v>
      </c>
      <c r="G360" s="192"/>
    </row>
    <row r="361" spans="1:7" s="177" customFormat="1" ht="15.75">
      <c r="A361" s="32">
        <v>5</v>
      </c>
      <c r="B361" s="205" t="s">
        <v>206</v>
      </c>
      <c r="C361" s="205"/>
      <c r="D361" s="206"/>
      <c r="E361" s="66">
        <f t="shared" si="39"/>
        <v>0</v>
      </c>
      <c r="F361" s="207">
        <f>SUM(F362:F364)</f>
        <v>23.99582936538127</v>
      </c>
      <c r="G361" s="192"/>
    </row>
    <row r="362" spans="1:7" s="177" customFormat="1" ht="15.75">
      <c r="A362" s="32"/>
      <c r="B362" s="208" t="s">
        <v>207</v>
      </c>
      <c r="C362" s="208" t="s">
        <v>101</v>
      </c>
      <c r="D362" s="209">
        <f>D308</f>
        <v>72.1</v>
      </c>
      <c r="E362" s="66">
        <f t="shared" si="39"/>
        <v>1453.5341104032</v>
      </c>
      <c r="F362" s="210">
        <f aca="true" t="shared" si="45" ref="F362:F364">D362*E362/10000</f>
        <v>10.47998093600707</v>
      </c>
      <c r="G362" s="192"/>
    </row>
    <row r="363" spans="1:7" s="177" customFormat="1" ht="15.75">
      <c r="A363" s="32"/>
      <c r="B363" s="208" t="s">
        <v>208</v>
      </c>
      <c r="C363" s="208" t="s">
        <v>101</v>
      </c>
      <c r="D363" s="209">
        <f>D362</f>
        <v>72.1</v>
      </c>
      <c r="E363" s="66">
        <f t="shared" si="39"/>
        <v>1049.7746352912</v>
      </c>
      <c r="F363" s="210">
        <f t="shared" si="45"/>
        <v>7.568875120449551</v>
      </c>
      <c r="G363" s="192"/>
    </row>
    <row r="364" spans="1:7" s="177" customFormat="1" ht="15.75">
      <c r="A364" s="32"/>
      <c r="B364" s="208" t="s">
        <v>209</v>
      </c>
      <c r="C364" s="208" t="s">
        <v>101</v>
      </c>
      <c r="D364" s="209">
        <f>D363</f>
        <v>72.1</v>
      </c>
      <c r="E364" s="66">
        <f t="shared" si="39"/>
        <v>824.8229277288</v>
      </c>
      <c r="F364" s="210">
        <f t="shared" si="45"/>
        <v>5.9469733089246475</v>
      </c>
      <c r="G364" s="192"/>
    </row>
    <row r="365" spans="1:7" s="177" customFormat="1" ht="15.75">
      <c r="A365" s="63" t="s">
        <v>13</v>
      </c>
      <c r="B365" s="63" t="s">
        <v>25</v>
      </c>
      <c r="C365" s="32" t="s">
        <v>101</v>
      </c>
      <c r="D365" s="114">
        <v>3.23</v>
      </c>
      <c r="E365" s="66"/>
      <c r="F365" s="191">
        <f>F366+F377</f>
        <v>137.01141398276584</v>
      </c>
      <c r="G365" s="192"/>
    </row>
    <row r="366" spans="1:7" s="177" customFormat="1" ht="15.75">
      <c r="A366" s="32">
        <v>1</v>
      </c>
      <c r="B366" s="32" t="s">
        <v>210</v>
      </c>
      <c r="C366" s="32"/>
      <c r="D366" s="32"/>
      <c r="E366" s="66"/>
      <c r="F366" s="153">
        <f>F367+F373</f>
        <v>20.88916207804691</v>
      </c>
      <c r="G366" s="192"/>
    </row>
    <row r="367" spans="1:7" s="177" customFormat="1" ht="15.75">
      <c r="A367" s="32" t="s">
        <v>47</v>
      </c>
      <c r="B367" s="32" t="s">
        <v>230</v>
      </c>
      <c r="C367" s="208" t="s">
        <v>54</v>
      </c>
      <c r="D367" s="33">
        <f>SUM(D368:D372)</f>
        <v>28798.12801425</v>
      </c>
      <c r="E367" s="66"/>
      <c r="F367" s="33">
        <f>SUM(F368:F372)</f>
        <v>17.75578566298499</v>
      </c>
      <c r="G367" s="192"/>
    </row>
    <row r="368" spans="1:7" s="177" customFormat="1" ht="15.75">
      <c r="A368" s="32"/>
      <c r="B368" s="32" t="s">
        <v>231</v>
      </c>
      <c r="C368" s="208" t="s">
        <v>54</v>
      </c>
      <c r="D368" s="33">
        <v>6249.19377909225</v>
      </c>
      <c r="E368" s="66">
        <f aca="true" t="shared" si="46" ref="E368:E376">E258</f>
        <v>6.16560411642</v>
      </c>
      <c r="F368" s="153">
        <f aca="true" t="shared" si="47" ref="F368:F372">E368*D368/10000</f>
        <v>3.853005488867743</v>
      </c>
      <c r="G368" s="192"/>
    </row>
    <row r="369" spans="1:7" s="177" customFormat="1" ht="15.75">
      <c r="A369" s="32"/>
      <c r="B369" s="32" t="s">
        <v>233</v>
      </c>
      <c r="C369" s="208" t="s">
        <v>54</v>
      </c>
      <c r="D369" s="33">
        <v>6191.59752306375</v>
      </c>
      <c r="E369" s="66">
        <f t="shared" si="46"/>
        <v>6.16560411642</v>
      </c>
      <c r="F369" s="153">
        <f t="shared" si="47"/>
        <v>3.8174939175417726</v>
      </c>
      <c r="G369" s="192"/>
    </row>
    <row r="370" spans="1:7" s="177" customFormat="1" ht="15.75">
      <c r="A370" s="32"/>
      <c r="B370" s="32" t="s">
        <v>237</v>
      </c>
      <c r="C370" s="208" t="s">
        <v>54</v>
      </c>
      <c r="D370" s="33">
        <v>6134.00126703525</v>
      </c>
      <c r="E370" s="66">
        <f t="shared" si="46"/>
        <v>6.16560411642</v>
      </c>
      <c r="F370" s="153">
        <f t="shared" si="47"/>
        <v>3.7819823462158033</v>
      </c>
      <c r="G370" s="192"/>
    </row>
    <row r="371" spans="1:7" s="177" customFormat="1" ht="15.75">
      <c r="A371" s="32"/>
      <c r="B371" s="32" t="s">
        <v>234</v>
      </c>
      <c r="C371" s="208" t="s">
        <v>54</v>
      </c>
      <c r="D371" s="33">
        <v>5615.63496277875</v>
      </c>
      <c r="E371" s="66">
        <f t="shared" si="46"/>
        <v>6.16560411642</v>
      </c>
      <c r="F371" s="153">
        <f t="shared" si="47"/>
        <v>3.462378204282073</v>
      </c>
      <c r="G371" s="192"/>
    </row>
    <row r="372" spans="1:7" s="177" customFormat="1" ht="15.75">
      <c r="A372" s="32"/>
      <c r="B372" s="32" t="s">
        <v>238</v>
      </c>
      <c r="C372" s="208" t="s">
        <v>54</v>
      </c>
      <c r="D372" s="33">
        <v>4607.70048228</v>
      </c>
      <c r="E372" s="66">
        <f t="shared" si="46"/>
        <v>6.16560411642</v>
      </c>
      <c r="F372" s="153">
        <f t="shared" si="47"/>
        <v>2.840925706077599</v>
      </c>
      <c r="G372" s="192"/>
    </row>
    <row r="373" spans="1:7" s="177" customFormat="1" ht="15.75">
      <c r="A373" s="32" t="s">
        <v>50</v>
      </c>
      <c r="B373" s="32" t="s">
        <v>239</v>
      </c>
      <c r="C373" s="208" t="s">
        <v>54</v>
      </c>
      <c r="D373" s="33">
        <f>SUM(D374:D376)</f>
        <v>5082.02660420125</v>
      </c>
      <c r="E373" s="66">
        <f t="shared" si="46"/>
        <v>0</v>
      </c>
      <c r="F373" s="33">
        <f>SUM(F374:F376)</f>
        <v>3.133376415061918</v>
      </c>
      <c r="G373" s="192"/>
    </row>
    <row r="374" spans="1:7" s="177" customFormat="1" ht="15.75">
      <c r="A374" s="32"/>
      <c r="B374" s="32" t="s">
        <v>238</v>
      </c>
      <c r="C374" s="208" t="s">
        <v>54</v>
      </c>
      <c r="D374" s="33">
        <v>1880.3483585775</v>
      </c>
      <c r="E374" s="66">
        <f t="shared" si="46"/>
        <v>6.16560411642</v>
      </c>
      <c r="F374" s="153">
        <f>E374*D374/10000</f>
        <v>1.1593483579949024</v>
      </c>
      <c r="G374" s="192"/>
    </row>
    <row r="375" spans="1:7" s="177" customFormat="1" ht="15.75">
      <c r="A375" s="32"/>
      <c r="B375" s="32" t="s">
        <v>240</v>
      </c>
      <c r="C375" s="208" t="s">
        <v>54</v>
      </c>
      <c r="D375" s="33">
        <v>1854.93824562375</v>
      </c>
      <c r="E375" s="66">
        <f t="shared" si="46"/>
        <v>6.16560411642</v>
      </c>
      <c r="F375" s="153">
        <f>E375*D375/10000</f>
        <v>1.1436814882922686</v>
      </c>
      <c r="G375" s="192"/>
    </row>
    <row r="376" spans="1:7" s="177" customFormat="1" ht="15.75">
      <c r="A376" s="32"/>
      <c r="B376" s="32" t="s">
        <v>241</v>
      </c>
      <c r="C376" s="208" t="s">
        <v>54</v>
      </c>
      <c r="D376" s="33">
        <v>1346.74</v>
      </c>
      <c r="E376" s="66">
        <f t="shared" si="46"/>
        <v>6.16560411642</v>
      </c>
      <c r="F376" s="153">
        <f>E376*D376/10000</f>
        <v>0.830346568774747</v>
      </c>
      <c r="G376" s="192"/>
    </row>
    <row r="377" spans="1:7" s="177" customFormat="1" ht="15.75">
      <c r="A377" s="32">
        <v>2</v>
      </c>
      <c r="B377" s="32" t="s">
        <v>205</v>
      </c>
      <c r="C377" s="32"/>
      <c r="D377" s="32"/>
      <c r="E377" s="66"/>
      <c r="F377" s="153">
        <f>F378+F384</f>
        <v>116.12225190471894</v>
      </c>
      <c r="G377" s="192"/>
    </row>
    <row r="378" spans="1:7" s="177" customFormat="1" ht="15.75">
      <c r="A378" s="32" t="s">
        <v>47</v>
      </c>
      <c r="B378" s="32" t="s">
        <v>230</v>
      </c>
      <c r="C378" s="33" t="s">
        <v>184</v>
      </c>
      <c r="D378" s="204">
        <f>SUM(D379:D383)</f>
        <v>572737.1699474041</v>
      </c>
      <c r="E378" s="66"/>
      <c r="F378" s="33">
        <f>SUM(F379:F384)</f>
        <v>110.2973904483041</v>
      </c>
      <c r="G378" s="192"/>
    </row>
    <row r="379" spans="1:7" s="177" customFormat="1" ht="15.75">
      <c r="A379" s="32"/>
      <c r="B379" s="32" t="s">
        <v>231</v>
      </c>
      <c r="C379" s="33" t="s">
        <v>184</v>
      </c>
      <c r="D379" s="204">
        <f>D368*25</f>
        <v>156229.84447730627</v>
      </c>
      <c r="E379" s="66">
        <f aca="true" t="shared" si="48" ref="E377:E388">E270</f>
        <v>1.0212</v>
      </c>
      <c r="F379" s="153">
        <f aca="true" t="shared" si="49" ref="F379:F383">E379*D379/10000</f>
        <v>15.954191718022516</v>
      </c>
      <c r="G379" s="192"/>
    </row>
    <row r="380" spans="1:7" s="177" customFormat="1" ht="15.75">
      <c r="A380" s="32"/>
      <c r="B380" s="32" t="s">
        <v>233</v>
      </c>
      <c r="C380" s="33" t="s">
        <v>184</v>
      </c>
      <c r="D380" s="204">
        <f>D369*25</f>
        <v>154789.93807659374</v>
      </c>
      <c r="E380" s="66">
        <f t="shared" si="48"/>
        <v>2.5419</v>
      </c>
      <c r="F380" s="153">
        <f t="shared" si="49"/>
        <v>39.34605435968936</v>
      </c>
      <c r="G380" s="192"/>
    </row>
    <row r="381" spans="1:7" s="177" customFormat="1" ht="15.75">
      <c r="A381" s="32"/>
      <c r="B381" s="32" t="s">
        <v>237</v>
      </c>
      <c r="C381" s="33" t="s">
        <v>184</v>
      </c>
      <c r="D381" s="204">
        <f aca="true" t="shared" si="50" ref="D381:D383">D370*16</f>
        <v>98144.020272564</v>
      </c>
      <c r="E381" s="66">
        <f t="shared" si="48"/>
        <v>2.5419</v>
      </c>
      <c r="F381" s="153">
        <f t="shared" si="49"/>
        <v>24.947228513083044</v>
      </c>
      <c r="G381" s="192"/>
    </row>
    <row r="382" spans="1:7" s="177" customFormat="1" ht="15.75">
      <c r="A382" s="32"/>
      <c r="B382" s="32" t="s">
        <v>234</v>
      </c>
      <c r="C382" s="33" t="s">
        <v>184</v>
      </c>
      <c r="D382" s="204">
        <f t="shared" si="50"/>
        <v>89850.15940446</v>
      </c>
      <c r="E382" s="66">
        <f t="shared" si="48"/>
        <v>2.0313</v>
      </c>
      <c r="F382" s="153">
        <f t="shared" si="49"/>
        <v>18.25126287982796</v>
      </c>
      <c r="G382" s="192"/>
    </row>
    <row r="383" spans="1:7" s="177" customFormat="1" ht="15.75">
      <c r="A383" s="32"/>
      <c r="B383" s="32" t="s">
        <v>238</v>
      </c>
      <c r="C383" s="33" t="s">
        <v>184</v>
      </c>
      <c r="D383" s="204">
        <f t="shared" si="50"/>
        <v>73723.20771648</v>
      </c>
      <c r="E383" s="66">
        <f t="shared" si="48"/>
        <v>0.8102999999999999</v>
      </c>
      <c r="F383" s="153">
        <f t="shared" si="49"/>
        <v>5.9737915212663735</v>
      </c>
      <c r="G383" s="192"/>
    </row>
    <row r="384" spans="1:7" s="177" customFormat="1" ht="15.75">
      <c r="A384" s="32" t="s">
        <v>50</v>
      </c>
      <c r="B384" s="32" t="s">
        <v>239</v>
      </c>
      <c r="C384" s="33" t="s">
        <v>184</v>
      </c>
      <c r="D384" s="204">
        <f>SUM(D385:D387)</f>
        <v>71885.24566722</v>
      </c>
      <c r="E384" s="66"/>
      <c r="F384" s="33">
        <f>SUM(F385:F387)</f>
        <v>5.824861456414835</v>
      </c>
      <c r="G384" s="192"/>
    </row>
    <row r="385" spans="1:7" s="177" customFormat="1" ht="15.75">
      <c r="A385" s="32"/>
      <c r="B385" s="32" t="s">
        <v>238</v>
      </c>
      <c r="C385" s="33" t="s">
        <v>184</v>
      </c>
      <c r="D385" s="204">
        <f>D374*16</f>
        <v>30085.57373724</v>
      </c>
      <c r="E385" s="66">
        <f t="shared" si="48"/>
        <v>0.8102999999999999</v>
      </c>
      <c r="F385" s="153">
        <f>E385*D385/10000</f>
        <v>2.437834039928557</v>
      </c>
      <c r="G385" s="192"/>
    </row>
    <row r="386" spans="1:7" s="177" customFormat="1" ht="15.75">
      <c r="A386" s="32"/>
      <c r="B386" s="32" t="s">
        <v>240</v>
      </c>
      <c r="C386" s="33" t="s">
        <v>184</v>
      </c>
      <c r="D386" s="204">
        <f>D375*16</f>
        <v>29679.01192998</v>
      </c>
      <c r="E386" s="66">
        <f t="shared" si="48"/>
        <v>0.8102999999999999</v>
      </c>
      <c r="F386" s="153">
        <f>E386*D386/10000</f>
        <v>2.404890336686279</v>
      </c>
      <c r="G386" s="192"/>
    </row>
    <row r="387" spans="1:7" s="177" customFormat="1" ht="15.75">
      <c r="A387" s="32"/>
      <c r="B387" s="32" t="s">
        <v>241</v>
      </c>
      <c r="C387" s="33" t="s">
        <v>184</v>
      </c>
      <c r="D387" s="204">
        <f>D376*9</f>
        <v>12120.66</v>
      </c>
      <c r="E387" s="66">
        <f t="shared" si="48"/>
        <v>0.8102999999999999</v>
      </c>
      <c r="F387" s="153">
        <f>E387*D387/10000</f>
        <v>0.9821370797999998</v>
      </c>
      <c r="G387" s="192"/>
    </row>
    <row r="388" spans="1:7" ht="15.75">
      <c r="A388" s="63" t="s">
        <v>7</v>
      </c>
      <c r="B388" s="113"/>
      <c r="C388" s="113"/>
      <c r="D388" s="113"/>
      <c r="E388" s="190"/>
      <c r="F388" s="191">
        <f>F4+F137</f>
        <v>4157.107924119897</v>
      </c>
      <c r="G388" s="193"/>
    </row>
    <row r="389" spans="1:6" ht="15.75">
      <c r="A389" s="57"/>
      <c r="B389" s="57"/>
      <c r="C389" s="57"/>
      <c r="D389" s="57"/>
      <c r="E389" s="214"/>
      <c r="F389" s="215"/>
    </row>
    <row r="390" spans="1:6" ht="15.75">
      <c r="A390" s="57"/>
      <c r="B390" s="57"/>
      <c r="C390" s="57"/>
      <c r="D390" s="57"/>
      <c r="E390" s="214"/>
      <c r="F390" s="215"/>
    </row>
    <row r="391" spans="1:6" ht="15.75">
      <c r="A391" s="57"/>
      <c r="B391" s="57"/>
      <c r="C391" s="57"/>
      <c r="D391" s="57"/>
      <c r="E391" s="214"/>
      <c r="F391" s="215"/>
    </row>
    <row r="392" spans="1:6" ht="15.75">
      <c r="A392" s="57"/>
      <c r="B392" s="57"/>
      <c r="C392" s="57"/>
      <c r="D392" s="57"/>
      <c r="E392" s="214"/>
      <c r="F392" s="215"/>
    </row>
    <row r="393" spans="1:6" ht="15.75">
      <c r="A393" s="57"/>
      <c r="B393" s="57"/>
      <c r="C393" s="57"/>
      <c r="D393" s="57"/>
      <c r="E393" s="214"/>
      <c r="F393" s="215"/>
    </row>
    <row r="394" spans="1:6" ht="15.75">
      <c r="A394" s="57"/>
      <c r="B394" s="57"/>
      <c r="C394" s="57"/>
      <c r="D394" s="57"/>
      <c r="E394" s="214"/>
      <c r="F394" s="215"/>
    </row>
    <row r="395" spans="1:6" ht="15.75">
      <c r="A395" s="57"/>
      <c r="B395" s="57"/>
      <c r="C395" s="57"/>
      <c r="D395" s="57"/>
      <c r="E395" s="214"/>
      <c r="F395" s="215"/>
    </row>
    <row r="396" spans="1:6" ht="15.75">
      <c r="A396" s="57"/>
      <c r="B396" s="57"/>
      <c r="C396" s="57"/>
      <c r="D396" s="57"/>
      <c r="E396" s="214"/>
      <c r="F396" s="215"/>
    </row>
    <row r="397" spans="1:6" ht="15.75">
      <c r="A397" s="57"/>
      <c r="B397" s="57"/>
      <c r="C397" s="57"/>
      <c r="D397" s="57"/>
      <c r="E397" s="214"/>
      <c r="F397" s="215"/>
    </row>
    <row r="398" spans="1:6" ht="15.75">
      <c r="A398" s="57"/>
      <c r="B398" s="57"/>
      <c r="C398" s="57"/>
      <c r="D398" s="57"/>
      <c r="E398" s="214"/>
      <c r="F398" s="215"/>
    </row>
    <row r="399" spans="1:6" ht="15.75">
      <c r="A399" s="57"/>
      <c r="B399" s="57"/>
      <c r="C399" s="57"/>
      <c r="D399" s="57"/>
      <c r="E399" s="214"/>
      <c r="F399" s="215"/>
    </row>
    <row r="400" spans="1:6" ht="15.75">
      <c r="A400" s="57"/>
      <c r="B400" s="57"/>
      <c r="C400" s="57"/>
      <c r="D400" s="57"/>
      <c r="E400" s="214"/>
      <c r="F400" s="215"/>
    </row>
    <row r="401" spans="1:6" ht="15.75">
      <c r="A401" s="57"/>
      <c r="B401" s="57"/>
      <c r="C401" s="57"/>
      <c r="D401" s="57"/>
      <c r="E401" s="214"/>
      <c r="F401" s="215"/>
    </row>
    <row r="402" spans="1:6" ht="15.75">
      <c r="A402" s="57"/>
      <c r="B402" s="57"/>
      <c r="C402" s="57"/>
      <c r="D402" s="57"/>
      <c r="E402" s="214"/>
      <c r="F402" s="215"/>
    </row>
    <row r="403" spans="1:6" ht="15.75">
      <c r="A403" s="57"/>
      <c r="B403" s="57"/>
      <c r="C403" s="57"/>
      <c r="D403" s="57"/>
      <c r="E403" s="214"/>
      <c r="F403" s="215"/>
    </row>
    <row r="404" spans="1:6" ht="15.75">
      <c r="A404" s="57"/>
      <c r="B404" s="57"/>
      <c r="C404" s="57"/>
      <c r="D404" s="57"/>
      <c r="E404" s="214"/>
      <c r="F404" s="215"/>
    </row>
    <row r="405" spans="1:6" ht="15.75">
      <c r="A405" s="57"/>
      <c r="B405" s="57"/>
      <c r="C405" s="57"/>
      <c r="D405" s="57"/>
      <c r="E405" s="214"/>
      <c r="F405" s="215"/>
    </row>
    <row r="406" spans="1:6" ht="15.75">
      <c r="A406" s="57"/>
      <c r="B406" s="57"/>
      <c r="C406" s="57"/>
      <c r="D406" s="57"/>
      <c r="E406" s="214"/>
      <c r="F406" s="215"/>
    </row>
    <row r="407" spans="1:6" ht="15.75">
      <c r="A407" s="57"/>
      <c r="B407" s="57"/>
      <c r="C407" s="57"/>
      <c r="D407" s="57"/>
      <c r="E407" s="214"/>
      <c r="F407" s="215"/>
    </row>
    <row r="408" spans="1:6" ht="15.75">
      <c r="A408" s="57"/>
      <c r="B408" s="57"/>
      <c r="C408" s="57"/>
      <c r="D408" s="57"/>
      <c r="E408" s="214"/>
      <c r="F408" s="215"/>
    </row>
    <row r="409" spans="1:6" ht="15.75">
      <c r="A409" s="57"/>
      <c r="B409" s="57"/>
      <c r="C409" s="57"/>
      <c r="D409" s="57"/>
      <c r="E409" s="214"/>
      <c r="F409" s="215"/>
    </row>
    <row r="410" spans="1:6" ht="15.75">
      <c r="A410" s="57"/>
      <c r="B410" s="57"/>
      <c r="C410" s="57"/>
      <c r="D410" s="57"/>
      <c r="E410" s="214"/>
      <c r="F410" s="215"/>
    </row>
    <row r="411" spans="1:6" ht="15.75">
      <c r="A411" s="57"/>
      <c r="B411" s="57"/>
      <c r="C411" s="57"/>
      <c r="D411" s="57"/>
      <c r="E411" s="214"/>
      <c r="F411" s="215"/>
    </row>
    <row r="412" spans="1:6" ht="15.75">
      <c r="A412" s="57"/>
      <c r="B412" s="57"/>
      <c r="C412" s="57"/>
      <c r="D412" s="57"/>
      <c r="E412" s="214"/>
      <c r="F412" s="215"/>
    </row>
    <row r="413" spans="1:6" ht="15.75">
      <c r="A413" s="57"/>
      <c r="B413" s="57"/>
      <c r="C413" s="57"/>
      <c r="D413" s="57"/>
      <c r="E413" s="214"/>
      <c r="F413" s="215"/>
    </row>
    <row r="414" spans="1:6" ht="15.75">
      <c r="A414" s="57"/>
      <c r="B414" s="57"/>
      <c r="C414" s="57"/>
      <c r="D414" s="57"/>
      <c r="E414" s="214"/>
      <c r="F414" s="215"/>
    </row>
    <row r="415" spans="1:6" ht="15.75">
      <c r="A415" s="57"/>
      <c r="B415" s="57"/>
      <c r="C415" s="57"/>
      <c r="D415" s="57"/>
      <c r="E415" s="214"/>
      <c r="F415" s="215"/>
    </row>
    <row r="416" spans="1:6" ht="15.75">
      <c r="A416" s="57"/>
      <c r="B416" s="57"/>
      <c r="C416" s="57"/>
      <c r="D416" s="57"/>
      <c r="E416" s="214"/>
      <c r="F416" s="215"/>
    </row>
    <row r="417" spans="1:6" ht="15.75">
      <c r="A417" s="57"/>
      <c r="B417" s="57"/>
      <c r="C417" s="57"/>
      <c r="D417" s="57"/>
      <c r="E417" s="214"/>
      <c r="F417" s="215"/>
    </row>
    <row r="418" spans="1:6" ht="15.75">
      <c r="A418" s="57"/>
      <c r="B418" s="57"/>
      <c r="C418" s="57"/>
      <c r="D418" s="57"/>
      <c r="E418" s="214"/>
      <c r="F418" s="215"/>
    </row>
    <row r="419" spans="1:6" ht="15.75">
      <c r="A419" s="57"/>
      <c r="B419" s="57"/>
      <c r="C419" s="57"/>
      <c r="D419" s="57"/>
      <c r="E419" s="214"/>
      <c r="F419" s="215"/>
    </row>
    <row r="420" spans="1:6" ht="15.75">
      <c r="A420" s="57"/>
      <c r="B420" s="57"/>
      <c r="C420" s="57"/>
      <c r="D420" s="57"/>
      <c r="E420" s="214"/>
      <c r="F420" s="215"/>
    </row>
    <row r="421" spans="1:6" ht="15.75">
      <c r="A421" s="57"/>
      <c r="B421" s="57"/>
      <c r="C421" s="57"/>
      <c r="D421" s="57"/>
      <c r="E421" s="214"/>
      <c r="F421" s="215"/>
    </row>
    <row r="422" spans="1:6" ht="15.75">
      <c r="A422" s="57"/>
      <c r="B422" s="57"/>
      <c r="C422" s="57"/>
      <c r="D422" s="57"/>
      <c r="E422" s="214"/>
      <c r="F422" s="215"/>
    </row>
    <row r="423" spans="1:6" ht="15.75">
      <c r="A423" s="57"/>
      <c r="B423" s="57"/>
      <c r="C423" s="57"/>
      <c r="D423" s="57"/>
      <c r="E423" s="214"/>
      <c r="F423" s="215"/>
    </row>
    <row r="424" spans="1:6" ht="15.75">
      <c r="A424" s="57"/>
      <c r="B424" s="57"/>
      <c r="C424" s="57"/>
      <c r="D424" s="57"/>
      <c r="E424" s="214"/>
      <c r="F424" s="215"/>
    </row>
    <row r="425" spans="1:6" ht="15.75">
      <c r="A425" s="57"/>
      <c r="B425" s="57"/>
      <c r="C425" s="57"/>
      <c r="D425" s="57"/>
      <c r="E425" s="214"/>
      <c r="F425" s="215"/>
    </row>
    <row r="426" spans="1:6" ht="15.75">
      <c r="A426" s="57"/>
      <c r="B426" s="57"/>
      <c r="C426" s="57"/>
      <c r="D426" s="57"/>
      <c r="E426" s="214"/>
      <c r="F426" s="215"/>
    </row>
    <row r="427" spans="1:6" ht="15.75">
      <c r="A427" s="57"/>
      <c r="B427" s="57"/>
      <c r="C427" s="57"/>
      <c r="D427" s="57"/>
      <c r="E427" s="214"/>
      <c r="F427" s="215"/>
    </row>
  </sheetData>
  <sheetProtection/>
  <mergeCells count="5">
    <mergeCell ref="A1:F1"/>
    <mergeCell ref="F2:G2"/>
    <mergeCell ref="A4:B4"/>
    <mergeCell ref="A137:B137"/>
    <mergeCell ref="A388:B388"/>
  </mergeCells>
  <printOptions/>
  <pageMargins left="0.7513888888888889" right="0.7513888888888889" top="1" bottom="1" header="0.5" footer="0.5"/>
  <pageSetup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6" sqref="D6"/>
    </sheetView>
  </sheetViews>
  <sheetFormatPr defaultColWidth="9.00390625" defaultRowHeight="14.25"/>
  <cols>
    <col min="1" max="1" width="4.25390625" style="0" customWidth="1"/>
    <col min="2" max="2" width="21.125" style="0" customWidth="1"/>
    <col min="3" max="3" width="23.125" style="0" customWidth="1"/>
    <col min="4" max="4" width="7.25390625" style="0" customWidth="1"/>
    <col min="5" max="5" width="10.75390625" style="0" customWidth="1"/>
  </cols>
  <sheetData>
    <row r="1" spans="1:5" s="164" customFormat="1" ht="15">
      <c r="A1" s="165" t="s">
        <v>244</v>
      </c>
      <c r="B1" s="165"/>
      <c r="C1" s="165"/>
      <c r="D1" s="165"/>
      <c r="E1" s="165"/>
    </row>
    <row r="2" spans="1:5" s="164" customFormat="1" ht="14.25">
      <c r="A2" s="166" t="s">
        <v>2</v>
      </c>
      <c r="B2" s="167" t="s">
        <v>245</v>
      </c>
      <c r="C2" s="167" t="s">
        <v>246</v>
      </c>
      <c r="D2" s="167" t="s">
        <v>247</v>
      </c>
      <c r="E2" s="168" t="s">
        <v>248</v>
      </c>
    </row>
    <row r="3" spans="1:5" s="164" customFormat="1" ht="14.25">
      <c r="A3" s="169"/>
      <c r="B3" s="10" t="s">
        <v>7</v>
      </c>
      <c r="C3" s="170"/>
      <c r="D3" s="170"/>
      <c r="E3" s="171">
        <f>SUM(E4:E6)</f>
        <v>266.0549071436734</v>
      </c>
    </row>
    <row r="4" spans="1:5" s="164" customFormat="1" ht="14.25">
      <c r="A4" s="172" t="s">
        <v>11</v>
      </c>
      <c r="B4" s="10" t="s">
        <v>28</v>
      </c>
      <c r="C4" s="173" t="s">
        <v>249</v>
      </c>
      <c r="D4" s="174">
        <v>0.024</v>
      </c>
      <c r="E4" s="171">
        <f>'分布工程'!$F$388*0.024</f>
        <v>99.77059017887753</v>
      </c>
    </row>
    <row r="5" spans="1:5" s="164" customFormat="1" ht="14.25">
      <c r="A5" s="172" t="s">
        <v>21</v>
      </c>
      <c r="B5" s="10" t="s">
        <v>29</v>
      </c>
      <c r="C5" s="175"/>
      <c r="D5" s="174">
        <v>0.015</v>
      </c>
      <c r="E5" s="171">
        <f>'分布工程'!$F$388*0.015</f>
        <v>62.35661886179845</v>
      </c>
    </row>
    <row r="6" spans="1:5" s="164" customFormat="1" ht="14.25">
      <c r="A6" s="172" t="s">
        <v>250</v>
      </c>
      <c r="B6" s="10" t="s">
        <v>30</v>
      </c>
      <c r="C6" s="176"/>
      <c r="D6" s="174">
        <v>0.02</v>
      </c>
      <c r="E6" s="171">
        <f>'分布工程'!$F$388*0.025</f>
        <v>103.92769810299743</v>
      </c>
    </row>
  </sheetData>
  <sheetProtection/>
  <mergeCells count="2">
    <mergeCell ref="A1:E1"/>
    <mergeCell ref="C4:C6"/>
  </mergeCells>
  <printOptions/>
  <pageMargins left="0.75" right="0.75" top="1" bottom="1" header="0.5" footer="0.5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E27" sqref="E27"/>
    </sheetView>
  </sheetViews>
  <sheetFormatPr defaultColWidth="9.00390625" defaultRowHeight="14.25"/>
  <cols>
    <col min="1" max="1" width="4.50390625" style="0" customWidth="1"/>
    <col min="2" max="5" width="13.25390625" style="0" customWidth="1"/>
  </cols>
  <sheetData>
    <row r="2" spans="1:7" ht="23.25">
      <c r="A2" s="162" t="s">
        <v>2</v>
      </c>
      <c r="B2" s="162" t="s">
        <v>251</v>
      </c>
      <c r="C2" s="162" t="s">
        <v>252</v>
      </c>
      <c r="D2" s="162" t="s">
        <v>253</v>
      </c>
      <c r="E2" s="162" t="s">
        <v>254</v>
      </c>
      <c r="F2" s="163"/>
      <c r="G2" s="163"/>
    </row>
    <row r="3" spans="1:7" ht="22.5">
      <c r="A3" s="162">
        <v>1</v>
      </c>
      <c r="B3" s="162" t="s">
        <v>255</v>
      </c>
      <c r="C3" s="162">
        <v>3.55</v>
      </c>
      <c r="D3" s="162">
        <v>1</v>
      </c>
      <c r="E3" s="162">
        <f>C3*D3</f>
        <v>3.55</v>
      </c>
      <c r="F3" s="163"/>
      <c r="G3" s="163"/>
    </row>
    <row r="4" spans="1:7" ht="14.25">
      <c r="A4" s="162" t="s">
        <v>7</v>
      </c>
      <c r="B4" s="162"/>
      <c r="C4" s="162"/>
      <c r="D4" s="162"/>
      <c r="E4" s="162"/>
      <c r="F4" s="163"/>
      <c r="G4" s="163"/>
    </row>
    <row r="5" spans="1:7" ht="14.25">
      <c r="A5" s="163"/>
      <c r="B5" s="163"/>
      <c r="C5" s="163"/>
      <c r="D5" s="163"/>
      <c r="E5" s="163"/>
      <c r="F5" s="163"/>
      <c r="G5" s="163"/>
    </row>
    <row r="6" spans="1:7" ht="14.25">
      <c r="A6" s="163"/>
      <c r="B6" s="163"/>
      <c r="C6" s="163"/>
      <c r="D6" s="163"/>
      <c r="E6" s="163"/>
      <c r="F6" s="163"/>
      <c r="G6" s="163"/>
    </row>
    <row r="7" spans="1:7" ht="14.25">
      <c r="A7" s="163"/>
      <c r="B7" s="163"/>
      <c r="C7" s="163"/>
      <c r="D7" s="163"/>
      <c r="E7" s="163"/>
      <c r="F7" s="163"/>
      <c r="G7" s="163"/>
    </row>
    <row r="8" spans="1:7" ht="14.25">
      <c r="A8" s="163"/>
      <c r="B8" s="163"/>
      <c r="C8" s="163"/>
      <c r="D8" s="163"/>
      <c r="E8" s="163"/>
      <c r="F8" s="163"/>
      <c r="G8" s="163"/>
    </row>
    <row r="9" spans="1:7" ht="14.25">
      <c r="A9" s="163"/>
      <c r="B9" s="163"/>
      <c r="C9" s="163"/>
      <c r="D9" s="163"/>
      <c r="E9" s="163"/>
      <c r="F9" s="163"/>
      <c r="G9" s="163"/>
    </row>
    <row r="10" spans="1:7" ht="14.25">
      <c r="A10" s="163"/>
      <c r="B10" s="163"/>
      <c r="C10" s="163"/>
      <c r="D10" s="163"/>
      <c r="E10" s="163"/>
      <c r="F10" s="163"/>
      <c r="G10" s="163"/>
    </row>
    <row r="11" spans="1:7" ht="14.25">
      <c r="A11" s="163"/>
      <c r="B11" s="163"/>
      <c r="C11" s="163"/>
      <c r="D11" s="163"/>
      <c r="E11" s="163"/>
      <c r="F11" s="163"/>
      <c r="G11" s="163"/>
    </row>
    <row r="12" spans="1:7" ht="14.25">
      <c r="A12" s="163"/>
      <c r="B12" s="163"/>
      <c r="C12" s="163"/>
      <c r="D12" s="163"/>
      <c r="E12" s="163"/>
      <c r="F12" s="163"/>
      <c r="G12" s="163"/>
    </row>
    <row r="13" spans="1:7" ht="14.25">
      <c r="A13" s="163"/>
      <c r="B13" s="163"/>
      <c r="C13" s="163"/>
      <c r="D13" s="163"/>
      <c r="E13" s="163"/>
      <c r="F13" s="163"/>
      <c r="G13" s="163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9.5" customHeight="1"/>
  <cols>
    <col min="1" max="1" width="4.50390625" style="147" customWidth="1"/>
    <col min="2" max="2" width="7.50390625" style="148" customWidth="1"/>
    <col min="3" max="3" width="21.50390625" style="147" customWidth="1"/>
    <col min="4" max="4" width="12.125" style="147" customWidth="1"/>
    <col min="5" max="5" width="10.25390625" style="147" customWidth="1"/>
    <col min="6" max="6" width="11.125" style="147" bestFit="1" customWidth="1"/>
    <col min="7" max="7" width="15.00390625" style="147" bestFit="1" customWidth="1"/>
    <col min="8" max="8" width="9.375" style="147" bestFit="1" customWidth="1"/>
    <col min="9" max="10" width="11.50390625" style="147" bestFit="1" customWidth="1"/>
    <col min="11" max="13" width="12.625" style="147" bestFit="1" customWidth="1"/>
    <col min="14" max="16384" width="9.00390625" style="147" customWidth="1"/>
  </cols>
  <sheetData>
    <row r="1" spans="1:13" ht="19.5" customHeight="1">
      <c r="A1" s="51" t="s">
        <v>256</v>
      </c>
      <c r="B1" s="149" t="s">
        <v>257</v>
      </c>
      <c r="C1" s="51" t="s">
        <v>258</v>
      </c>
      <c r="D1" s="51" t="s">
        <v>259</v>
      </c>
      <c r="E1" s="51" t="s">
        <v>260</v>
      </c>
      <c r="F1" s="51" t="s">
        <v>261</v>
      </c>
      <c r="G1" s="51"/>
      <c r="H1" s="51"/>
      <c r="I1" s="51"/>
      <c r="J1" s="51"/>
      <c r="K1" s="51"/>
      <c r="L1" s="51"/>
      <c r="M1" s="51"/>
    </row>
    <row r="2" spans="1:13" ht="19.5" customHeight="1">
      <c r="A2" s="51"/>
      <c r="B2" s="150"/>
      <c r="C2" s="51"/>
      <c r="D2" s="51"/>
      <c r="E2" s="51"/>
      <c r="F2" s="51" t="s">
        <v>262</v>
      </c>
      <c r="G2" s="51" t="s">
        <v>263</v>
      </c>
      <c r="H2" s="51" t="s">
        <v>264</v>
      </c>
      <c r="I2" s="51" t="s">
        <v>265</v>
      </c>
      <c r="J2" s="51" t="s">
        <v>266</v>
      </c>
      <c r="K2" s="51" t="s">
        <v>267</v>
      </c>
      <c r="L2" s="51" t="s">
        <v>268</v>
      </c>
      <c r="M2" s="51" t="s">
        <v>269</v>
      </c>
    </row>
    <row r="3" spans="1:13" ht="19.5" customHeight="1">
      <c r="A3" s="51"/>
      <c r="B3" s="1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9.5" customHeight="1">
      <c r="A4" s="51">
        <v>1</v>
      </c>
      <c r="B4" s="152" t="s">
        <v>270</v>
      </c>
      <c r="C4" s="52" t="s">
        <v>271</v>
      </c>
      <c r="D4" s="52" t="s">
        <v>101</v>
      </c>
      <c r="E4" s="153">
        <f>SUM(F4:M4)</f>
        <v>916.2492725874071</v>
      </c>
      <c r="F4" s="153">
        <f>'单价'!F8</f>
        <v>153.9</v>
      </c>
      <c r="G4" s="153">
        <f>'单价'!F9</f>
        <v>123.66104491353414</v>
      </c>
      <c r="H4" s="153">
        <f>'单价'!F12</f>
        <v>425.03111471949336</v>
      </c>
      <c r="I4" s="153">
        <f>'单价'!F14</f>
        <v>21.077764788990827</v>
      </c>
      <c r="J4" s="153">
        <f>'单价'!F15</f>
        <v>28.103686385321097</v>
      </c>
      <c r="K4" s="153">
        <f>'单价'!F16</f>
        <v>33.829812486330276</v>
      </c>
      <c r="L4" s="153">
        <f>'单价'!F17</f>
        <v>54.99223963055688</v>
      </c>
      <c r="M4" s="153">
        <f>'单价'!F18</f>
        <v>75.65360966318039</v>
      </c>
    </row>
    <row r="5" spans="1:13" ht="19.5" customHeight="1">
      <c r="A5" s="51">
        <v>2</v>
      </c>
      <c r="B5" s="152" t="s">
        <v>272</v>
      </c>
      <c r="C5" s="78" t="s">
        <v>102</v>
      </c>
      <c r="D5" s="52" t="s">
        <v>273</v>
      </c>
      <c r="E5" s="153">
        <f>SUM(F5:M5)</f>
        <v>109.7386822964568</v>
      </c>
      <c r="F5" s="153">
        <f>'单价'!F27</f>
        <v>5.669999999999999</v>
      </c>
      <c r="G5" s="153">
        <f>'单价'!F28</f>
        <v>12.226790107558662</v>
      </c>
      <c r="H5" s="153">
        <f>'单价'!F30</f>
        <v>66.25229475034506</v>
      </c>
      <c r="I5" s="153">
        <f>'单价'!F32</f>
        <v>2.5244725457371113</v>
      </c>
      <c r="J5" s="153">
        <f>'单价'!F33</f>
        <v>3.3659633943161484</v>
      </c>
      <c r="K5" s="153">
        <f>'单价'!F34</f>
        <v>4.051778435908065</v>
      </c>
      <c r="L5" s="153">
        <f>'单价'!F35</f>
        <v>6.586390946370553</v>
      </c>
      <c r="M5" s="153">
        <f>'单价'!F36</f>
        <v>9.060992116221204</v>
      </c>
    </row>
    <row r="6" spans="1:13" ht="19.5" customHeight="1">
      <c r="A6" s="51">
        <v>3</v>
      </c>
      <c r="B6" s="152" t="s">
        <v>274</v>
      </c>
      <c r="C6" s="78" t="s">
        <v>275</v>
      </c>
      <c r="D6" s="52" t="s">
        <v>276</v>
      </c>
      <c r="E6" s="153">
        <f>SUM(F6:M6)</f>
        <v>1215.2768662142767</v>
      </c>
      <c r="F6" s="153">
        <f>'单价'!F45</f>
        <v>242.33999999999997</v>
      </c>
      <c r="G6" s="153">
        <f>'单价'!F47</f>
        <v>730.219866</v>
      </c>
      <c r="H6" s="153"/>
      <c r="I6" s="153">
        <f>'单价'!F51</f>
        <v>19.451197320000002</v>
      </c>
      <c r="J6" s="153">
        <f>'单价'!F52</f>
        <v>38.902394640000004</v>
      </c>
      <c r="K6" s="153">
        <f>'单价'!F53</f>
        <v>30.9274037388</v>
      </c>
      <c r="L6" s="153">
        <f>'单价'!F54</f>
        <v>53.092043084939995</v>
      </c>
      <c r="M6" s="153">
        <f>'单价'!F55</f>
        <v>100.3439614305366</v>
      </c>
    </row>
    <row r="7" spans="1:13" ht="19.5" customHeight="1">
      <c r="A7" s="51">
        <v>4</v>
      </c>
      <c r="B7" s="152" t="s">
        <v>274</v>
      </c>
      <c r="C7" s="78" t="s">
        <v>277</v>
      </c>
      <c r="D7" s="52" t="s">
        <v>276</v>
      </c>
      <c r="E7" s="153">
        <f>SUM(F7:M7)</f>
        <v>942.7096657999316</v>
      </c>
      <c r="F7" s="153">
        <f>'单价'!F64</f>
        <v>242.33999999999997</v>
      </c>
      <c r="G7" s="153">
        <f>'单价'!F66</f>
        <v>512.090214</v>
      </c>
      <c r="H7" s="153"/>
      <c r="I7" s="153">
        <f>'单价'!F70</f>
        <v>15.08860428</v>
      </c>
      <c r="J7" s="153">
        <f>'单价'!F71</f>
        <v>30.17720856</v>
      </c>
      <c r="K7" s="153">
        <f>'单价'!F72</f>
        <v>23.990880805200003</v>
      </c>
      <c r="L7" s="153">
        <f>'单价'!F73</f>
        <v>41.184345382260005</v>
      </c>
      <c r="M7" s="153">
        <f>'单价'!F74</f>
        <v>77.83841277247141</v>
      </c>
    </row>
    <row r="8" spans="1:13" ht="19.5" customHeight="1">
      <c r="A8" s="51">
        <v>5</v>
      </c>
      <c r="B8" s="152" t="s">
        <v>274</v>
      </c>
      <c r="C8" s="52" t="s">
        <v>278</v>
      </c>
      <c r="D8" s="52" t="s">
        <v>276</v>
      </c>
      <c r="E8" s="153">
        <f aca="true" t="shared" si="0" ref="E8:E59">SUM(F8:M8)</f>
        <v>1409.961660406211</v>
      </c>
      <c r="F8" s="153">
        <f>'单价'!F83</f>
        <v>242.33999999999997</v>
      </c>
      <c r="G8" s="153">
        <f>'单价'!F85</f>
        <v>886.0219080000002</v>
      </c>
      <c r="H8" s="153"/>
      <c r="I8" s="153">
        <f>'单价'!F89</f>
        <v>22.567238160000002</v>
      </c>
      <c r="J8" s="153">
        <f>'单价'!F90</f>
        <v>45.134476320000005</v>
      </c>
      <c r="K8" s="153">
        <f>'单价'!F91</f>
        <v>35.8819086744</v>
      </c>
      <c r="L8" s="153">
        <f>'单价'!F92</f>
        <v>61.597276557719994</v>
      </c>
      <c r="M8" s="153">
        <f>'单价'!F93</f>
        <v>116.4188526940908</v>
      </c>
    </row>
    <row r="9" spans="1:13" ht="19.5" customHeight="1">
      <c r="A9" s="51">
        <v>6</v>
      </c>
      <c r="B9" s="152" t="s">
        <v>279</v>
      </c>
      <c r="C9" s="52" t="s">
        <v>280</v>
      </c>
      <c r="D9" s="52" t="s">
        <v>276</v>
      </c>
      <c r="E9" s="153">
        <f t="shared" si="0"/>
        <v>281.65222845128034</v>
      </c>
      <c r="F9" s="153">
        <f>'单价'!F102</f>
        <v>138.48</v>
      </c>
      <c r="G9" s="153">
        <f>'单价'!F104</f>
        <v>86.92020399999998</v>
      </c>
      <c r="H9" s="153"/>
      <c r="I9" s="153">
        <f>'单价'!F108</f>
        <v>4.508004079999999</v>
      </c>
      <c r="J9" s="153">
        <f>'单价'!F109</f>
        <v>9.016008159999998</v>
      </c>
      <c r="K9" s="153">
        <f>'单价'!F110</f>
        <v>7.167726487199999</v>
      </c>
      <c r="L9" s="153">
        <f>'单价'!F111</f>
        <v>12.304597136359998</v>
      </c>
      <c r="M9" s="153">
        <f>'单价'!F112</f>
        <v>23.255688587720396</v>
      </c>
    </row>
    <row r="10" spans="1:13" ht="19.5" customHeight="1">
      <c r="A10" s="51">
        <v>7</v>
      </c>
      <c r="B10" s="152" t="s">
        <v>279</v>
      </c>
      <c r="C10" s="52" t="s">
        <v>281</v>
      </c>
      <c r="D10" s="52" t="s">
        <v>276</v>
      </c>
      <c r="E10" s="153">
        <f t="shared" si="0"/>
        <v>301.09099796074315</v>
      </c>
      <c r="F10" s="153">
        <f>'单价'!F121</f>
        <v>138.48</v>
      </c>
      <c r="G10" s="153">
        <f>'单价'!F123</f>
        <v>102.47663199999998</v>
      </c>
      <c r="H10" s="153"/>
      <c r="I10" s="153">
        <f>'单价'!F127</f>
        <v>4.819132639999999</v>
      </c>
      <c r="J10" s="153">
        <f>'单价'!F128</f>
        <v>9.638265279999999</v>
      </c>
      <c r="K10" s="153">
        <f>'单价'!F129</f>
        <v>7.662420897599999</v>
      </c>
      <c r="L10" s="153">
        <f>'单价'!F130</f>
        <v>13.153822540879997</v>
      </c>
      <c r="M10" s="153">
        <f>'单价'!F131</f>
        <v>24.8607246022632</v>
      </c>
    </row>
    <row r="11" spans="1:13" ht="19.5" customHeight="1">
      <c r="A11" s="51">
        <v>8</v>
      </c>
      <c r="B11" s="152" t="s">
        <v>279</v>
      </c>
      <c r="C11" s="52" t="s">
        <v>282</v>
      </c>
      <c r="D11" s="52" t="s">
        <v>276</v>
      </c>
      <c r="E11" s="153">
        <f t="shared" si="0"/>
        <v>320.57221019839255</v>
      </c>
      <c r="F11" s="153">
        <f>'单价'!F140</f>
        <v>138.48</v>
      </c>
      <c r="G11" s="153">
        <f>'单价'!F142</f>
        <v>118.067026</v>
      </c>
      <c r="H11" s="153"/>
      <c r="I11" s="153">
        <f>'单价'!F146</f>
        <v>5.130940519999999</v>
      </c>
      <c r="J11" s="153">
        <f>'单价'!F147</f>
        <v>10.261881039999999</v>
      </c>
      <c r="K11" s="153">
        <f>'单价'!F148</f>
        <v>8.158195426799999</v>
      </c>
      <c r="L11" s="153">
        <f>'单价'!F149</f>
        <v>14.004902149339998</v>
      </c>
      <c r="M11" s="153">
        <f>'单价'!F150</f>
        <v>26.4692650622526</v>
      </c>
    </row>
    <row r="12" spans="1:13" ht="19.5" customHeight="1">
      <c r="A12" s="51">
        <v>9</v>
      </c>
      <c r="B12" s="152" t="s">
        <v>279</v>
      </c>
      <c r="C12" s="52" t="s">
        <v>283</v>
      </c>
      <c r="D12" s="52" t="s">
        <v>276</v>
      </c>
      <c r="E12" s="153">
        <f t="shared" si="0"/>
        <v>417.9358286584529</v>
      </c>
      <c r="F12" s="153">
        <f>'单价'!F159</f>
        <v>138.48</v>
      </c>
      <c r="G12" s="153">
        <f>'单价'!F161</f>
        <v>195.98502999999997</v>
      </c>
      <c r="H12" s="153"/>
      <c r="I12" s="153">
        <f>'单价'!F165</f>
        <v>6.689300599999999</v>
      </c>
      <c r="J12" s="153">
        <f>'单价'!F166</f>
        <v>13.378601199999999</v>
      </c>
      <c r="K12" s="153">
        <f>'单价'!F167</f>
        <v>10.635987953999999</v>
      </c>
      <c r="L12" s="153">
        <f>'单价'!F168</f>
        <v>18.258445987699996</v>
      </c>
      <c r="M12" s="153">
        <f>'单价'!F169</f>
        <v>34.50846291675299</v>
      </c>
    </row>
    <row r="13" spans="1:13" ht="19.5" customHeight="1">
      <c r="A13" s="51">
        <v>10</v>
      </c>
      <c r="B13" s="152" t="s">
        <v>279</v>
      </c>
      <c r="C13" s="52" t="s">
        <v>284</v>
      </c>
      <c r="D13" s="52" t="s">
        <v>276</v>
      </c>
      <c r="E13" s="153">
        <f t="shared" si="0"/>
        <v>301.09099796074315</v>
      </c>
      <c r="F13" s="153">
        <f>'单价'!F178</f>
        <v>138.48</v>
      </c>
      <c r="G13" s="153">
        <f>'单价'!F180</f>
        <v>102.47663199999998</v>
      </c>
      <c r="H13" s="153"/>
      <c r="I13" s="153">
        <f>'单价'!F184</f>
        <v>4.819132639999999</v>
      </c>
      <c r="J13" s="153">
        <f>'单价'!F185</f>
        <v>9.638265279999999</v>
      </c>
      <c r="K13" s="153">
        <f>'单价'!F186</f>
        <v>7.662420897599999</v>
      </c>
      <c r="L13" s="153">
        <f>'单价'!F187</f>
        <v>13.153822540879997</v>
      </c>
      <c r="M13" s="153">
        <f>'单价'!F188</f>
        <v>24.8607246022632</v>
      </c>
    </row>
    <row r="14" spans="1:13" ht="19.5" customHeight="1">
      <c r="A14" s="51">
        <v>11</v>
      </c>
      <c r="B14" s="152" t="s">
        <v>279</v>
      </c>
      <c r="C14" s="52" t="s">
        <v>285</v>
      </c>
      <c r="D14" s="52" t="s">
        <v>276</v>
      </c>
      <c r="E14" s="153">
        <f t="shared" si="0"/>
        <v>359.4921919455048</v>
      </c>
      <c r="F14" s="153">
        <f>'单价'!F197</f>
        <v>138.48</v>
      </c>
      <c r="G14" s="153">
        <f>'单价'!F199</f>
        <v>149.213848</v>
      </c>
      <c r="H14" s="153"/>
      <c r="I14" s="153">
        <f>'单价'!F203</f>
        <v>5.75387696</v>
      </c>
      <c r="J14" s="153">
        <f>'单价'!F204</f>
        <v>11.50775392</v>
      </c>
      <c r="K14" s="153">
        <f>'单价'!F205</f>
        <v>9.1486643664</v>
      </c>
      <c r="L14" s="153">
        <f>'单价'!F206</f>
        <v>15.705207162320002</v>
      </c>
      <c r="M14" s="153">
        <f>'单价'!F207</f>
        <v>29.682841536784803</v>
      </c>
    </row>
    <row r="15" spans="1:13" ht="19.5" customHeight="1">
      <c r="A15" s="51">
        <v>12</v>
      </c>
      <c r="B15" s="152" t="s">
        <v>279</v>
      </c>
      <c r="C15" s="52" t="s">
        <v>286</v>
      </c>
      <c r="D15" s="52" t="s">
        <v>276</v>
      </c>
      <c r="E15" s="153">
        <f t="shared" si="0"/>
        <v>495.77579215267735</v>
      </c>
      <c r="F15" s="153">
        <f>'单价'!F216</f>
        <v>138.48</v>
      </c>
      <c r="G15" s="153">
        <f>'单价'!F218</f>
        <v>258.27867399999997</v>
      </c>
      <c r="H15" s="153"/>
      <c r="I15" s="153">
        <f>'单价'!F222</f>
        <v>7.935173479999999</v>
      </c>
      <c r="J15" s="153">
        <f>'单价'!F223</f>
        <v>15.870346959999997</v>
      </c>
      <c r="K15" s="153">
        <f>'单价'!F224</f>
        <v>12.616925833199998</v>
      </c>
      <c r="L15" s="153">
        <f>'单价'!F225</f>
        <v>21.659056013659995</v>
      </c>
      <c r="M15" s="153">
        <f>'单价'!F226</f>
        <v>40.9356158658174</v>
      </c>
    </row>
    <row r="16" spans="1:13" ht="19.5" customHeight="1">
      <c r="A16" s="51">
        <v>13</v>
      </c>
      <c r="B16" s="152" t="s">
        <v>279</v>
      </c>
      <c r="C16" s="52" t="s">
        <v>287</v>
      </c>
      <c r="D16" s="52" t="s">
        <v>276</v>
      </c>
      <c r="E16" s="153">
        <f t="shared" si="0"/>
        <v>566.27316367062</v>
      </c>
      <c r="F16" s="153">
        <f>'单价'!F235</f>
        <v>138.48</v>
      </c>
      <c r="G16" s="153">
        <f>'单价'!F237</f>
        <v>314.69620000000003</v>
      </c>
      <c r="H16" s="153"/>
      <c r="I16" s="153">
        <f>'单价'!F241</f>
        <v>9.063524</v>
      </c>
      <c r="J16" s="153">
        <f>'单价'!F242</f>
        <v>18.127048</v>
      </c>
      <c r="K16" s="153">
        <f>'单价'!F243</f>
        <v>14.41100316</v>
      </c>
      <c r="L16" s="153">
        <f>'单价'!F244</f>
        <v>24.738888757999998</v>
      </c>
      <c r="M16" s="153">
        <f>'单价'!F245</f>
        <v>46.756499752619995</v>
      </c>
    </row>
    <row r="17" spans="1:13" ht="19.5" customHeight="1">
      <c r="A17" s="51">
        <v>14</v>
      </c>
      <c r="B17" s="152" t="s">
        <v>279</v>
      </c>
      <c r="C17" s="52" t="s">
        <v>288</v>
      </c>
      <c r="D17" s="52" t="s">
        <v>276</v>
      </c>
      <c r="E17" s="153">
        <f t="shared" si="0"/>
        <v>260.68552072709997</v>
      </c>
      <c r="F17" s="153">
        <f>'单价'!F254</f>
        <v>138.48</v>
      </c>
      <c r="G17" s="153">
        <f>'单价'!F256</f>
        <v>70.141</v>
      </c>
      <c r="H17" s="153"/>
      <c r="I17" s="153">
        <f>'单价'!F260</f>
        <v>4.17242</v>
      </c>
      <c r="J17" s="153">
        <f>'单价'!F261</f>
        <v>8.34484</v>
      </c>
      <c r="K17" s="153">
        <f>'单价'!F262</f>
        <v>6.634147799999999</v>
      </c>
      <c r="L17" s="153">
        <f>'单价'!F263</f>
        <v>11.388620389999998</v>
      </c>
      <c r="M17" s="153">
        <f>'单价'!F264</f>
        <v>21.524492537099995</v>
      </c>
    </row>
    <row r="18" spans="1:13" ht="19.5" customHeight="1">
      <c r="A18" s="51">
        <v>15</v>
      </c>
      <c r="B18" s="152" t="s">
        <v>279</v>
      </c>
      <c r="C18" s="52" t="s">
        <v>289</v>
      </c>
      <c r="D18" s="52" t="s">
        <v>276</v>
      </c>
      <c r="E18" s="153">
        <f t="shared" si="0"/>
        <v>254.3615542272966</v>
      </c>
      <c r="F18" s="153">
        <f>'单价'!F273</f>
        <v>138.48</v>
      </c>
      <c r="G18" s="153">
        <f>'单价'!F275</f>
        <v>65.080066</v>
      </c>
      <c r="H18" s="153"/>
      <c r="I18" s="153">
        <f>'单价'!F279</f>
        <v>4.07120132</v>
      </c>
      <c r="J18" s="153">
        <f>'单价'!F280</f>
        <v>8.14240264</v>
      </c>
      <c r="K18" s="153">
        <f>'单价'!F281</f>
        <v>6.4732100988</v>
      </c>
      <c r="L18" s="153">
        <f>'单价'!F282</f>
        <v>11.112344002939999</v>
      </c>
      <c r="M18" s="153">
        <f>'单价'!F283</f>
        <v>21.0023301655566</v>
      </c>
    </row>
    <row r="19" spans="1:13" ht="19.5" customHeight="1">
      <c r="A19" s="51">
        <v>16</v>
      </c>
      <c r="B19" s="152" t="s">
        <v>279</v>
      </c>
      <c r="C19" s="52" t="s">
        <v>290</v>
      </c>
      <c r="D19" s="52" t="s">
        <v>276</v>
      </c>
      <c r="E19" s="153">
        <f t="shared" si="0"/>
        <v>254.3615542272966</v>
      </c>
      <c r="F19" s="153">
        <f>'单价'!F292</f>
        <v>138.48</v>
      </c>
      <c r="G19" s="153">
        <f>'单价'!F294</f>
        <v>65.080066</v>
      </c>
      <c r="H19" s="153"/>
      <c r="I19" s="153">
        <f>'单价'!F298</f>
        <v>4.07120132</v>
      </c>
      <c r="J19" s="153">
        <f>'单价'!F299</f>
        <v>8.14240264</v>
      </c>
      <c r="K19" s="153">
        <f>'单价'!F300</f>
        <v>6.4732100988</v>
      </c>
      <c r="L19" s="153">
        <f>'单价'!F301</f>
        <v>11.112344002939999</v>
      </c>
      <c r="M19" s="153">
        <f>'单价'!F302</f>
        <v>21.0023301655566</v>
      </c>
    </row>
    <row r="20" spans="1:13" ht="19.5" customHeight="1">
      <c r="A20" s="51">
        <v>17</v>
      </c>
      <c r="B20" s="152" t="s">
        <v>274</v>
      </c>
      <c r="C20" s="52" t="s">
        <v>291</v>
      </c>
      <c r="D20" s="52" t="s">
        <v>276</v>
      </c>
      <c r="E20" s="153">
        <f t="shared" si="0"/>
        <v>1998.2767988139074</v>
      </c>
      <c r="F20" s="153">
        <f>'单价'!F311</f>
        <v>242.33999999999997</v>
      </c>
      <c r="G20" s="153">
        <f>'单价'!F313</f>
        <v>1356.837825</v>
      </c>
      <c r="H20" s="153"/>
      <c r="I20" s="153">
        <f>'单价'!F317</f>
        <v>31.9835565</v>
      </c>
      <c r="J20" s="153">
        <f>'单价'!F318</f>
        <v>63.967113</v>
      </c>
      <c r="K20" s="153">
        <f>'单价'!F319</f>
        <v>50.853854835</v>
      </c>
      <c r="L20" s="153">
        <f>'单价'!F320</f>
        <v>87.29911746674999</v>
      </c>
      <c r="M20" s="153">
        <f>'单价'!F321</f>
        <v>164.9953320121575</v>
      </c>
    </row>
    <row r="21" spans="1:13" ht="19.5" customHeight="1">
      <c r="A21" s="51">
        <v>18</v>
      </c>
      <c r="B21" s="152" t="s">
        <v>274</v>
      </c>
      <c r="C21" s="52" t="s">
        <v>292</v>
      </c>
      <c r="D21" s="52" t="s">
        <v>276</v>
      </c>
      <c r="E21" s="153">
        <f t="shared" si="0"/>
        <v>1608.8647677018523</v>
      </c>
      <c r="F21" s="153">
        <f ca="1">OFFSET('单价'!$F$311,19,0)</f>
        <v>242.33999999999997</v>
      </c>
      <c r="G21" s="153">
        <f ca="1">OFFSET('单价'!$F$313,19,0)</f>
        <v>1045.1997749999998</v>
      </c>
      <c r="H21" s="153"/>
      <c r="I21" s="153">
        <f ca="1">OFFSET('单价'!$F$317,19,0)</f>
        <v>25.750795499999995</v>
      </c>
      <c r="J21" s="153">
        <f ca="1">OFFSET('单价'!$F$318,19,0)</f>
        <v>51.50159099999999</v>
      </c>
      <c r="K21" s="153">
        <f ca="1">OFFSET('单价'!$F$319,19,0)</f>
        <v>40.943764845</v>
      </c>
      <c r="L21" s="153">
        <f ca="1">OFFSET('单价'!$F$320,19,0)</f>
        <v>70.28679631725</v>
      </c>
      <c r="M21" s="153">
        <f ca="1">OFFSET('单价'!$F$321,19,0)</f>
        <v>132.84204503960248</v>
      </c>
    </row>
    <row r="22" spans="1:13" s="146" customFormat="1" ht="19.5" customHeight="1">
      <c r="A22" s="154">
        <v>19</v>
      </c>
      <c r="B22" s="155" t="s">
        <v>274</v>
      </c>
      <c r="C22" s="156" t="s">
        <v>293</v>
      </c>
      <c r="D22" s="156" t="s">
        <v>276</v>
      </c>
      <c r="E22" s="157">
        <f t="shared" si="0"/>
        <v>1492.0623797323296</v>
      </c>
      <c r="F22" s="157">
        <f ca="1">OFFSET('单价'!$F$311,19*(A4+1),0)</f>
        <v>242.33999999999997</v>
      </c>
      <c r="G22" s="157">
        <f ca="1">OFFSET('单价'!$F$313,19*(A4+1),0)</f>
        <v>951.7253430000002</v>
      </c>
      <c r="H22" s="157"/>
      <c r="I22" s="157">
        <f ca="1">OFFSET('单价'!$F$317,19*(A4+1),0)</f>
        <v>23.881306860000006</v>
      </c>
      <c r="J22" s="157">
        <f ca="1">OFFSET('单价'!$F$318,19*(A4+1),0)</f>
        <v>47.76261372000001</v>
      </c>
      <c r="K22" s="157">
        <f ca="1">OFFSET('单价'!$F$319,19*(A4+1),0)</f>
        <v>37.97127790740001</v>
      </c>
      <c r="L22" s="157">
        <f ca="1">OFFSET('单价'!$F$320,19*(A4+1),0)</f>
        <v>65.18402707437001</v>
      </c>
      <c r="M22" s="157">
        <f ca="1">OFFSET('单价'!$F$321,19*(A4+1),0)</f>
        <v>123.19781117055932</v>
      </c>
    </row>
    <row r="23" spans="1:13" ht="19.5" customHeight="1">
      <c r="A23" s="51">
        <v>20</v>
      </c>
      <c r="B23" s="152" t="s">
        <v>274</v>
      </c>
      <c r="C23" s="52" t="s">
        <v>294</v>
      </c>
      <c r="D23" s="52" t="s">
        <v>276</v>
      </c>
      <c r="E23" s="153">
        <f t="shared" si="0"/>
        <v>1336.2975672875075</v>
      </c>
      <c r="F23" s="66">
        <f ca="1">OFFSET('单价'!$F$311,19*(A5+1),0)</f>
        <v>242.33999999999997</v>
      </c>
      <c r="G23" s="66">
        <f ca="1">OFFSET('单价'!$F$313,19*(A5+1),0)</f>
        <v>827.0701230000001</v>
      </c>
      <c r="H23" s="158"/>
      <c r="I23" s="66">
        <f ca="1">OFFSET('单价'!$F$317,19*(A5+1),0)</f>
        <v>21.388202460000002</v>
      </c>
      <c r="J23" s="66">
        <f ca="1">OFFSET('单价'!$F$318,19*(A5+1),0)</f>
        <v>42.776404920000004</v>
      </c>
      <c r="K23" s="66">
        <f ca="1">OFFSET('单价'!$F$319,19*(A5+1),0)</f>
        <v>34.00724191140001</v>
      </c>
      <c r="L23" s="66">
        <f ca="1">OFFSET('单价'!$F$320,19*(A5+1),0)</f>
        <v>58.37909861457001</v>
      </c>
      <c r="M23" s="66">
        <f ca="1">OFFSET('单价'!$F$321,19*(A5+1),0)</f>
        <v>110.33649638153733</v>
      </c>
    </row>
    <row r="24" spans="1:13" ht="19.5" customHeight="1">
      <c r="A24" s="51">
        <v>21</v>
      </c>
      <c r="B24" s="152" t="s">
        <v>274</v>
      </c>
      <c r="C24" s="52" t="s">
        <v>295</v>
      </c>
      <c r="D24" s="52" t="s">
        <v>276</v>
      </c>
      <c r="E24" s="153">
        <f t="shared" si="0"/>
        <v>518.5959660444718</v>
      </c>
      <c r="F24" s="66">
        <f ca="1">OFFSET('单价'!$F$311,19*(A6+1),0)</f>
        <v>242.33999999999997</v>
      </c>
      <c r="G24" s="66">
        <f ca="1">OFFSET('单价'!$F$313,19*(A6+1),0)</f>
        <v>172.681167</v>
      </c>
      <c r="H24" s="158"/>
      <c r="I24" s="66">
        <f ca="1">OFFSET('单价'!$F$317,19*(A6+1),0)</f>
        <v>8.30042334</v>
      </c>
      <c r="J24" s="66">
        <f ca="1">OFFSET('单价'!$F$318,19*(A6+1),0)</f>
        <v>16.60084668</v>
      </c>
      <c r="K24" s="66">
        <f ca="1">OFFSET('单价'!$F$319,19*(A6+1),0)</f>
        <v>13.1976731106</v>
      </c>
      <c r="L24" s="66">
        <f ca="1">OFFSET('单价'!$F$320,19*(A6+1),0)</f>
        <v>22.65600550653</v>
      </c>
      <c r="M24" s="66">
        <f ca="1">OFFSET('单价'!$F$321,19*(A6+1),0)</f>
        <v>42.819850407341704</v>
      </c>
    </row>
    <row r="25" spans="1:13" ht="19.5" customHeight="1">
      <c r="A25" s="51">
        <v>22</v>
      </c>
      <c r="B25" s="152" t="s">
        <v>274</v>
      </c>
      <c r="C25" s="52" t="s">
        <v>296</v>
      </c>
      <c r="D25" s="52" t="s">
        <v>276</v>
      </c>
      <c r="E25" s="153">
        <f t="shared" si="0"/>
        <v>557.5583905197705</v>
      </c>
      <c r="F25" s="66">
        <f ca="1">OFFSET('单价'!$F$311,19*(A7+1),0)</f>
        <v>242.33999999999997</v>
      </c>
      <c r="G25" s="66">
        <f ca="1">OFFSET('单价'!$F$313,19*(A7+1),0)</f>
        <v>203.86195499999997</v>
      </c>
      <c r="H25" s="158"/>
      <c r="I25" s="66">
        <f ca="1">OFFSET('单价'!$F$317,19*(A7+1),0)</f>
        <v>8.924039099999998</v>
      </c>
      <c r="J25" s="66">
        <f ca="1">OFFSET('单价'!$F$318,19*(A7+1),0)</f>
        <v>17.848078199999996</v>
      </c>
      <c r="K25" s="66">
        <f ca="1">OFFSET('单价'!$F$319,19*(A7+1),0)</f>
        <v>14.189222168999997</v>
      </c>
      <c r="L25" s="66">
        <f ca="1">OFFSET('单价'!$F$320,19*(A7+1),0)</f>
        <v>24.358164723449995</v>
      </c>
      <c r="M25" s="66">
        <f ca="1">OFFSET('单价'!$F$321,19*(A7+1),0)</f>
        <v>46.03693132732049</v>
      </c>
    </row>
    <row r="26" spans="1:13" ht="19.5" customHeight="1">
      <c r="A26" s="51">
        <v>23</v>
      </c>
      <c r="B26" s="152" t="s">
        <v>274</v>
      </c>
      <c r="C26" s="52" t="s">
        <v>297</v>
      </c>
      <c r="D26" s="52" t="s">
        <v>276</v>
      </c>
      <c r="E26" s="153">
        <f t="shared" si="0"/>
        <v>1414.1799735099185</v>
      </c>
      <c r="F26" s="66">
        <f ca="1">OFFSET('单价'!$F$311,19*(A8+1),0)</f>
        <v>242.33999999999997</v>
      </c>
      <c r="G26" s="66">
        <f ca="1">OFFSET('单价'!$F$313,19*(A8+1),0)</f>
        <v>889.397733</v>
      </c>
      <c r="H26" s="158"/>
      <c r="I26" s="66">
        <f ca="1">OFFSET('单价'!$F$317,19*(A8+1),0)</f>
        <v>22.63475466</v>
      </c>
      <c r="J26" s="66">
        <f ca="1">OFFSET('单价'!$F$318,19*(A8+1),0)</f>
        <v>45.26950932</v>
      </c>
      <c r="K26" s="66">
        <f ca="1">OFFSET('单价'!$F$319,19*(A8+1),0)</f>
        <v>35.9892599094</v>
      </c>
      <c r="L26" s="66">
        <f ca="1">OFFSET('单价'!$F$320,19*(A8+1),0)</f>
        <v>61.78156284447</v>
      </c>
      <c r="M26" s="66">
        <f ca="1">OFFSET('单价'!$F$321,19*(A8+1),0)</f>
        <v>116.7671537760483</v>
      </c>
    </row>
    <row r="27" spans="1:13" ht="19.5" customHeight="1">
      <c r="A27" s="51">
        <v>24</v>
      </c>
      <c r="B27" s="152" t="s">
        <v>274</v>
      </c>
      <c r="C27" s="52" t="s">
        <v>298</v>
      </c>
      <c r="D27" s="52" t="s">
        <v>276</v>
      </c>
      <c r="E27" s="153">
        <f t="shared" si="0"/>
        <v>907.9655544283402</v>
      </c>
      <c r="F27" s="66">
        <f ca="1">OFFSET('单价'!$F$311,19*(A9+1),0)</f>
        <v>242.33999999999997</v>
      </c>
      <c r="G27" s="66">
        <f ca="1">OFFSET('单价'!$F$313,19*(A9+1),0)</f>
        <v>484.2852510000001</v>
      </c>
      <c r="H27" s="158"/>
      <c r="I27" s="66">
        <f ca="1">OFFSET('单价'!$F$317,19*(A9+1),0)</f>
        <v>14.53250502</v>
      </c>
      <c r="J27" s="66">
        <f ca="1">OFFSET('单价'!$F$318,19*(A9+1),0)</f>
        <v>29.06501004</v>
      </c>
      <c r="K27" s="66">
        <f ca="1">OFFSET('单价'!$F$319,19*(A9+1),0)</f>
        <v>23.1066829818</v>
      </c>
      <c r="L27" s="66">
        <f ca="1">OFFSET('单价'!$F$320,19*(A9+1),0)</f>
        <v>39.666472452090005</v>
      </c>
      <c r="M27" s="66">
        <f ca="1">OFFSET('单价'!$F$321,19*(A9+1),0)</f>
        <v>74.9696329344501</v>
      </c>
    </row>
    <row r="28" spans="1:13" ht="19.5" customHeight="1">
      <c r="A28" s="51">
        <v>25</v>
      </c>
      <c r="B28" s="152" t="s">
        <v>274</v>
      </c>
      <c r="C28" s="52" t="s">
        <v>299</v>
      </c>
      <c r="D28" s="52" t="s">
        <v>276</v>
      </c>
      <c r="E28" s="153">
        <f t="shared" si="0"/>
        <v>830.1255909341158</v>
      </c>
      <c r="F28" s="66">
        <f ca="1">OFFSET('单价'!$F$311,19*(A10+1),0)</f>
        <v>242.33999999999997</v>
      </c>
      <c r="G28" s="66">
        <f ca="1">OFFSET('单价'!$F$313,19*(A10+1),0)</f>
        <v>421.99160700000004</v>
      </c>
      <c r="H28" s="158"/>
      <c r="I28" s="66">
        <f ca="1">OFFSET('单价'!$F$317,19*(A10+1),0)</f>
        <v>13.286632140000002</v>
      </c>
      <c r="J28" s="66">
        <f ca="1">OFFSET('单价'!$F$318,19*(A10+1),0)</f>
        <v>26.573264280000004</v>
      </c>
      <c r="K28" s="66">
        <f ca="1">OFFSET('单价'!$F$319,19*(A10+1),0)</f>
        <v>21.125745102600003</v>
      </c>
      <c r="L28" s="66">
        <f ca="1">OFFSET('单价'!$F$320,19*(A10+1),0)</f>
        <v>36.265862426130006</v>
      </c>
      <c r="M28" s="66">
        <f ca="1">OFFSET('单价'!$F$321,19*(A10+1),0)</f>
        <v>68.54247998538571</v>
      </c>
    </row>
    <row r="29" spans="1:13" ht="19.5" customHeight="1">
      <c r="A29" s="51">
        <v>26</v>
      </c>
      <c r="B29" s="152" t="s">
        <v>279</v>
      </c>
      <c r="C29" s="52" t="s">
        <v>300</v>
      </c>
      <c r="D29" s="52" t="s">
        <v>276</v>
      </c>
      <c r="E29" s="153">
        <f t="shared" si="0"/>
        <v>690.5030290727982</v>
      </c>
      <c r="F29" s="66">
        <f ca="1">OFFSET('单价'!$F$311,19*(A11+1),0)</f>
        <v>138.48</v>
      </c>
      <c r="G29" s="66">
        <f ca="1">OFFSET('单价'!$F$313,19*(A11+1),0)</f>
        <v>414.114682</v>
      </c>
      <c r="H29" s="158"/>
      <c r="I29" s="66">
        <f ca="1">OFFSET('单价'!$F$317,19*(A11+1),0)</f>
        <v>11.051893640000001</v>
      </c>
      <c r="J29" s="66">
        <f ca="1">OFFSET('单价'!$F$318,19*(A11+1),0)</f>
        <v>22.103787280000002</v>
      </c>
      <c r="K29" s="66">
        <f ca="1">OFFSET('单价'!$F$319,19*(A11+1),0)</f>
        <v>17.5725108876</v>
      </c>
      <c r="L29" s="66">
        <f ca="1">OFFSET('单价'!$F$320,19*(A11+1),0)</f>
        <v>30.16614369038</v>
      </c>
      <c r="M29" s="66">
        <f ca="1">OFFSET('单价'!$F$321,19*(A11+1),0)</f>
        <v>57.0140115748182</v>
      </c>
    </row>
    <row r="30" spans="1:13" ht="19.5" customHeight="1">
      <c r="A30" s="51">
        <v>27</v>
      </c>
      <c r="B30" s="152" t="s">
        <v>279</v>
      </c>
      <c r="C30" s="52" t="s">
        <v>301</v>
      </c>
      <c r="D30" s="52" t="s">
        <v>276</v>
      </c>
      <c r="E30" s="153">
        <f t="shared" si="0"/>
        <v>417.9358286584529</v>
      </c>
      <c r="F30" s="66">
        <f ca="1">OFFSET('单价'!$F$311,19*(A12+1),0)</f>
        <v>138.48</v>
      </c>
      <c r="G30" s="66">
        <f ca="1">OFFSET('单价'!$F$313,19*(A12+1),0)</f>
        <v>195.98502999999997</v>
      </c>
      <c r="H30" s="158"/>
      <c r="I30" s="66">
        <f ca="1">OFFSET('单价'!$F$317,19*(A12+1),0)</f>
        <v>6.689300599999999</v>
      </c>
      <c r="J30" s="66">
        <f ca="1">OFFSET('单价'!$F$318,19*(A12+1),0)</f>
        <v>13.378601199999999</v>
      </c>
      <c r="K30" s="66">
        <f ca="1">OFFSET('单价'!$F$319,19*(A12+1),0)</f>
        <v>10.635987953999999</v>
      </c>
      <c r="L30" s="66">
        <f ca="1">OFFSET('单价'!$F$320,19*(A12+1),0)</f>
        <v>18.258445987699996</v>
      </c>
      <c r="M30" s="66">
        <f ca="1">OFFSET('单价'!$F$321,19*(A12+1),0)</f>
        <v>34.50846291675299</v>
      </c>
    </row>
    <row r="31" spans="1:13" ht="19.5" customHeight="1">
      <c r="A31" s="51">
        <v>28</v>
      </c>
      <c r="B31" s="152" t="s">
        <v>279</v>
      </c>
      <c r="C31" s="52" t="s">
        <v>302</v>
      </c>
      <c r="D31" s="52" t="s">
        <v>276</v>
      </c>
      <c r="E31" s="153">
        <f t="shared" si="0"/>
        <v>612.6206228503873</v>
      </c>
      <c r="F31" s="66">
        <f ca="1">OFFSET('单价'!$F$311,19*(A13+1),0)</f>
        <v>138.48</v>
      </c>
      <c r="G31" s="66">
        <f ca="1">OFFSET('单价'!$F$313,19*(A13+1),0)</f>
        <v>351.7870720000001</v>
      </c>
      <c r="H31" s="158"/>
      <c r="I31" s="66">
        <f ca="1">OFFSET('单价'!$F$317,19*(A13+1),0)</f>
        <v>9.805341440000001</v>
      </c>
      <c r="J31" s="66">
        <f ca="1">OFFSET('单价'!$F$318,19*(A13+1),0)</f>
        <v>19.610682880000002</v>
      </c>
      <c r="K31" s="66">
        <f ca="1">OFFSET('单价'!$F$319,19*(A13+1),0)</f>
        <v>15.590492889600005</v>
      </c>
      <c r="L31" s="66">
        <f ca="1">OFFSET('单价'!$F$320,19*(A13+1),0)</f>
        <v>26.763679460480006</v>
      </c>
      <c r="M31" s="66">
        <f ca="1">OFFSET('单价'!$F$321,19*(A13+1),0)</f>
        <v>50.58335418030722</v>
      </c>
    </row>
    <row r="32" spans="1:13" ht="19.5" customHeight="1">
      <c r="A32" s="51">
        <v>29</v>
      </c>
      <c r="B32" s="152" t="s">
        <v>279</v>
      </c>
      <c r="C32" s="52" t="s">
        <v>303</v>
      </c>
      <c r="D32" s="52" t="s">
        <v>276</v>
      </c>
      <c r="E32" s="153">
        <f t="shared" si="0"/>
        <v>456.85581040556525</v>
      </c>
      <c r="F32" s="66">
        <f ca="1">OFFSET('单价'!$F$311,19*(A14+1),0)</f>
        <v>138.48</v>
      </c>
      <c r="G32" s="66">
        <f ca="1">OFFSET('单价'!$F$313,19*(A14+1),0)</f>
        <v>227.131852</v>
      </c>
      <c r="H32" s="158"/>
      <c r="I32" s="66">
        <f ca="1">OFFSET('单价'!$F$317,19*(A14+1),0)</f>
        <v>7.31223704</v>
      </c>
      <c r="J32" s="66">
        <f ca="1">OFFSET('单价'!$F$318,19*(A14+1),0)</f>
        <v>14.62447408</v>
      </c>
      <c r="K32" s="66">
        <f ca="1">OFFSET('单价'!$F$319,19*(A14+1),0)</f>
        <v>11.626456893600002</v>
      </c>
      <c r="L32" s="66">
        <f ca="1">OFFSET('单价'!$F$320,19*(A14+1),0)</f>
        <v>19.958751000680003</v>
      </c>
      <c r="M32" s="66">
        <f ca="1">OFFSET('单价'!$F$321,19*(A14+1),0)</f>
        <v>37.72203939128521</v>
      </c>
    </row>
    <row r="33" spans="1:13" ht="19.5" customHeight="1">
      <c r="A33" s="51">
        <v>30</v>
      </c>
      <c r="B33" s="152" t="s">
        <v>279</v>
      </c>
      <c r="C33" s="52" t="s">
        <v>304</v>
      </c>
      <c r="D33" s="52" t="s">
        <v>276</v>
      </c>
      <c r="E33" s="153">
        <f t="shared" si="0"/>
        <v>359.4921919455048</v>
      </c>
      <c r="F33" s="66">
        <f ca="1">OFFSET('单价'!$F$311,19*(A15+1),0)</f>
        <v>138.48</v>
      </c>
      <c r="G33" s="66">
        <f ca="1">OFFSET('单价'!$F$313,19*(A15+1),0)</f>
        <v>149.213848</v>
      </c>
      <c r="H33" s="158"/>
      <c r="I33" s="66">
        <f ca="1">OFFSET('单价'!$F$317,19*(A15+1),0)</f>
        <v>5.75387696</v>
      </c>
      <c r="J33" s="66">
        <f ca="1">OFFSET('单价'!$F$318,19*(A15+1),0)</f>
        <v>11.50775392</v>
      </c>
      <c r="K33" s="66">
        <f ca="1">OFFSET('单价'!$F$319,19*(A15+1),0)</f>
        <v>9.1486643664</v>
      </c>
      <c r="L33" s="66">
        <f ca="1">OFFSET('单价'!$F$320,19*(A15+1),0)</f>
        <v>15.705207162320002</v>
      </c>
      <c r="M33" s="66">
        <f ca="1">OFFSET('单价'!$F$321,19*(A15+1),0)</f>
        <v>29.682841536784803</v>
      </c>
    </row>
    <row r="34" spans="1:13" ht="19.5" customHeight="1">
      <c r="A34" s="51">
        <v>31</v>
      </c>
      <c r="B34" s="159" t="s">
        <v>305</v>
      </c>
      <c r="C34" s="78" t="s">
        <v>306</v>
      </c>
      <c r="D34" s="52" t="s">
        <v>276</v>
      </c>
      <c r="E34" s="153">
        <f t="shared" si="0"/>
        <v>282.5365056864672</v>
      </c>
      <c r="F34" s="66">
        <f ca="1">OFFSET('单价'!$F$311,19*(A16+1),0)</f>
        <v>115.39999999999999</v>
      </c>
      <c r="G34" s="66">
        <f ca="1">OFFSET('单价'!$F$313,19*(A16+1),0)</f>
        <v>110.70787199999998</v>
      </c>
      <c r="H34" s="158"/>
      <c r="I34" s="66">
        <f ca="1">OFFSET('单价'!$F$317,19*(A16+1),0)</f>
        <v>4.52215744</v>
      </c>
      <c r="J34" s="66">
        <f ca="1">OFFSET('单价'!$F$318,19*(A16+1),0)</f>
        <v>9.04431488</v>
      </c>
      <c r="K34" s="66">
        <f ca="1">OFFSET('单价'!$F$319,19*(A16+1),0)</f>
        <v>7.190230329599999</v>
      </c>
      <c r="L34" s="66">
        <f ca="1">OFFSET('单价'!$F$320,19*(A16+1),0)</f>
        <v>12.34322873248</v>
      </c>
      <c r="M34" s="66">
        <f ca="1">OFFSET('单价'!$F$321,19*(A16+1),0)</f>
        <v>23.328702304387196</v>
      </c>
    </row>
    <row r="35" spans="1:13" ht="19.5" customHeight="1">
      <c r="A35" s="51">
        <v>32</v>
      </c>
      <c r="B35" s="159" t="s">
        <v>305</v>
      </c>
      <c r="C35" s="52" t="s">
        <v>307</v>
      </c>
      <c r="D35" s="52" t="s">
        <v>276</v>
      </c>
      <c r="E35" s="153">
        <f t="shared" si="0"/>
        <v>230.58660638606878</v>
      </c>
      <c r="F35" s="66">
        <f ca="1">OFFSET('单价'!$F$311,19*(A17+1),0)</f>
        <v>115.39999999999999</v>
      </c>
      <c r="G35" s="66">
        <f ca="1">OFFSET('单价'!$F$313,19*(A17+1),0)</f>
        <v>69.133488</v>
      </c>
      <c r="H35" s="158"/>
      <c r="I35" s="66">
        <f ca="1">OFFSET('单价'!$F$317,19*(A17+1),0)</f>
        <v>3.6906697599999996</v>
      </c>
      <c r="J35" s="66">
        <f ca="1">OFFSET('单价'!$F$318,19*(A17+1),0)</f>
        <v>7.381339519999999</v>
      </c>
      <c r="K35" s="66">
        <f ca="1">OFFSET('单价'!$F$319,19*(A17+1),0)</f>
        <v>5.868164918399999</v>
      </c>
      <c r="L35" s="66">
        <f ca="1">OFFSET('单价'!$F$320,19*(A17+1),0)</f>
        <v>10.07368310992</v>
      </c>
      <c r="M35" s="66">
        <f ca="1">OFFSET('单价'!$F$321,19*(A17+1),0)</f>
        <v>19.0392610777488</v>
      </c>
    </row>
    <row r="36" spans="1:13" ht="19.5" customHeight="1">
      <c r="A36" s="51">
        <v>33</v>
      </c>
      <c r="B36" s="159" t="s">
        <v>305</v>
      </c>
      <c r="C36" s="52" t="s">
        <v>308</v>
      </c>
      <c r="D36" s="52" t="s">
        <v>276</v>
      </c>
      <c r="E36" s="153">
        <f t="shared" si="0"/>
        <v>170.88383540358478</v>
      </c>
      <c r="F36" s="66">
        <f ca="1">OFFSET('单价'!$F$311,19*(A18+1),0)</f>
        <v>115.39999999999999</v>
      </c>
      <c r="G36" s="66">
        <f ca="1">OFFSET('单价'!$F$313,19*(A18+1),0)</f>
        <v>21.354647999999997</v>
      </c>
      <c r="H36" s="158"/>
      <c r="I36" s="66">
        <f ca="1">OFFSET('单价'!$F$317,19*(A18+1),0)</f>
        <v>2.7350929599999994</v>
      </c>
      <c r="J36" s="66">
        <f ca="1">OFFSET('单价'!$F$318,19*(A18+1),0)</f>
        <v>5.470185919999999</v>
      </c>
      <c r="K36" s="66">
        <f ca="1">OFFSET('单价'!$F$319,19*(A18+1),0)</f>
        <v>4.3487978063999995</v>
      </c>
      <c r="L36" s="66">
        <f ca="1">OFFSET('单价'!$F$320,19*(A18+1),0)</f>
        <v>7.4654362343199985</v>
      </c>
      <c r="M36" s="66">
        <f ca="1">OFFSET('单价'!$F$321,19*(A18+1),0)</f>
        <v>14.1096744828648</v>
      </c>
    </row>
    <row r="37" spans="1:13" ht="19.5" customHeight="1">
      <c r="A37" s="51">
        <v>34</v>
      </c>
      <c r="B37" s="159" t="s">
        <v>305</v>
      </c>
      <c r="C37" s="52" t="s">
        <v>309</v>
      </c>
      <c r="D37" s="52" t="s">
        <v>276</v>
      </c>
      <c r="E37" s="153">
        <f t="shared" si="0"/>
        <v>157.69829451361443</v>
      </c>
      <c r="F37" s="66">
        <f ca="1">OFFSET('单价'!$F$311,19*(A19+1),0)</f>
        <v>115.39999999999999</v>
      </c>
      <c r="G37" s="66">
        <f ca="1">OFFSET('单价'!$F$313,19*(A19+1),0)</f>
        <v>10.802544000000001</v>
      </c>
      <c r="H37" s="158"/>
      <c r="I37" s="66">
        <f ca="1">OFFSET('单价'!$F$317,19*(A19+1),0)</f>
        <v>2.52405088</v>
      </c>
      <c r="J37" s="66">
        <f ca="1">OFFSET('单价'!$F$318,19*(A19+1),0)</f>
        <v>5.04810176</v>
      </c>
      <c r="K37" s="66">
        <f ca="1">OFFSET('单价'!$F$319,19*(A19+1),0)</f>
        <v>4.0132408992</v>
      </c>
      <c r="L37" s="66">
        <f ca="1">OFFSET('单价'!$F$320,19*(A19+1),0)</f>
        <v>6.889396876960001</v>
      </c>
      <c r="M37" s="66">
        <f ca="1">OFFSET('单价'!$F$321,19*(A19+1),0)</f>
        <v>13.0209600974544</v>
      </c>
    </row>
    <row r="38" spans="1:13" ht="19.5" customHeight="1">
      <c r="A38" s="51">
        <v>35</v>
      </c>
      <c r="B38" s="159" t="s">
        <v>305</v>
      </c>
      <c r="C38" s="52" t="s">
        <v>310</v>
      </c>
      <c r="D38" s="52" t="s">
        <v>276</v>
      </c>
      <c r="E38" s="153">
        <f t="shared" si="0"/>
        <v>155.83081447340396</v>
      </c>
      <c r="F38" s="66">
        <f ca="1">OFFSET('单价'!$F$311,19*(A20+1),0)</f>
        <v>115.39999999999999</v>
      </c>
      <c r="G38" s="66">
        <f ca="1">OFFSET('单价'!$F$313,19*(A20+1),0)</f>
        <v>9.30804</v>
      </c>
      <c r="H38" s="158"/>
      <c r="I38" s="66">
        <f ca="1">OFFSET('单价'!$F$317,19*(A20+1),0)</f>
        <v>2.4941608</v>
      </c>
      <c r="J38" s="66">
        <f ca="1">OFFSET('单价'!$F$318,19*(A20+1),0)</f>
        <v>4.9883216</v>
      </c>
      <c r="K38" s="66">
        <f ca="1">OFFSET('单价'!$F$319,19*(A20+1),0)</f>
        <v>3.965715672</v>
      </c>
      <c r="L38" s="66">
        <f ca="1">OFFSET('单价'!$F$320,19*(A20+1),0)</f>
        <v>6.807811903599998</v>
      </c>
      <c r="M38" s="66">
        <f ca="1">OFFSET('单价'!$F$321,19*(A20+1),0)</f>
        <v>12.866764497803997</v>
      </c>
    </row>
    <row r="39" spans="1:13" ht="19.5" customHeight="1">
      <c r="A39" s="51">
        <v>36</v>
      </c>
      <c r="B39" s="159" t="s">
        <v>305</v>
      </c>
      <c r="C39" s="52" t="s">
        <v>311</v>
      </c>
      <c r="D39" s="52" t="s">
        <v>276</v>
      </c>
      <c r="E39" s="153">
        <f t="shared" si="0"/>
        <v>298.0988393548872</v>
      </c>
      <c r="F39" s="66">
        <f ca="1">OFFSET('单价'!$F$311,19*(A21+1),0)</f>
        <v>115.39999999999999</v>
      </c>
      <c r="G39" s="66">
        <f ca="1">OFFSET('单价'!$F$313,19*(A21+1),0)</f>
        <v>123.162072</v>
      </c>
      <c r="H39" s="158"/>
      <c r="I39" s="66">
        <f ca="1">OFFSET('单价'!$F$317,19*(A21+1),0)</f>
        <v>4.77124144</v>
      </c>
      <c r="J39" s="66">
        <f ca="1">OFFSET('单价'!$F$318,19*(A21+1),0)</f>
        <v>9.54248288</v>
      </c>
      <c r="K39" s="66">
        <f ca="1">OFFSET('单价'!$F$319,19*(A21+1),0)</f>
        <v>7.586273889599999</v>
      </c>
      <c r="L39" s="66">
        <f ca="1">OFFSET('单价'!$F$320,19*(A21+1),0)</f>
        <v>13.02310351048</v>
      </c>
      <c r="M39" s="66">
        <f ca="1">OFFSET('单价'!$F$321,19*(A21+1),0)</f>
        <v>24.6136656348072</v>
      </c>
    </row>
    <row r="40" spans="1:13" ht="19.5" customHeight="1">
      <c r="A40" s="51">
        <v>37</v>
      </c>
      <c r="B40" s="159" t="s">
        <v>305</v>
      </c>
      <c r="C40" s="52" t="s">
        <v>312</v>
      </c>
      <c r="D40" s="52" t="s">
        <v>276</v>
      </c>
      <c r="E40" s="153">
        <f t="shared" si="0"/>
        <v>334.4298146826167</v>
      </c>
      <c r="F40" s="66">
        <f ca="1">OFFSET('单价'!$F$311,19*(A22+1),0)</f>
        <v>115.39999999999999</v>
      </c>
      <c r="G40" s="66">
        <f ca="1">OFFSET('单价'!$F$313,19*(A22+1),0)</f>
        <v>152.236968</v>
      </c>
      <c r="H40" s="158"/>
      <c r="I40" s="66">
        <f ca="1">OFFSET('单价'!$F$317,19*(A22+1),0)</f>
        <v>5.352739359999999</v>
      </c>
      <c r="J40" s="66">
        <f ca="1">OFFSET('单价'!$F$318,19*(A22+1),0)</f>
        <v>10.705478719999999</v>
      </c>
      <c r="K40" s="66">
        <f ca="1">OFFSET('单价'!$F$319,19*(A22+1),0)</f>
        <v>8.510855582399998</v>
      </c>
      <c r="L40" s="66">
        <f ca="1">OFFSET('单价'!$F$320,19*(A22+1),0)</f>
        <v>14.610302083119995</v>
      </c>
      <c r="M40" s="66">
        <f ca="1">OFFSET('单价'!$F$321,19*(A22+1),0)</f>
        <v>27.613470937096796</v>
      </c>
    </row>
    <row r="41" spans="1:13" ht="19.5" customHeight="1">
      <c r="A41" s="51">
        <v>38</v>
      </c>
      <c r="B41" s="159" t="s">
        <v>305</v>
      </c>
      <c r="C41" s="52" t="s">
        <v>313</v>
      </c>
      <c r="D41" s="52" t="s">
        <v>276</v>
      </c>
      <c r="E41" s="153">
        <f t="shared" si="0"/>
        <v>334.4298146826167</v>
      </c>
      <c r="F41" s="66">
        <f ca="1">OFFSET('单价'!$F$311,19*(A23+1),0)</f>
        <v>115.39999999999999</v>
      </c>
      <c r="G41" s="66">
        <f ca="1">OFFSET('单价'!$F$313,19*(A23+1),0)</f>
        <v>152.236968</v>
      </c>
      <c r="H41" s="158"/>
      <c r="I41" s="66">
        <f ca="1">OFFSET('单价'!$F$317,19*(A23+1),0)</f>
        <v>5.352739359999999</v>
      </c>
      <c r="J41" s="66">
        <f ca="1">OFFSET('单价'!$F$318,19*(A23+1),0)</f>
        <v>10.705478719999999</v>
      </c>
      <c r="K41" s="66">
        <f ca="1">OFFSET('单价'!$F$319,19*(A23+1),0)</f>
        <v>8.510855582399998</v>
      </c>
      <c r="L41" s="66">
        <f ca="1">OFFSET('单价'!$F$320,19*(A23+1),0)</f>
        <v>14.610302083119995</v>
      </c>
      <c r="M41" s="66">
        <f ca="1">OFFSET('单价'!$F$321,19*(A23+1),0)</f>
        <v>27.613470937096796</v>
      </c>
    </row>
    <row r="42" spans="1:13" ht="19.5" customHeight="1">
      <c r="A42" s="51">
        <v>39</v>
      </c>
      <c r="B42" s="159" t="s">
        <v>305</v>
      </c>
      <c r="C42" s="52" t="s">
        <v>314</v>
      </c>
      <c r="D42" s="52" t="s">
        <v>276</v>
      </c>
      <c r="E42" s="153">
        <f t="shared" si="0"/>
        <v>266.91758171379837</v>
      </c>
      <c r="F42" s="66">
        <f ca="1">OFFSET('单价'!$F$311,19*(A24+1),0)</f>
        <v>115.39999999999999</v>
      </c>
      <c r="G42" s="66">
        <f ca="1">OFFSET('单价'!$F$313,19*(A24+1),0)</f>
        <v>98.208384</v>
      </c>
      <c r="H42" s="158"/>
      <c r="I42" s="66">
        <f ca="1">OFFSET('单价'!$F$317,19*(A24+1),0)</f>
        <v>4.27216768</v>
      </c>
      <c r="J42" s="66">
        <f ca="1">OFFSET('单价'!$F$318,19*(A24+1),0)</f>
        <v>8.54433536</v>
      </c>
      <c r="K42" s="66">
        <f ca="1">OFFSET('单价'!$F$319,19*(A24+1),0)</f>
        <v>6.7927466112</v>
      </c>
      <c r="L42" s="66">
        <f ca="1">OFFSET('单价'!$F$320,19*(A24+1),0)</f>
        <v>11.660881682559998</v>
      </c>
      <c r="M42" s="66">
        <f ca="1">OFFSET('单价'!$F$321,19*(A24+1),0)</f>
        <v>22.0390663800384</v>
      </c>
    </row>
    <row r="43" spans="1:13" ht="19.5" customHeight="1">
      <c r="A43" s="51">
        <v>40</v>
      </c>
      <c r="B43" s="159" t="s">
        <v>305</v>
      </c>
      <c r="C43" s="52" t="s">
        <v>315</v>
      </c>
      <c r="D43" s="52" t="s">
        <v>276</v>
      </c>
      <c r="E43" s="153">
        <f t="shared" si="0"/>
        <v>308.4548650324176</v>
      </c>
      <c r="F43" s="66">
        <f ca="1">OFFSET('单价'!$F$311,19*(A25+1),0)</f>
        <v>115.39999999999999</v>
      </c>
      <c r="G43" s="66">
        <f ca="1">OFFSET('单价'!$F$313,19*(A25+1),0)</f>
        <v>131.449776</v>
      </c>
      <c r="H43" s="158"/>
      <c r="I43" s="66">
        <f ca="1">OFFSET('单价'!$F$317,19*(A25+1),0)</f>
        <v>4.93699552</v>
      </c>
      <c r="J43" s="66">
        <f ca="1">OFFSET('单价'!$F$318,19*(A25+1),0)</f>
        <v>9.87399104</v>
      </c>
      <c r="K43" s="66">
        <f ca="1">OFFSET('单价'!$F$319,19*(A25+1),0)</f>
        <v>7.849822876800001</v>
      </c>
      <c r="L43" s="66">
        <f ca="1">OFFSET('单价'!$F$320,19*(A25+1),0)</f>
        <v>13.475529271840001</v>
      </c>
      <c r="M43" s="66">
        <f ca="1">OFFSET('单价'!$F$321,19*(A25+1),0)</f>
        <v>25.4687503237776</v>
      </c>
    </row>
    <row r="44" spans="1:13" ht="19.5" customHeight="1">
      <c r="A44" s="51">
        <v>41</v>
      </c>
      <c r="B44" s="159" t="s">
        <v>305</v>
      </c>
      <c r="C44" s="52" t="s">
        <v>316</v>
      </c>
      <c r="D44" s="52" t="s">
        <v>273</v>
      </c>
      <c r="E44" s="153">
        <f t="shared" si="0"/>
        <v>616.560411642</v>
      </c>
      <c r="F44" s="66">
        <f ca="1">OFFSET('单价'!$F$311,19*(A26+1),0)</f>
        <v>415.43999999999994</v>
      </c>
      <c r="G44" s="66">
        <f ca="1">OFFSET('单价'!$F$313,19*(A26+1),0)</f>
        <v>77.98</v>
      </c>
      <c r="H44" s="158"/>
      <c r="I44" s="66">
        <f ca="1">OFFSET('单价'!$F$317,19*(A26+1),0)</f>
        <v>9.8684</v>
      </c>
      <c r="J44" s="66">
        <f ca="1">OFFSET('单价'!$F$318,19*(A26+1),0)</f>
        <v>19.7368</v>
      </c>
      <c r="K44" s="66">
        <f ca="1">OFFSET('单价'!$F$319,19*(A26+1),0)</f>
        <v>15.690755999999997</v>
      </c>
      <c r="L44" s="66">
        <f ca="1">OFFSET('单价'!$F$320,19*(A26+1),0)</f>
        <v>26.935797799999996</v>
      </c>
      <c r="M44" s="66">
        <f ca="1">OFFSET('单价'!$F$321,19*(A26+1),0)</f>
        <v>50.908657842</v>
      </c>
    </row>
    <row r="45" spans="1:13" ht="19.5" customHeight="1">
      <c r="A45" s="51">
        <v>42</v>
      </c>
      <c r="B45" s="159" t="s">
        <v>305</v>
      </c>
      <c r="C45" s="52" t="s">
        <v>317</v>
      </c>
      <c r="D45" s="52" t="s">
        <v>273</v>
      </c>
      <c r="E45" s="153">
        <f t="shared" si="0"/>
        <v>616.560411642</v>
      </c>
      <c r="F45" s="66">
        <f ca="1">OFFSET('单价'!$F$311,19*(A27+1),0)</f>
        <v>415.43999999999994</v>
      </c>
      <c r="G45" s="66">
        <f ca="1">OFFSET('单价'!$F$313,19*(A27+1),0)</f>
        <v>77.98</v>
      </c>
      <c r="H45" s="158"/>
      <c r="I45" s="66">
        <f ca="1">OFFSET('单价'!$F$317,19*(A27+1),0)</f>
        <v>9.8684</v>
      </c>
      <c r="J45" s="66">
        <f ca="1">OFFSET('单价'!$F$318,19*(A27+1),0)</f>
        <v>19.7368</v>
      </c>
      <c r="K45" s="66">
        <f ca="1">OFFSET('单价'!$F$319,19*(A27+1),0)</f>
        <v>15.690755999999997</v>
      </c>
      <c r="L45" s="66">
        <f ca="1">OFFSET('单价'!$F$320,19*(A27+1),0)</f>
        <v>26.935797799999996</v>
      </c>
      <c r="M45" s="66">
        <f ca="1">OFFSET('单价'!$F$321,19*(A27+1),0)</f>
        <v>50.908657842</v>
      </c>
    </row>
    <row r="46" spans="1:13" ht="19.5" customHeight="1">
      <c r="A46" s="51">
        <v>43</v>
      </c>
      <c r="B46" s="159" t="s">
        <v>305</v>
      </c>
      <c r="C46" s="52" t="s">
        <v>318</v>
      </c>
      <c r="D46" s="52" t="s">
        <v>273</v>
      </c>
      <c r="E46" s="153">
        <f t="shared" si="0"/>
        <v>616.560411642</v>
      </c>
      <c r="F46" s="66">
        <f ca="1">OFFSET('单价'!$F$311,19*(A28+1),0)</f>
        <v>415.43999999999994</v>
      </c>
      <c r="G46" s="66">
        <f ca="1">OFFSET('单价'!$F$313,19*(A28+1),0)</f>
        <v>77.98</v>
      </c>
      <c r="H46" s="158"/>
      <c r="I46" s="66">
        <f ca="1">OFFSET('单价'!$F$317,19*(A28+1),0)</f>
        <v>9.8684</v>
      </c>
      <c r="J46" s="66">
        <f ca="1">OFFSET('单价'!$F$318,19*(A28+1),0)</f>
        <v>19.7368</v>
      </c>
      <c r="K46" s="66">
        <f ca="1">OFFSET('单价'!$F$319,19*(A28+1),0)</f>
        <v>15.690755999999997</v>
      </c>
      <c r="L46" s="66">
        <f ca="1">OFFSET('单价'!$F$320,19*(A28+1),0)</f>
        <v>26.935797799999996</v>
      </c>
      <c r="M46" s="66">
        <f ca="1">OFFSET('单价'!$F$321,19*(A28+1),0)</f>
        <v>50.908657842</v>
      </c>
    </row>
    <row r="47" spans="1:13" ht="19.5" customHeight="1">
      <c r="A47" s="51">
        <v>44</v>
      </c>
      <c r="B47" s="159" t="s">
        <v>305</v>
      </c>
      <c r="C47" s="52" t="s">
        <v>319</v>
      </c>
      <c r="D47" s="52" t="s">
        <v>273</v>
      </c>
      <c r="E47" s="153">
        <f t="shared" si="0"/>
        <v>616.560411642</v>
      </c>
      <c r="F47" s="66">
        <f ca="1">OFFSET('单价'!$F$311,19*(A29+1),0)</f>
        <v>415.43999999999994</v>
      </c>
      <c r="G47" s="66">
        <f ca="1">OFFSET('单价'!$F$313,19*(A29+1),0)</f>
        <v>77.98</v>
      </c>
      <c r="H47" s="158"/>
      <c r="I47" s="66">
        <f ca="1">OFFSET('单价'!$F$317,19*(A29+1),0)</f>
        <v>9.8684</v>
      </c>
      <c r="J47" s="66">
        <f ca="1">OFFSET('单价'!$F$318,19*(A29+1),0)</f>
        <v>19.7368</v>
      </c>
      <c r="K47" s="66">
        <f ca="1">OFFSET('单价'!$F$319,19*(A29+1),0)</f>
        <v>15.690755999999997</v>
      </c>
      <c r="L47" s="66">
        <f ca="1">OFFSET('单价'!$F$320,19*(A29+1),0)</f>
        <v>26.935797799999996</v>
      </c>
      <c r="M47" s="66">
        <f ca="1">OFFSET('单价'!$F$321,19*(A29+1),0)</f>
        <v>50.908657842</v>
      </c>
    </row>
    <row r="48" spans="1:13" ht="19.5" customHeight="1">
      <c r="A48" s="51">
        <v>45</v>
      </c>
      <c r="B48" s="159" t="s">
        <v>305</v>
      </c>
      <c r="C48" s="52" t="s">
        <v>320</v>
      </c>
      <c r="D48" s="52" t="s">
        <v>273</v>
      </c>
      <c r="E48" s="153">
        <f t="shared" si="0"/>
        <v>616.560411642</v>
      </c>
      <c r="F48" s="66">
        <f ca="1">OFFSET('单价'!$F$311,19*(A30+1),0)</f>
        <v>415.43999999999994</v>
      </c>
      <c r="G48" s="66">
        <f ca="1">OFFSET('单价'!$F$313,19*(A30+1),0)</f>
        <v>77.98</v>
      </c>
      <c r="H48" s="158"/>
      <c r="I48" s="66">
        <f ca="1">OFFSET('单价'!$F$317,19*(A30+1),0)</f>
        <v>9.8684</v>
      </c>
      <c r="J48" s="66">
        <f ca="1">OFFSET('单价'!$F$318,19*(A30+1),0)</f>
        <v>19.7368</v>
      </c>
      <c r="K48" s="66">
        <f ca="1">OFFSET('单价'!$F$319,19*(A30+1),0)</f>
        <v>15.690755999999997</v>
      </c>
      <c r="L48" s="66">
        <f ca="1">OFFSET('单价'!$F$320,19*(A30+1),0)</f>
        <v>26.935797799999996</v>
      </c>
      <c r="M48" s="66">
        <f ca="1">OFFSET('单价'!$F$321,19*(A30+1),0)</f>
        <v>50.908657842</v>
      </c>
    </row>
    <row r="49" spans="1:13" ht="19.5" customHeight="1">
      <c r="A49" s="51">
        <v>46</v>
      </c>
      <c r="B49" s="159" t="s">
        <v>305</v>
      </c>
      <c r="C49" s="52" t="s">
        <v>321</v>
      </c>
      <c r="D49" s="52" t="s">
        <v>273</v>
      </c>
      <c r="E49" s="153">
        <f t="shared" si="0"/>
        <v>616.560411642</v>
      </c>
      <c r="F49" s="66">
        <f ca="1">OFFSET('单价'!$F$311,19*(A31+1),0)</f>
        <v>415.43999999999994</v>
      </c>
      <c r="G49" s="66">
        <f ca="1">OFFSET('单价'!$F$313,19*(A31+1),0)</f>
        <v>77.98</v>
      </c>
      <c r="H49" s="158"/>
      <c r="I49" s="66">
        <f ca="1">OFFSET('单价'!$F$317,19*(A31+1),0)</f>
        <v>9.8684</v>
      </c>
      <c r="J49" s="66">
        <f ca="1">OFFSET('单价'!$F$318,19*(A31+1),0)</f>
        <v>19.7368</v>
      </c>
      <c r="K49" s="66">
        <f ca="1">OFFSET('单价'!$F$319,19*(A31+1),0)</f>
        <v>15.690755999999997</v>
      </c>
      <c r="L49" s="66">
        <f ca="1">OFFSET('单价'!$F$320,19*(A31+1),0)</f>
        <v>26.935797799999996</v>
      </c>
      <c r="M49" s="66">
        <f ca="1">OFFSET('单价'!$F$321,19*(A31+1),0)</f>
        <v>50.908657842</v>
      </c>
    </row>
    <row r="50" spans="1:13" ht="19.5" customHeight="1">
      <c r="A50" s="51">
        <v>47</v>
      </c>
      <c r="B50" s="159" t="s">
        <v>305</v>
      </c>
      <c r="C50" s="52" t="s">
        <v>322</v>
      </c>
      <c r="D50" s="52" t="s">
        <v>273</v>
      </c>
      <c r="E50" s="153">
        <f t="shared" si="0"/>
        <v>616.560411642</v>
      </c>
      <c r="F50" s="66">
        <f ca="1">OFFSET('单价'!$F$311,19*(A32+1),0)</f>
        <v>415.43999999999994</v>
      </c>
      <c r="G50" s="66">
        <f ca="1">OFFSET('单价'!$F$313,19*(A32+1),0)</f>
        <v>77.98</v>
      </c>
      <c r="H50" s="158"/>
      <c r="I50" s="66">
        <f ca="1">OFFSET('单价'!$F$317,19*(A32+1),0)</f>
        <v>9.8684</v>
      </c>
      <c r="J50" s="66">
        <f ca="1">OFFSET('单价'!$F$318,19*(A32+1),0)</f>
        <v>19.7368</v>
      </c>
      <c r="K50" s="66">
        <f ca="1">OFFSET('单价'!$F$319,19*(A32+1),0)</f>
        <v>15.690755999999997</v>
      </c>
      <c r="L50" s="66">
        <f ca="1">OFFSET('单价'!$F$320,19*(A32+1),0)</f>
        <v>26.935797799999996</v>
      </c>
      <c r="M50" s="66">
        <f ca="1">OFFSET('单价'!$F$321,19*(A32+1),0)</f>
        <v>50.908657842</v>
      </c>
    </row>
    <row r="51" spans="1:13" ht="19.5" customHeight="1">
      <c r="A51" s="51">
        <v>48</v>
      </c>
      <c r="B51" s="159" t="s">
        <v>305</v>
      </c>
      <c r="C51" s="52" t="s">
        <v>323</v>
      </c>
      <c r="D51" s="52" t="s">
        <v>273</v>
      </c>
      <c r="E51" s="153">
        <f t="shared" si="0"/>
        <v>616.560411642</v>
      </c>
      <c r="F51" s="66">
        <f ca="1">OFFSET('单价'!$F$311,19*(A33+1),0)</f>
        <v>415.43999999999994</v>
      </c>
      <c r="G51" s="66">
        <f ca="1">OFFSET('单价'!$F$313,19*(A33+1),0)</f>
        <v>77.98</v>
      </c>
      <c r="H51" s="158"/>
      <c r="I51" s="66">
        <f ca="1">OFFSET('单价'!$F$317,19*(A33+1),0)</f>
        <v>9.8684</v>
      </c>
      <c r="J51" s="66">
        <f ca="1">OFFSET('单价'!$F$318,19*(A33+1),0)</f>
        <v>19.7368</v>
      </c>
      <c r="K51" s="66">
        <f ca="1">OFFSET('单价'!$F$319,19*(A33+1),0)</f>
        <v>15.690755999999997</v>
      </c>
      <c r="L51" s="66">
        <f ca="1">OFFSET('单价'!$F$320,19*(A33+1),0)</f>
        <v>26.935797799999996</v>
      </c>
      <c r="M51" s="66">
        <f ca="1">OFFSET('单价'!$F$321,19*(A33+1),0)</f>
        <v>50.908657842</v>
      </c>
    </row>
    <row r="52" spans="1:13" ht="19.5" customHeight="1">
      <c r="A52" s="51">
        <v>49</v>
      </c>
      <c r="B52" s="159" t="s">
        <v>305</v>
      </c>
      <c r="C52" s="52" t="s">
        <v>324</v>
      </c>
      <c r="D52" s="52" t="s">
        <v>273</v>
      </c>
      <c r="E52" s="153">
        <f t="shared" si="0"/>
        <v>616.560411642</v>
      </c>
      <c r="F52" s="66">
        <f ca="1">OFFSET('单价'!$F$311,19*(A34+1),0)</f>
        <v>415.43999999999994</v>
      </c>
      <c r="G52" s="66">
        <f ca="1">OFFSET('单价'!$F$313,19*(A34+1),0)</f>
        <v>77.98</v>
      </c>
      <c r="H52" s="158"/>
      <c r="I52" s="66">
        <f ca="1">OFFSET('单价'!$F$317,19*(A34+1),0)</f>
        <v>9.8684</v>
      </c>
      <c r="J52" s="66">
        <f ca="1">OFFSET('单价'!$F$318,19*(A34+1),0)</f>
        <v>19.7368</v>
      </c>
      <c r="K52" s="66">
        <f ca="1">OFFSET('单价'!$F$319,19*(A34+1),0)</f>
        <v>15.690755999999997</v>
      </c>
      <c r="L52" s="66">
        <f ca="1">OFFSET('单价'!$F$320,19*(A34+1),0)</f>
        <v>26.935797799999996</v>
      </c>
      <c r="M52" s="66">
        <f ca="1">OFFSET('单价'!$F$321,19*(A34+1),0)</f>
        <v>50.908657842</v>
      </c>
    </row>
    <row r="53" spans="1:13" ht="19.5" customHeight="1">
      <c r="A53" s="51">
        <v>50</v>
      </c>
      <c r="B53" s="159" t="s">
        <v>305</v>
      </c>
      <c r="C53" s="52" t="s">
        <v>325</v>
      </c>
      <c r="D53" s="52" t="s">
        <v>273</v>
      </c>
      <c r="E53" s="153">
        <f t="shared" si="0"/>
        <v>616.560411642</v>
      </c>
      <c r="F53" s="66">
        <f ca="1">OFFSET('单价'!$F$311,19*(A35+1),0)</f>
        <v>415.43999999999994</v>
      </c>
      <c r="G53" s="66">
        <f ca="1">OFFSET('单价'!$F$313,19*(A35+1),0)</f>
        <v>77.98</v>
      </c>
      <c r="H53" s="158"/>
      <c r="I53" s="66">
        <f ca="1">OFFSET('单价'!$F$317,19*(A35+1),0)</f>
        <v>9.8684</v>
      </c>
      <c r="J53" s="66">
        <f ca="1">OFFSET('单价'!$F$318,19*(A35+1),0)</f>
        <v>19.7368</v>
      </c>
      <c r="K53" s="66">
        <f ca="1">OFFSET('单价'!$F$319,19*(A35+1),0)</f>
        <v>15.690755999999997</v>
      </c>
      <c r="L53" s="66">
        <f ca="1">OFFSET('单价'!$F$320,19*(A35+1),0)</f>
        <v>26.935797799999996</v>
      </c>
      <c r="M53" s="66">
        <f ca="1">OFFSET('单价'!$F$321,19*(A35+1),0)</f>
        <v>50.908657842</v>
      </c>
    </row>
    <row r="54" spans="1:13" ht="19.5" customHeight="1">
      <c r="A54" s="51">
        <v>51</v>
      </c>
      <c r="B54" s="159" t="s">
        <v>305</v>
      </c>
      <c r="C54" s="78" t="s">
        <v>326</v>
      </c>
      <c r="D54" s="52" t="s">
        <v>273</v>
      </c>
      <c r="E54" s="153">
        <f t="shared" si="0"/>
        <v>616.560411642</v>
      </c>
      <c r="F54" s="66">
        <f ca="1">OFFSET('单价'!$F$311,19*(A36+1),0)</f>
        <v>415.43999999999994</v>
      </c>
      <c r="G54" s="66">
        <f ca="1">OFFSET('单价'!$F$313,19*(A36+1),0)</f>
        <v>77.98</v>
      </c>
      <c r="H54" s="158"/>
      <c r="I54" s="66">
        <f ca="1">OFFSET('单价'!$F$317,19*(A36+1),0)</f>
        <v>9.8684</v>
      </c>
      <c r="J54" s="66">
        <f ca="1">OFFSET('单价'!$F$318,19*(A36+1),0)</f>
        <v>19.7368</v>
      </c>
      <c r="K54" s="66">
        <f ca="1">OFFSET('单价'!$F$319,19*(A36+1),0)</f>
        <v>15.690755999999997</v>
      </c>
      <c r="L54" s="66">
        <f ca="1">OFFSET('单价'!$F$320,19*(A36+1),0)</f>
        <v>26.935797799999996</v>
      </c>
      <c r="M54" s="66">
        <f ca="1">OFFSET('单价'!$F$321,19*(A36+1),0)</f>
        <v>50.908657842</v>
      </c>
    </row>
    <row r="55" spans="1:13" ht="19.5" customHeight="1">
      <c r="A55" s="51">
        <v>52</v>
      </c>
      <c r="B55" s="159" t="s">
        <v>327</v>
      </c>
      <c r="C55" s="52" t="s">
        <v>328</v>
      </c>
      <c r="D55" s="52" t="s">
        <v>329</v>
      </c>
      <c r="E55" s="153">
        <f t="shared" si="0"/>
        <v>1453.5341104032</v>
      </c>
      <c r="F55" s="153">
        <f>'单价'!F976</f>
        <v>830.8799999999999</v>
      </c>
      <c r="G55" s="153">
        <f>'单价'!F978</f>
        <v>332.352</v>
      </c>
      <c r="H55" s="153"/>
      <c r="I55" s="153">
        <f>'单价'!F980</f>
        <v>23.26464</v>
      </c>
      <c r="J55" s="153">
        <f>'单价'!F981</f>
        <v>46.52928</v>
      </c>
      <c r="K55" s="153">
        <f>'单价'!F982</f>
        <v>36.9907776</v>
      </c>
      <c r="L55" s="153">
        <f>'单价'!F983</f>
        <v>63.50083488</v>
      </c>
      <c r="M55" s="153">
        <f>'单价'!F984</f>
        <v>120.0165779232</v>
      </c>
    </row>
    <row r="56" spans="1:13" ht="19.5" customHeight="1">
      <c r="A56" s="51">
        <v>53</v>
      </c>
      <c r="B56" s="159" t="s">
        <v>330</v>
      </c>
      <c r="C56" s="52" t="s">
        <v>331</v>
      </c>
      <c r="D56" s="52" t="s">
        <v>329</v>
      </c>
      <c r="E56" s="153">
        <f t="shared" si="0"/>
        <v>1049.7746352912</v>
      </c>
      <c r="F56" s="153">
        <f>'单价'!F993</f>
        <v>646.24</v>
      </c>
      <c r="G56" s="153">
        <f>'单价'!F995</f>
        <v>193.872</v>
      </c>
      <c r="H56" s="153"/>
      <c r="I56" s="153">
        <f>'单价'!F997</f>
        <v>16.80224</v>
      </c>
      <c r="J56" s="153">
        <f>'单价'!F998</f>
        <v>33.60448</v>
      </c>
      <c r="K56" s="153">
        <f>'单价'!F999</f>
        <v>26.7155616</v>
      </c>
      <c r="L56" s="153">
        <f>'单价'!F1000</f>
        <v>45.86171408</v>
      </c>
      <c r="M56" s="153">
        <f>'单价'!F1001</f>
        <v>86.6786396112</v>
      </c>
    </row>
    <row r="57" spans="1:13" ht="19.5" customHeight="1">
      <c r="A57" s="51">
        <v>54</v>
      </c>
      <c r="B57" s="159" t="s">
        <v>332</v>
      </c>
      <c r="C57" s="52" t="s">
        <v>333</v>
      </c>
      <c r="D57" s="52" t="s">
        <v>329</v>
      </c>
      <c r="E57" s="153">
        <f t="shared" si="0"/>
        <v>824.8229277288</v>
      </c>
      <c r="F57" s="153">
        <f>'单价'!F1010</f>
        <v>507.76</v>
      </c>
      <c r="G57" s="153">
        <f>'单价'!F1012</f>
        <v>152.328</v>
      </c>
      <c r="H57" s="153"/>
      <c r="I57" s="153">
        <f>'单价'!F1014</f>
        <v>13.20176</v>
      </c>
      <c r="J57" s="153">
        <f>'单价'!F1015</f>
        <v>26.40352</v>
      </c>
      <c r="K57" s="153">
        <f>'单价'!F1016</f>
        <v>20.9907984</v>
      </c>
      <c r="L57" s="153">
        <f>'单价'!F1017</f>
        <v>36.03420392</v>
      </c>
      <c r="M57" s="153">
        <f>'单价'!F1018</f>
        <v>68.1046454088</v>
      </c>
    </row>
    <row r="58" spans="1:13" s="146" customFormat="1" ht="19.5" customHeight="1">
      <c r="A58" s="154">
        <v>55</v>
      </c>
      <c r="B58" s="160" t="s">
        <v>334</v>
      </c>
      <c r="C58" s="156" t="s">
        <v>335</v>
      </c>
      <c r="D58" s="157" t="s">
        <v>336</v>
      </c>
      <c r="E58" s="157">
        <f t="shared" si="0"/>
        <v>246.65377934967</v>
      </c>
      <c r="F58" s="157">
        <f>'单价'!F1028</f>
        <v>179.447</v>
      </c>
      <c r="G58" s="157">
        <f>'单价'!F1029</f>
        <v>17.9447</v>
      </c>
      <c r="H58" s="157"/>
      <c r="I58" s="157">
        <f>'单价'!F1031</f>
        <v>3.9478340000000003</v>
      </c>
      <c r="J58" s="157">
        <f>'单价'!F1032</f>
        <v>7.895668000000001</v>
      </c>
      <c r="K58" s="157">
        <f>'单价'!F1033</f>
        <v>6.27705606</v>
      </c>
      <c r="L58" s="157">
        <f>'单价'!F1034</f>
        <v>10.775612903</v>
      </c>
      <c r="M58" s="157">
        <f>'单价'!F1035</f>
        <v>20.36590838667</v>
      </c>
    </row>
    <row r="59" spans="1:13" ht="19.5" customHeight="1">
      <c r="A59" s="51">
        <v>56</v>
      </c>
      <c r="B59" s="159" t="s">
        <v>337</v>
      </c>
      <c r="C59" s="52" t="s">
        <v>338</v>
      </c>
      <c r="D59" s="153" t="s">
        <v>336</v>
      </c>
      <c r="E59" s="153">
        <f t="shared" si="0"/>
        <v>76.14943220057799</v>
      </c>
      <c r="F59" s="153">
        <f>'单价'!F1044</f>
        <v>53.08399999999999</v>
      </c>
      <c r="G59" s="153">
        <f>'单价'!F1045</f>
        <v>5.308399999999999</v>
      </c>
      <c r="H59" s="153"/>
      <c r="I59" s="153">
        <f>'单价'!F1047</f>
        <v>1.7517719999999997</v>
      </c>
      <c r="J59" s="153">
        <f>'单价'!F1048</f>
        <v>2.3356959999999996</v>
      </c>
      <c r="K59" s="153">
        <f>'单价'!F1049</f>
        <v>2.811594059999999</v>
      </c>
      <c r="L59" s="153">
        <f>'单价'!F1050</f>
        <v>4.5704023442</v>
      </c>
      <c r="M59" s="153">
        <f>'单价'!F1051</f>
        <v>6.287567796377999</v>
      </c>
    </row>
    <row r="60" spans="1:13" ht="19.5" customHeight="1">
      <c r="A60" s="51">
        <v>57</v>
      </c>
      <c r="B60" s="161" t="s">
        <v>339</v>
      </c>
      <c r="C60" s="78" t="s">
        <v>53</v>
      </c>
      <c r="D60" s="52" t="s">
        <v>340</v>
      </c>
      <c r="E60" s="153">
        <f aca="true" t="shared" si="1" ref="E60:E63">SUM(F60:M60)</f>
        <v>146.38653111475668</v>
      </c>
      <c r="F60" s="153">
        <f>'单价'!F1096</f>
        <v>109.755</v>
      </c>
      <c r="G60" s="153">
        <f>'单价'!F1097</f>
        <v>2.4961440000000006</v>
      </c>
      <c r="H60" s="153"/>
      <c r="I60" s="153">
        <f>'单价'!F1100</f>
        <v>3.36753432</v>
      </c>
      <c r="J60" s="153">
        <f>'单价'!F1101</f>
        <v>4.49004576</v>
      </c>
      <c r="K60" s="153">
        <f>'单价'!F1102</f>
        <v>5.4048925836</v>
      </c>
      <c r="L60" s="153">
        <f>'单价'!F1103</f>
        <v>8.785953166452</v>
      </c>
      <c r="M60" s="9">
        <f>'单价'!F1104</f>
        <v>12.08696128470468</v>
      </c>
    </row>
    <row r="61" spans="1:13" ht="19.5" customHeight="1">
      <c r="A61" s="51">
        <v>58</v>
      </c>
      <c r="B61" s="159" t="s">
        <v>341</v>
      </c>
      <c r="C61" s="78" t="s">
        <v>108</v>
      </c>
      <c r="D61" s="52" t="s">
        <v>340</v>
      </c>
      <c r="E61" s="153">
        <f t="shared" si="1"/>
        <v>327.9104556588748</v>
      </c>
      <c r="F61" s="153">
        <f>'单价'!F1060</f>
        <v>38.879999999999995</v>
      </c>
      <c r="G61" s="153">
        <f>'单价'!F1061</f>
        <v>8.9424</v>
      </c>
      <c r="H61" s="153">
        <f>'单价'!F1063</f>
        <v>203.62370980920676</v>
      </c>
      <c r="I61" s="153">
        <f>'单价'!F1065</f>
        <v>7.543383294276202</v>
      </c>
      <c r="J61" s="153">
        <f>'单价'!F1066</f>
        <v>10.05784439236827</v>
      </c>
      <c r="K61" s="153">
        <f>'单价'!F1067</f>
        <v>12.107130187313306</v>
      </c>
      <c r="L61" s="153">
        <f>'单价'!F1068</f>
        <v>19.68081273782152</v>
      </c>
      <c r="M61" s="153">
        <f>'单价'!F1069</f>
        <v>27.075175237888747</v>
      </c>
    </row>
    <row r="62" spans="1:13" ht="19.5" customHeight="1">
      <c r="A62" s="51">
        <v>59</v>
      </c>
      <c r="B62" s="159" t="s">
        <v>342</v>
      </c>
      <c r="C62" s="78" t="s">
        <v>110</v>
      </c>
      <c r="D62" s="52" t="s">
        <v>340</v>
      </c>
      <c r="E62" s="153">
        <f t="shared" si="1"/>
        <v>1448.5332955727422</v>
      </c>
      <c r="F62" s="153">
        <f>'单价'!F1078</f>
        <v>648</v>
      </c>
      <c r="G62" s="153">
        <f>'单价'!F1079</f>
        <v>91.71368636843387</v>
      </c>
      <c r="H62" s="153">
        <f>'单价'!F1081</f>
        <v>371.04095964926523</v>
      </c>
      <c r="I62" s="153">
        <f>'单价'!F1083</f>
        <v>33.32263938053097</v>
      </c>
      <c r="J62" s="153">
        <f>'单价'!F1084</f>
        <v>44.43018584070796</v>
      </c>
      <c r="K62" s="153">
        <f>'单价'!F1085</f>
        <v>53.48283620575221</v>
      </c>
      <c r="L62" s="153">
        <f>'单价'!F1086</f>
        <v>86.9393215211283</v>
      </c>
      <c r="M62" s="153">
        <f>'单价'!F1087</f>
        <v>119.60366660692365</v>
      </c>
    </row>
    <row r="63" spans="1:13" ht="19.5" customHeight="1">
      <c r="A63" s="51">
        <v>60</v>
      </c>
      <c r="B63" s="159" t="s">
        <v>343</v>
      </c>
      <c r="C63" s="78" t="s">
        <v>344</v>
      </c>
      <c r="D63" s="153" t="s">
        <v>70</v>
      </c>
      <c r="E63" s="153">
        <f t="shared" si="1"/>
        <v>9561.68161230381</v>
      </c>
      <c r="F63" s="153">
        <f>'单价'!F1133</f>
        <v>842.4</v>
      </c>
      <c r="G63" s="153">
        <f>'单价'!F1134</f>
        <v>6239.848435788983</v>
      </c>
      <c r="H63" s="153">
        <f>'单价'!F1139</f>
        <v>249.77652150349115</v>
      </c>
      <c r="I63" s="153">
        <f>'单价'!F1146</f>
        <v>219.96074871877423</v>
      </c>
      <c r="J63" s="153">
        <f>'单价'!F1147</f>
        <v>293.28099829169895</v>
      </c>
      <c r="K63" s="153">
        <f>'单价'!F1148</f>
        <v>353.03700169363265</v>
      </c>
      <c r="L63" s="153">
        <f>'单价'!F1149</f>
        <v>573.8812594197606</v>
      </c>
      <c r="M63" s="153">
        <f>'单价'!F1150</f>
        <v>789.4966468874705</v>
      </c>
    </row>
    <row r="64" spans="1:13" ht="19.5" customHeight="1">
      <c r="A64" s="52"/>
      <c r="B64" s="159"/>
      <c r="C64" s="52"/>
      <c r="D64" s="153"/>
      <c r="E64" s="153"/>
      <c r="F64" s="153"/>
      <c r="G64" s="153"/>
      <c r="H64" s="153"/>
      <c r="I64" s="153"/>
      <c r="J64" s="153"/>
      <c r="K64" s="153"/>
      <c r="L64" s="153"/>
      <c r="M64" s="52"/>
    </row>
  </sheetData>
  <sheetProtection/>
  <mergeCells count="14">
    <mergeCell ref="F1:M1"/>
    <mergeCell ref="A1:A3"/>
    <mergeCell ref="B1:B3"/>
    <mergeCell ref="C1:C3"/>
    <mergeCell ref="D1:D3"/>
    <mergeCell ref="E1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151"/>
  <sheetViews>
    <sheetView workbookViewId="0" topLeftCell="A601">
      <selection activeCell="E1013" sqref="E1013"/>
    </sheetView>
  </sheetViews>
  <sheetFormatPr defaultColWidth="9.00390625" defaultRowHeight="14.25"/>
  <cols>
    <col min="1" max="1" width="9.00390625" style="54" customWidth="1"/>
    <col min="2" max="2" width="17.50390625" style="54" customWidth="1"/>
    <col min="3" max="5" width="9.00390625" style="54" customWidth="1"/>
    <col min="6" max="6" width="9.625" style="54" customWidth="1"/>
    <col min="7" max="7" width="9.00390625" style="55" customWidth="1"/>
  </cols>
  <sheetData>
    <row r="2" spans="1:6" ht="15" customHeight="1">
      <c r="A2" s="56" t="s">
        <v>345</v>
      </c>
      <c r="B2" s="57"/>
      <c r="C2" s="57"/>
      <c r="D2" s="57"/>
      <c r="E2" s="57"/>
      <c r="F2" s="57"/>
    </row>
    <row r="3" spans="1:6" ht="15" customHeight="1">
      <c r="A3" s="58" t="s">
        <v>346</v>
      </c>
      <c r="B3" s="59"/>
      <c r="C3" s="59"/>
      <c r="D3" s="60" t="s">
        <v>347</v>
      </c>
      <c r="E3" s="61"/>
      <c r="F3" s="61"/>
    </row>
    <row r="4" spans="1:6" ht="15" customHeight="1">
      <c r="A4" s="58" t="s">
        <v>348</v>
      </c>
      <c r="B4" s="59"/>
      <c r="C4" s="59"/>
      <c r="D4" s="59"/>
      <c r="E4" s="59"/>
      <c r="F4" s="59"/>
    </row>
    <row r="5" spans="1:6" ht="15" customHeight="1">
      <c r="A5" s="62" t="s">
        <v>349</v>
      </c>
      <c r="B5" s="63" t="s">
        <v>350</v>
      </c>
      <c r="C5" s="63" t="s">
        <v>351</v>
      </c>
      <c r="D5" s="63" t="s">
        <v>352</v>
      </c>
      <c r="E5" s="63" t="s">
        <v>353</v>
      </c>
      <c r="F5" s="64" t="s">
        <v>354</v>
      </c>
    </row>
    <row r="6" spans="1:6" ht="15" customHeight="1">
      <c r="A6" s="65" t="s">
        <v>11</v>
      </c>
      <c r="B6" s="8" t="s">
        <v>355</v>
      </c>
      <c r="C6" s="32"/>
      <c r="D6" s="66"/>
      <c r="E6" s="66"/>
      <c r="F6" s="66">
        <f>F7+F14+F15</f>
        <v>751.7736108073394</v>
      </c>
    </row>
    <row r="7" spans="1:6" ht="15" customHeight="1">
      <c r="A7" s="65" t="s">
        <v>12</v>
      </c>
      <c r="B7" s="8" t="s">
        <v>356</v>
      </c>
      <c r="C7" s="32"/>
      <c r="D7" s="66"/>
      <c r="E7" s="66"/>
      <c r="F7" s="66">
        <f>F8+F9+F12</f>
        <v>702.5921596330274</v>
      </c>
    </row>
    <row r="8" spans="1:6" ht="15" customHeight="1">
      <c r="A8" s="67" t="s">
        <v>357</v>
      </c>
      <c r="B8" s="8" t="s">
        <v>358</v>
      </c>
      <c r="C8" s="8" t="s">
        <v>359</v>
      </c>
      <c r="D8" s="66">
        <v>19</v>
      </c>
      <c r="E8" s="66">
        <v>8.1</v>
      </c>
      <c r="F8" s="66">
        <f>E8*D8</f>
        <v>153.9</v>
      </c>
    </row>
    <row r="9" spans="1:6" ht="15" customHeight="1">
      <c r="A9" s="67" t="s">
        <v>360</v>
      </c>
      <c r="B9" s="8" t="s">
        <v>361</v>
      </c>
      <c r="C9" s="32"/>
      <c r="D9" s="66"/>
      <c r="E9" s="66"/>
      <c r="F9" s="66">
        <f>F10+F11</f>
        <v>123.66104491353414</v>
      </c>
    </row>
    <row r="10" spans="1:6" ht="15" customHeight="1">
      <c r="A10" s="67"/>
      <c r="B10" s="8" t="s">
        <v>362</v>
      </c>
      <c r="C10" s="32" t="s">
        <v>49</v>
      </c>
      <c r="D10" s="66">
        <v>1</v>
      </c>
      <c r="E10" s="66">
        <f>'主要材料费'!D10</f>
        <v>48.4</v>
      </c>
      <c r="F10" s="66">
        <f>E10*D10</f>
        <v>48.4</v>
      </c>
    </row>
    <row r="11" spans="1:6" ht="15" customHeight="1">
      <c r="A11" s="67"/>
      <c r="B11" s="8" t="s">
        <v>363</v>
      </c>
      <c r="C11" s="32" t="s">
        <v>83</v>
      </c>
      <c r="D11" s="66">
        <v>13</v>
      </c>
      <c r="E11" s="66">
        <f>F8+F12</f>
        <v>578.9311147194934</v>
      </c>
      <c r="F11" s="66">
        <f>E11*D11/100</f>
        <v>75.26104491353414</v>
      </c>
    </row>
    <row r="12" spans="1:6" ht="15" customHeight="1">
      <c r="A12" s="65" t="s">
        <v>364</v>
      </c>
      <c r="B12" s="8" t="s">
        <v>365</v>
      </c>
      <c r="C12" s="32"/>
      <c r="D12" s="66"/>
      <c r="E12" s="66"/>
      <c r="F12" s="66">
        <f>F13</f>
        <v>425.03111471949336</v>
      </c>
    </row>
    <row r="13" spans="1:6" ht="15" customHeight="1">
      <c r="A13" s="67"/>
      <c r="B13" s="8" t="s">
        <v>366</v>
      </c>
      <c r="C13" s="8" t="s">
        <v>367</v>
      </c>
      <c r="D13" s="66">
        <v>8</v>
      </c>
      <c r="E13" s="66">
        <f>'机械费'!C5</f>
        <v>53.12888933993667</v>
      </c>
      <c r="F13" s="66">
        <f>D13*E13</f>
        <v>425.03111471949336</v>
      </c>
    </row>
    <row r="14" spans="1:6" ht="15" customHeight="1">
      <c r="A14" s="65" t="s">
        <v>13</v>
      </c>
      <c r="B14" s="8" t="s">
        <v>368</v>
      </c>
      <c r="C14" s="32" t="s">
        <v>83</v>
      </c>
      <c r="D14" s="66">
        <v>3</v>
      </c>
      <c r="E14" s="66"/>
      <c r="F14" s="66">
        <f>D14*F7/100</f>
        <v>21.077764788990827</v>
      </c>
    </row>
    <row r="15" spans="1:6" ht="15" customHeight="1">
      <c r="A15" s="65" t="s">
        <v>15</v>
      </c>
      <c r="B15" s="8" t="s">
        <v>369</v>
      </c>
      <c r="C15" s="32" t="s">
        <v>83</v>
      </c>
      <c r="D15" s="66">
        <v>4</v>
      </c>
      <c r="E15" s="66"/>
      <c r="F15" s="66">
        <f>D15*F7/100</f>
        <v>28.103686385321097</v>
      </c>
    </row>
    <row r="16" spans="1:6" ht="15" customHeight="1">
      <c r="A16" s="65" t="s">
        <v>21</v>
      </c>
      <c r="B16" s="8" t="s">
        <v>370</v>
      </c>
      <c r="C16" s="32" t="s">
        <v>83</v>
      </c>
      <c r="D16" s="66">
        <v>4.5</v>
      </c>
      <c r="E16" s="66"/>
      <c r="F16" s="66">
        <f>D16*F6/100</f>
        <v>33.829812486330276</v>
      </c>
    </row>
    <row r="17" spans="1:6" ht="15" customHeight="1">
      <c r="A17" s="65" t="s">
        <v>250</v>
      </c>
      <c r="B17" s="8" t="s">
        <v>371</v>
      </c>
      <c r="C17" s="32" t="s">
        <v>83</v>
      </c>
      <c r="D17" s="66">
        <v>7</v>
      </c>
      <c r="E17" s="66"/>
      <c r="F17" s="66">
        <f>D17*(F6+F16)/100</f>
        <v>54.99223963055688</v>
      </c>
    </row>
    <row r="18" spans="1:6" ht="15" customHeight="1">
      <c r="A18" s="65" t="s">
        <v>372</v>
      </c>
      <c r="B18" s="8" t="s">
        <v>373</v>
      </c>
      <c r="C18" s="32" t="s">
        <v>83</v>
      </c>
      <c r="D18" s="66">
        <v>9</v>
      </c>
      <c r="E18" s="66"/>
      <c r="F18" s="66">
        <f>D18*(F6+F16+F17)/100</f>
        <v>75.65360966318039</v>
      </c>
    </row>
    <row r="19" spans="1:6" ht="15" customHeight="1">
      <c r="A19" s="8" t="s">
        <v>374</v>
      </c>
      <c r="B19" s="32"/>
      <c r="C19" s="32"/>
      <c r="D19" s="66"/>
      <c r="E19" s="66"/>
      <c r="F19" s="66">
        <f>F18+F17+F16+F6</f>
        <v>916.249272587407</v>
      </c>
    </row>
    <row r="20" spans="1:6" ht="15" customHeight="1">
      <c r="A20" s="68"/>
      <c r="B20" s="69"/>
      <c r="C20" s="69"/>
      <c r="D20" s="70"/>
      <c r="E20" s="70"/>
      <c r="F20" s="70"/>
    </row>
    <row r="21" spans="1:6" ht="15" customHeight="1">
      <c r="A21" s="56" t="s">
        <v>375</v>
      </c>
      <c r="B21" s="57"/>
      <c r="C21" s="57"/>
      <c r="D21" s="57"/>
      <c r="E21" s="57"/>
      <c r="F21" s="57"/>
    </row>
    <row r="22" spans="1:6" ht="15" customHeight="1">
      <c r="A22" s="58" t="s">
        <v>376</v>
      </c>
      <c r="B22" s="59"/>
      <c r="C22" s="59"/>
      <c r="D22" s="60" t="s">
        <v>377</v>
      </c>
      <c r="E22" s="61"/>
      <c r="F22" s="61"/>
    </row>
    <row r="23" spans="1:6" ht="15" customHeight="1">
      <c r="A23" s="58" t="s">
        <v>378</v>
      </c>
      <c r="B23" s="59"/>
      <c r="C23" s="59"/>
      <c r="D23" s="59"/>
      <c r="E23" s="59"/>
      <c r="F23" s="59"/>
    </row>
    <row r="24" spans="1:6" ht="15" customHeight="1">
      <c r="A24" s="62" t="s">
        <v>349</v>
      </c>
      <c r="B24" s="63" t="s">
        <v>350</v>
      </c>
      <c r="C24" s="63" t="s">
        <v>351</v>
      </c>
      <c r="D24" s="63" t="s">
        <v>352</v>
      </c>
      <c r="E24" s="63" t="s">
        <v>353</v>
      </c>
      <c r="F24" s="64" t="s">
        <v>354</v>
      </c>
    </row>
    <row r="25" spans="1:6" ht="15" customHeight="1">
      <c r="A25" s="65" t="s">
        <v>11</v>
      </c>
      <c r="B25" s="8" t="s">
        <v>355</v>
      </c>
      <c r="C25" s="32"/>
      <c r="D25" s="66"/>
      <c r="E25" s="66"/>
      <c r="F25" s="66">
        <f>F26+F32+F33</f>
        <v>90.03952079795698</v>
      </c>
    </row>
    <row r="26" spans="1:6" ht="15" customHeight="1">
      <c r="A26" s="65" t="s">
        <v>12</v>
      </c>
      <c r="B26" s="8" t="s">
        <v>356</v>
      </c>
      <c r="C26" s="32"/>
      <c r="D26" s="66"/>
      <c r="E26" s="66"/>
      <c r="F26" s="66">
        <f>F27+F28+F30</f>
        <v>84.14908485790372</v>
      </c>
    </row>
    <row r="27" spans="1:6" ht="15" customHeight="1">
      <c r="A27" s="67" t="s">
        <v>357</v>
      </c>
      <c r="B27" s="8" t="s">
        <v>358</v>
      </c>
      <c r="C27" s="8" t="s">
        <v>359</v>
      </c>
      <c r="D27" s="66">
        <v>0.7</v>
      </c>
      <c r="E27" s="66">
        <v>8.1</v>
      </c>
      <c r="F27" s="66">
        <f>E27*D27</f>
        <v>5.669999999999999</v>
      </c>
    </row>
    <row r="28" spans="1:6" ht="15" customHeight="1">
      <c r="A28" s="67" t="s">
        <v>360</v>
      </c>
      <c r="B28" s="8" t="s">
        <v>361</v>
      </c>
      <c r="C28" s="32"/>
      <c r="D28" s="66"/>
      <c r="E28" s="66"/>
      <c r="F28" s="66">
        <f>F29</f>
        <v>12.226790107558662</v>
      </c>
    </row>
    <row r="29" spans="1:6" ht="15" customHeight="1">
      <c r="A29" s="67"/>
      <c r="B29" s="8" t="s">
        <v>363</v>
      </c>
      <c r="C29" s="32" t="s">
        <v>83</v>
      </c>
      <c r="D29" s="66">
        <v>17</v>
      </c>
      <c r="E29" s="66">
        <f>F27+F30</f>
        <v>71.92229475034506</v>
      </c>
      <c r="F29" s="66">
        <f>E29*D29/100</f>
        <v>12.226790107558662</v>
      </c>
    </row>
    <row r="30" spans="1:6" ht="15" customHeight="1">
      <c r="A30" s="65" t="s">
        <v>364</v>
      </c>
      <c r="B30" s="8" t="s">
        <v>365</v>
      </c>
      <c r="C30" s="32"/>
      <c r="D30" s="66"/>
      <c r="E30" s="66"/>
      <c r="F30" s="66">
        <f>F31</f>
        <v>66.25229475034506</v>
      </c>
    </row>
    <row r="31" spans="1:6" ht="15" customHeight="1">
      <c r="A31" s="67"/>
      <c r="B31" s="8" t="s">
        <v>379</v>
      </c>
      <c r="C31" s="8" t="s">
        <v>367</v>
      </c>
      <c r="D31" s="66">
        <v>0.49</v>
      </c>
      <c r="E31" s="66">
        <f>'机械费'!C7</f>
        <v>135.20876479662257</v>
      </c>
      <c r="F31" s="66">
        <f>D31*E31</f>
        <v>66.25229475034506</v>
      </c>
    </row>
    <row r="32" spans="1:6" ht="15" customHeight="1">
      <c r="A32" s="65" t="s">
        <v>13</v>
      </c>
      <c r="B32" s="8" t="s">
        <v>368</v>
      </c>
      <c r="C32" s="32" t="s">
        <v>83</v>
      </c>
      <c r="D32" s="66">
        <v>3</v>
      </c>
      <c r="E32" s="66"/>
      <c r="F32" s="66">
        <f>D32*F26/100</f>
        <v>2.5244725457371113</v>
      </c>
    </row>
    <row r="33" spans="1:6" ht="15" customHeight="1">
      <c r="A33" s="65" t="s">
        <v>15</v>
      </c>
      <c r="B33" s="8" t="s">
        <v>369</v>
      </c>
      <c r="C33" s="32" t="s">
        <v>83</v>
      </c>
      <c r="D33" s="66">
        <v>4</v>
      </c>
      <c r="E33" s="66"/>
      <c r="F33" s="66">
        <f>D33*F26/100</f>
        <v>3.3659633943161484</v>
      </c>
    </row>
    <row r="34" spans="1:6" ht="15" customHeight="1">
      <c r="A34" s="65" t="s">
        <v>21</v>
      </c>
      <c r="B34" s="8" t="s">
        <v>370</v>
      </c>
      <c r="C34" s="32" t="s">
        <v>83</v>
      </c>
      <c r="D34" s="66">
        <v>4.5</v>
      </c>
      <c r="E34" s="66"/>
      <c r="F34" s="66">
        <f>D34*F25/100</f>
        <v>4.051778435908065</v>
      </c>
    </row>
    <row r="35" spans="1:6" ht="15" customHeight="1">
      <c r="A35" s="65" t="s">
        <v>250</v>
      </c>
      <c r="B35" s="8" t="s">
        <v>371</v>
      </c>
      <c r="C35" s="32" t="s">
        <v>83</v>
      </c>
      <c r="D35" s="66">
        <v>7</v>
      </c>
      <c r="E35" s="66"/>
      <c r="F35" s="66">
        <f>D35*(F25+F34)/100</f>
        <v>6.586390946370553</v>
      </c>
    </row>
    <row r="36" spans="1:6" ht="15" customHeight="1">
      <c r="A36" s="65" t="s">
        <v>372</v>
      </c>
      <c r="B36" s="8" t="s">
        <v>373</v>
      </c>
      <c r="C36" s="32" t="s">
        <v>83</v>
      </c>
      <c r="D36" s="66">
        <v>9</v>
      </c>
      <c r="E36" s="66"/>
      <c r="F36" s="66">
        <f>D36*(F25+F34+F35)/100</f>
        <v>9.060992116221204</v>
      </c>
    </row>
    <row r="37" spans="1:6" ht="15" customHeight="1">
      <c r="A37" s="8" t="s">
        <v>374</v>
      </c>
      <c r="B37" s="32"/>
      <c r="C37" s="32"/>
      <c r="D37" s="66"/>
      <c r="E37" s="66"/>
      <c r="F37" s="66">
        <f>F36+F35+F34+F25</f>
        <v>109.7386822964568</v>
      </c>
    </row>
    <row r="38" spans="1:6" ht="15" customHeight="1">
      <c r="A38" s="71"/>
      <c r="B38" s="72"/>
      <c r="C38" s="72"/>
      <c r="D38" s="73"/>
      <c r="E38" s="73"/>
      <c r="F38" s="73"/>
    </row>
    <row r="39" spans="1:6" ht="15" customHeight="1">
      <c r="A39" s="74" t="s">
        <v>380</v>
      </c>
      <c r="B39" s="75"/>
      <c r="C39" s="75"/>
      <c r="D39" s="75"/>
      <c r="E39" s="75"/>
      <c r="F39" s="75"/>
    </row>
    <row r="40" spans="1:6" ht="15" customHeight="1">
      <c r="A40" s="76" t="s">
        <v>381</v>
      </c>
      <c r="B40" s="76"/>
      <c r="C40" s="76"/>
      <c r="D40" s="76"/>
      <c r="E40" s="77" t="s">
        <v>382</v>
      </c>
      <c r="F40" s="77"/>
    </row>
    <row r="41" spans="1:6" ht="15" customHeight="1">
      <c r="A41" s="76" t="s">
        <v>383</v>
      </c>
      <c r="B41" s="76"/>
      <c r="C41" s="76"/>
      <c r="D41" s="76"/>
      <c r="E41" s="76"/>
      <c r="F41" s="76"/>
    </row>
    <row r="42" spans="1:6" ht="15" customHeight="1">
      <c r="A42" s="1" t="s">
        <v>349</v>
      </c>
      <c r="B42" s="1" t="s">
        <v>384</v>
      </c>
      <c r="C42" s="1" t="s">
        <v>351</v>
      </c>
      <c r="D42" s="1" t="s">
        <v>352</v>
      </c>
      <c r="E42" s="1" t="s">
        <v>353</v>
      </c>
      <c r="F42" s="1" t="s">
        <v>385</v>
      </c>
    </row>
    <row r="43" spans="1:6" ht="15" customHeight="1">
      <c r="A43" s="78" t="s">
        <v>11</v>
      </c>
      <c r="B43" s="78" t="s">
        <v>355</v>
      </c>
      <c r="C43" s="78"/>
      <c r="D43" s="78"/>
      <c r="E43" s="78"/>
      <c r="F43" s="9">
        <f>F44+F51+F52</f>
        <v>1030.91345796</v>
      </c>
    </row>
    <row r="44" spans="1:6" ht="15" customHeight="1">
      <c r="A44" s="52" t="s">
        <v>386</v>
      </c>
      <c r="B44" s="78" t="s">
        <v>356</v>
      </c>
      <c r="C44" s="78"/>
      <c r="D44" s="78"/>
      <c r="E44" s="78"/>
      <c r="F44" s="9">
        <f>F45+F47</f>
        <v>972.559866</v>
      </c>
    </row>
    <row r="45" spans="1:6" ht="15" customHeight="1">
      <c r="A45" s="52">
        <v>1</v>
      </c>
      <c r="B45" s="78" t="s">
        <v>358</v>
      </c>
      <c r="C45" s="78"/>
      <c r="D45" s="78"/>
      <c r="E45" s="78"/>
      <c r="F45" s="9">
        <f>F46</f>
        <v>242.33999999999997</v>
      </c>
    </row>
    <row r="46" spans="1:6" ht="15" customHeight="1">
      <c r="A46" s="78"/>
      <c r="B46" s="78" t="s">
        <v>358</v>
      </c>
      <c r="C46" s="78" t="s">
        <v>359</v>
      </c>
      <c r="D46" s="52">
        <v>42</v>
      </c>
      <c r="E46" s="52">
        <v>5.77</v>
      </c>
      <c r="F46" s="9">
        <f>D46*E46</f>
        <v>242.33999999999997</v>
      </c>
    </row>
    <row r="47" spans="1:6" ht="15" customHeight="1">
      <c r="A47" s="52">
        <v>2</v>
      </c>
      <c r="B47" s="78" t="s">
        <v>361</v>
      </c>
      <c r="C47" s="78"/>
      <c r="D47" s="78"/>
      <c r="E47" s="78"/>
      <c r="F47" s="9">
        <f>F49+F50</f>
        <v>730.219866</v>
      </c>
    </row>
    <row r="48" spans="1:6" ht="15" customHeight="1">
      <c r="A48" s="78"/>
      <c r="B48" s="78" t="s">
        <v>387</v>
      </c>
      <c r="C48" s="78" t="s">
        <v>388</v>
      </c>
      <c r="D48" s="52">
        <v>102</v>
      </c>
      <c r="E48" s="9">
        <f>'主要材料费'!D11</f>
        <v>234.22109999999998</v>
      </c>
      <c r="F48" s="79"/>
    </row>
    <row r="49" spans="1:6" ht="15" customHeight="1">
      <c r="A49" s="78"/>
      <c r="B49" s="78" t="s">
        <v>389</v>
      </c>
      <c r="C49" s="52" t="s">
        <v>49</v>
      </c>
      <c r="D49" s="9">
        <v>3</v>
      </c>
      <c r="E49" s="52">
        <f>'主要材料费'!D5</f>
        <v>4.37</v>
      </c>
      <c r="F49" s="9">
        <f>D49*E49</f>
        <v>13.11</v>
      </c>
    </row>
    <row r="50" spans="1:6" ht="15" customHeight="1">
      <c r="A50" s="78"/>
      <c r="B50" s="78" t="s">
        <v>390</v>
      </c>
      <c r="C50" s="52" t="s">
        <v>83</v>
      </c>
      <c r="D50" s="52">
        <v>3</v>
      </c>
      <c r="E50" s="9">
        <f>(D48*E48)+F49</f>
        <v>23903.6622</v>
      </c>
      <c r="F50" s="9">
        <f>D50*E50/100</f>
        <v>717.109866</v>
      </c>
    </row>
    <row r="51" spans="1:6" ht="15" customHeight="1">
      <c r="A51" s="52" t="s">
        <v>391</v>
      </c>
      <c r="B51" s="78" t="s">
        <v>368</v>
      </c>
      <c r="C51" s="52" t="s">
        <v>83</v>
      </c>
      <c r="D51" s="52">
        <v>2</v>
      </c>
      <c r="E51" s="78"/>
      <c r="F51" s="9">
        <f>D51*F44/100</f>
        <v>19.451197320000002</v>
      </c>
    </row>
    <row r="52" spans="1:6" ht="15" customHeight="1">
      <c r="A52" s="52" t="s">
        <v>392</v>
      </c>
      <c r="B52" s="78" t="s">
        <v>369</v>
      </c>
      <c r="C52" s="52" t="s">
        <v>83</v>
      </c>
      <c r="D52" s="52">
        <v>4</v>
      </c>
      <c r="E52" s="78"/>
      <c r="F52" s="9">
        <f>D52*F44/100</f>
        <v>38.902394640000004</v>
      </c>
    </row>
    <row r="53" spans="1:6" ht="15" customHeight="1">
      <c r="A53" s="78" t="s">
        <v>21</v>
      </c>
      <c r="B53" s="78" t="s">
        <v>370</v>
      </c>
      <c r="C53" s="52" t="s">
        <v>83</v>
      </c>
      <c r="D53" s="52">
        <v>3</v>
      </c>
      <c r="E53" s="78"/>
      <c r="F53" s="9">
        <f>D53*F43/100</f>
        <v>30.9274037388</v>
      </c>
    </row>
    <row r="54" spans="1:6" ht="15" customHeight="1">
      <c r="A54" s="78" t="s">
        <v>250</v>
      </c>
      <c r="B54" s="78" t="s">
        <v>371</v>
      </c>
      <c r="C54" s="52" t="s">
        <v>83</v>
      </c>
      <c r="D54" s="52">
        <v>5</v>
      </c>
      <c r="E54" s="78"/>
      <c r="F54" s="9">
        <f>D54*(F53+F43)/100</f>
        <v>53.092043084939995</v>
      </c>
    </row>
    <row r="55" spans="1:6" ht="15" customHeight="1">
      <c r="A55" s="78" t="s">
        <v>372</v>
      </c>
      <c r="B55" s="78" t="s">
        <v>373</v>
      </c>
      <c r="C55" s="52" t="s">
        <v>83</v>
      </c>
      <c r="D55" s="52">
        <v>9</v>
      </c>
      <c r="E55" s="78"/>
      <c r="F55" s="9">
        <f>D55*(F43+F53+F54)/100</f>
        <v>100.3439614305366</v>
      </c>
    </row>
    <row r="56" spans="1:6" ht="15" customHeight="1">
      <c r="A56" s="78" t="s">
        <v>393</v>
      </c>
      <c r="B56" s="78"/>
      <c r="C56" s="78"/>
      <c r="D56" s="78"/>
      <c r="E56" s="78"/>
      <c r="F56" s="9">
        <f>F43+F53+F54+F55</f>
        <v>1215.2768662142767</v>
      </c>
    </row>
    <row r="57" spans="1:6" ht="15" customHeight="1">
      <c r="A57" s="80"/>
      <c r="B57" s="31"/>
      <c r="C57" s="31"/>
      <c r="D57" s="81"/>
      <c r="E57" s="81"/>
      <c r="F57" s="81"/>
    </row>
    <row r="58" spans="1:6" ht="15" customHeight="1">
      <c r="A58" s="74" t="s">
        <v>394</v>
      </c>
      <c r="B58" s="75"/>
      <c r="C58" s="75"/>
      <c r="D58" s="75"/>
      <c r="E58" s="75"/>
      <c r="F58" s="75"/>
    </row>
    <row r="59" spans="1:6" ht="15" customHeight="1">
      <c r="A59" s="76" t="s">
        <v>381</v>
      </c>
      <c r="B59" s="76"/>
      <c r="C59" s="76"/>
      <c r="D59" s="76"/>
      <c r="E59" s="77" t="s">
        <v>382</v>
      </c>
      <c r="F59" s="77"/>
    </row>
    <row r="60" spans="1:6" ht="15" customHeight="1">
      <c r="A60" s="76" t="s">
        <v>383</v>
      </c>
      <c r="B60" s="76"/>
      <c r="C60" s="76"/>
      <c r="D60" s="76"/>
      <c r="E60" s="76"/>
      <c r="F60" s="76"/>
    </row>
    <row r="61" spans="1:6" ht="15" customHeight="1">
      <c r="A61" s="1" t="s">
        <v>349</v>
      </c>
      <c r="B61" s="1" t="s">
        <v>384</v>
      </c>
      <c r="C61" s="1" t="s">
        <v>351</v>
      </c>
      <c r="D61" s="1" t="s">
        <v>352</v>
      </c>
      <c r="E61" s="1" t="s">
        <v>353</v>
      </c>
      <c r="F61" s="1" t="s">
        <v>385</v>
      </c>
    </row>
    <row r="62" spans="1:6" ht="15" customHeight="1">
      <c r="A62" s="78" t="s">
        <v>11</v>
      </c>
      <c r="B62" s="78" t="s">
        <v>355</v>
      </c>
      <c r="C62" s="78"/>
      <c r="D62" s="78"/>
      <c r="E62" s="78"/>
      <c r="F62" s="9">
        <f>F63+F70+F71</f>
        <v>799.6960268400001</v>
      </c>
    </row>
    <row r="63" spans="1:6" ht="15" customHeight="1">
      <c r="A63" s="52" t="s">
        <v>386</v>
      </c>
      <c r="B63" s="78" t="s">
        <v>356</v>
      </c>
      <c r="C63" s="78"/>
      <c r="D63" s="78"/>
      <c r="E63" s="78"/>
      <c r="F63" s="9">
        <f>F64+F66</f>
        <v>754.430214</v>
      </c>
    </row>
    <row r="64" spans="1:6" ht="15" customHeight="1">
      <c r="A64" s="52">
        <v>1</v>
      </c>
      <c r="B64" s="78" t="s">
        <v>358</v>
      </c>
      <c r="C64" s="78"/>
      <c r="D64" s="78"/>
      <c r="E64" s="78"/>
      <c r="F64" s="9">
        <f>F65</f>
        <v>242.33999999999997</v>
      </c>
    </row>
    <row r="65" spans="1:6" ht="15" customHeight="1">
      <c r="A65" s="78"/>
      <c r="B65" s="78" t="s">
        <v>358</v>
      </c>
      <c r="C65" s="78" t="s">
        <v>359</v>
      </c>
      <c r="D65" s="52">
        <v>42</v>
      </c>
      <c r="E65" s="52">
        <f>E46</f>
        <v>5.77</v>
      </c>
      <c r="F65" s="9">
        <f>D65*E65</f>
        <v>242.33999999999997</v>
      </c>
    </row>
    <row r="66" spans="1:6" ht="15" customHeight="1">
      <c r="A66" s="52">
        <v>2</v>
      </c>
      <c r="B66" s="78" t="s">
        <v>361</v>
      </c>
      <c r="C66" s="78"/>
      <c r="D66" s="78"/>
      <c r="E66" s="78"/>
      <c r="F66" s="9">
        <f>F68+F69</f>
        <v>512.090214</v>
      </c>
    </row>
    <row r="67" spans="1:6" ht="24">
      <c r="A67" s="78"/>
      <c r="B67" s="82" t="s">
        <v>395</v>
      </c>
      <c r="C67" s="78" t="s">
        <v>388</v>
      </c>
      <c r="D67" s="52">
        <v>102</v>
      </c>
      <c r="E67" s="9">
        <f>'主要材料费'!D12</f>
        <v>162.93689999999998</v>
      </c>
      <c r="F67" s="79"/>
    </row>
    <row r="68" spans="1:6" ht="15" customHeight="1">
      <c r="A68" s="78"/>
      <c r="B68" s="78" t="s">
        <v>389</v>
      </c>
      <c r="C68" s="52" t="s">
        <v>49</v>
      </c>
      <c r="D68" s="9">
        <v>3</v>
      </c>
      <c r="E68" s="52">
        <f>E49</f>
        <v>4.37</v>
      </c>
      <c r="F68" s="9">
        <f>D68*E68</f>
        <v>13.11</v>
      </c>
    </row>
    <row r="69" spans="1:6" ht="15" customHeight="1">
      <c r="A69" s="78"/>
      <c r="B69" s="78" t="s">
        <v>390</v>
      </c>
      <c r="C69" s="52" t="s">
        <v>83</v>
      </c>
      <c r="D69" s="52">
        <v>3</v>
      </c>
      <c r="E69" s="9">
        <f>(D67*E67)+F68</f>
        <v>16632.673799999997</v>
      </c>
      <c r="F69" s="9">
        <f>D69*E69/100</f>
        <v>498.98021399999993</v>
      </c>
    </row>
    <row r="70" spans="1:6" ht="15" customHeight="1">
      <c r="A70" s="52" t="s">
        <v>391</v>
      </c>
      <c r="B70" s="78" t="s">
        <v>368</v>
      </c>
      <c r="C70" s="52" t="s">
        <v>83</v>
      </c>
      <c r="D70" s="52">
        <v>2</v>
      </c>
      <c r="E70" s="78"/>
      <c r="F70" s="9">
        <f>D70*F63/100</f>
        <v>15.08860428</v>
      </c>
    </row>
    <row r="71" spans="1:6" ht="15" customHeight="1">
      <c r="A71" s="52" t="s">
        <v>392</v>
      </c>
      <c r="B71" s="78" t="s">
        <v>369</v>
      </c>
      <c r="C71" s="52" t="s">
        <v>83</v>
      </c>
      <c r="D71" s="52">
        <v>4</v>
      </c>
      <c r="E71" s="78"/>
      <c r="F71" s="9">
        <f>D71*F63/100</f>
        <v>30.17720856</v>
      </c>
    </row>
    <row r="72" spans="1:6" ht="15" customHeight="1">
      <c r="A72" s="78" t="s">
        <v>21</v>
      </c>
      <c r="B72" s="78" t="s">
        <v>370</v>
      </c>
      <c r="C72" s="52" t="s">
        <v>83</v>
      </c>
      <c r="D72" s="52">
        <v>3</v>
      </c>
      <c r="E72" s="78"/>
      <c r="F72" s="9">
        <f>D72*F62/100</f>
        <v>23.990880805200003</v>
      </c>
    </row>
    <row r="73" spans="1:6" ht="15" customHeight="1">
      <c r="A73" s="78" t="s">
        <v>250</v>
      </c>
      <c r="B73" s="78" t="s">
        <v>371</v>
      </c>
      <c r="C73" s="52" t="s">
        <v>83</v>
      </c>
      <c r="D73" s="52">
        <v>5</v>
      </c>
      <c r="E73" s="78"/>
      <c r="F73" s="9">
        <f>D73*(F72+F62)/100</f>
        <v>41.184345382260005</v>
      </c>
    </row>
    <row r="74" spans="1:6" ht="15" customHeight="1">
      <c r="A74" s="78" t="s">
        <v>372</v>
      </c>
      <c r="B74" s="78" t="s">
        <v>373</v>
      </c>
      <c r="C74" s="52" t="s">
        <v>83</v>
      </c>
      <c r="D74" s="52">
        <v>9</v>
      </c>
      <c r="E74" s="78"/>
      <c r="F74" s="9">
        <f>D74*(F62+F72+F73)/100</f>
        <v>77.83841277247141</v>
      </c>
    </row>
    <row r="75" spans="1:6" ht="15" customHeight="1">
      <c r="A75" s="78" t="s">
        <v>393</v>
      </c>
      <c r="B75" s="78"/>
      <c r="C75" s="78"/>
      <c r="D75" s="78"/>
      <c r="E75" s="78"/>
      <c r="F75" s="9">
        <f>F62+F72+F73+F74</f>
        <v>942.7096657999316</v>
      </c>
    </row>
    <row r="76" spans="1:6" ht="15" customHeight="1">
      <c r="A76" s="80"/>
      <c r="B76" s="31"/>
      <c r="C76" s="31"/>
      <c r="D76" s="81"/>
      <c r="E76" s="81"/>
      <c r="F76" s="81"/>
    </row>
    <row r="77" spans="1:6" ht="15" customHeight="1">
      <c r="A77" s="74" t="s">
        <v>396</v>
      </c>
      <c r="B77" s="75"/>
      <c r="C77" s="75"/>
      <c r="D77" s="75"/>
      <c r="E77" s="75"/>
      <c r="F77" s="75"/>
    </row>
    <row r="78" spans="1:6" ht="15" customHeight="1">
      <c r="A78" s="76" t="s">
        <v>381</v>
      </c>
      <c r="B78" s="76"/>
      <c r="C78" s="76"/>
      <c r="D78" s="76"/>
      <c r="E78" s="77" t="s">
        <v>382</v>
      </c>
      <c r="F78" s="77"/>
    </row>
    <row r="79" spans="1:6" ht="15" customHeight="1">
      <c r="A79" s="76" t="s">
        <v>383</v>
      </c>
      <c r="B79" s="76"/>
      <c r="C79" s="76"/>
      <c r="D79" s="76"/>
      <c r="E79" s="76"/>
      <c r="F79" s="76"/>
    </row>
    <row r="80" spans="1:6" ht="15" customHeight="1">
      <c r="A80" s="1" t="s">
        <v>349</v>
      </c>
      <c r="B80" s="1" t="s">
        <v>384</v>
      </c>
      <c r="C80" s="1" t="s">
        <v>351</v>
      </c>
      <c r="D80" s="1" t="s">
        <v>352</v>
      </c>
      <c r="E80" s="1" t="s">
        <v>353</v>
      </c>
      <c r="F80" s="1" t="s">
        <v>385</v>
      </c>
    </row>
    <row r="81" spans="1:6" ht="15" customHeight="1">
      <c r="A81" s="78" t="s">
        <v>11</v>
      </c>
      <c r="B81" s="78" t="s">
        <v>355</v>
      </c>
      <c r="C81" s="78"/>
      <c r="D81" s="78"/>
      <c r="E81" s="78"/>
      <c r="F81" s="9">
        <f>F82+F89+F90</f>
        <v>1196.06362248</v>
      </c>
    </row>
    <row r="82" spans="1:6" ht="15" customHeight="1">
      <c r="A82" s="52" t="s">
        <v>386</v>
      </c>
      <c r="B82" s="78" t="s">
        <v>356</v>
      </c>
      <c r="C82" s="78"/>
      <c r="D82" s="78"/>
      <c r="E82" s="78"/>
      <c r="F82" s="9">
        <f>F83+F85</f>
        <v>1128.361908</v>
      </c>
    </row>
    <row r="83" spans="1:6" ht="15" customHeight="1">
      <c r="A83" s="52">
        <v>1</v>
      </c>
      <c r="B83" s="78" t="s">
        <v>358</v>
      </c>
      <c r="C83" s="78"/>
      <c r="D83" s="78"/>
      <c r="E83" s="78"/>
      <c r="F83" s="9">
        <f>F84</f>
        <v>242.33999999999997</v>
      </c>
    </row>
    <row r="84" spans="1:6" ht="15" customHeight="1">
      <c r="A84" s="78"/>
      <c r="B84" s="78" t="s">
        <v>358</v>
      </c>
      <c r="C84" s="78" t="s">
        <v>359</v>
      </c>
      <c r="D84" s="52">
        <v>42</v>
      </c>
      <c r="E84" s="52">
        <f>E65</f>
        <v>5.77</v>
      </c>
      <c r="F84" s="9">
        <f>D84*E84</f>
        <v>242.33999999999997</v>
      </c>
    </row>
    <row r="85" spans="1:6" ht="15" customHeight="1">
      <c r="A85" s="52">
        <v>2</v>
      </c>
      <c r="B85" s="78" t="s">
        <v>361</v>
      </c>
      <c r="C85" s="78"/>
      <c r="D85" s="78"/>
      <c r="E85" s="78"/>
      <c r="F85" s="9">
        <f>F87+F88</f>
        <v>886.0219080000002</v>
      </c>
    </row>
    <row r="86" spans="1:6" ht="15" customHeight="1">
      <c r="A86" s="78"/>
      <c r="B86" s="78" t="s">
        <v>397</v>
      </c>
      <c r="C86" s="78" t="s">
        <v>388</v>
      </c>
      <c r="D86" s="52">
        <v>102</v>
      </c>
      <c r="E86" s="9">
        <f>'主要材料费'!D13</f>
        <v>285.1368</v>
      </c>
      <c r="F86" s="79"/>
    </row>
    <row r="87" spans="1:6" ht="15" customHeight="1">
      <c r="A87" s="78"/>
      <c r="B87" s="78" t="s">
        <v>389</v>
      </c>
      <c r="C87" s="52" t="s">
        <v>49</v>
      </c>
      <c r="D87" s="9">
        <v>3</v>
      </c>
      <c r="E87" s="52">
        <f>E68</f>
        <v>4.37</v>
      </c>
      <c r="F87" s="9">
        <f>D87*E87</f>
        <v>13.11</v>
      </c>
    </row>
    <row r="88" spans="1:6" ht="15" customHeight="1">
      <c r="A88" s="78"/>
      <c r="B88" s="78" t="s">
        <v>390</v>
      </c>
      <c r="C88" s="52" t="s">
        <v>83</v>
      </c>
      <c r="D88" s="52">
        <v>3</v>
      </c>
      <c r="E88" s="9">
        <f>(D86*E86)+F87</f>
        <v>29097.0636</v>
      </c>
      <c r="F88" s="9">
        <f>D88*E88/100</f>
        <v>872.9119080000002</v>
      </c>
    </row>
    <row r="89" spans="1:6" ht="15" customHeight="1">
      <c r="A89" s="52" t="s">
        <v>391</v>
      </c>
      <c r="B89" s="78" t="s">
        <v>368</v>
      </c>
      <c r="C89" s="52" t="s">
        <v>83</v>
      </c>
      <c r="D89" s="52">
        <v>2</v>
      </c>
      <c r="E89" s="78"/>
      <c r="F89" s="9">
        <f>D89*F82/100</f>
        <v>22.567238160000002</v>
      </c>
    </row>
    <row r="90" spans="1:6" ht="15" customHeight="1">
      <c r="A90" s="52" t="s">
        <v>392</v>
      </c>
      <c r="B90" s="78" t="s">
        <v>369</v>
      </c>
      <c r="C90" s="52" t="s">
        <v>83</v>
      </c>
      <c r="D90" s="52">
        <v>4</v>
      </c>
      <c r="E90" s="78"/>
      <c r="F90" s="9">
        <f>D90*F82/100</f>
        <v>45.134476320000005</v>
      </c>
    </row>
    <row r="91" spans="1:6" ht="15" customHeight="1">
      <c r="A91" s="78" t="s">
        <v>21</v>
      </c>
      <c r="B91" s="78" t="s">
        <v>370</v>
      </c>
      <c r="C91" s="52" t="s">
        <v>83</v>
      </c>
      <c r="D91" s="52">
        <v>3</v>
      </c>
      <c r="E91" s="78"/>
      <c r="F91" s="9">
        <f>D91*F81/100</f>
        <v>35.8819086744</v>
      </c>
    </row>
    <row r="92" spans="1:6" ht="15" customHeight="1">
      <c r="A92" s="78" t="s">
        <v>250</v>
      </c>
      <c r="B92" s="78" t="s">
        <v>371</v>
      </c>
      <c r="C92" s="52" t="s">
        <v>83</v>
      </c>
      <c r="D92" s="52">
        <v>5</v>
      </c>
      <c r="E92" s="78"/>
      <c r="F92" s="9">
        <f>D92*(F91+F81)/100</f>
        <v>61.597276557719994</v>
      </c>
    </row>
    <row r="93" spans="1:6" ht="15" customHeight="1">
      <c r="A93" s="78" t="s">
        <v>372</v>
      </c>
      <c r="B93" s="78" t="s">
        <v>373</v>
      </c>
      <c r="C93" s="52" t="s">
        <v>83</v>
      </c>
      <c r="D93" s="52">
        <v>9</v>
      </c>
      <c r="E93" s="78"/>
      <c r="F93" s="9">
        <f>D93*(F81+F91+F92)/100</f>
        <v>116.4188526940908</v>
      </c>
    </row>
    <row r="94" spans="1:6" ht="15" customHeight="1">
      <c r="A94" s="78" t="s">
        <v>393</v>
      </c>
      <c r="B94" s="78"/>
      <c r="C94" s="78"/>
      <c r="D94" s="78"/>
      <c r="E94" s="78"/>
      <c r="F94" s="9">
        <f>F81+F91+F92+F93</f>
        <v>1409.961660406211</v>
      </c>
    </row>
    <row r="95" spans="1:6" ht="15" customHeight="1">
      <c r="A95" s="80"/>
      <c r="B95" s="31"/>
      <c r="C95" s="31"/>
      <c r="D95" s="81"/>
      <c r="E95" s="81"/>
      <c r="F95" s="81"/>
    </row>
    <row r="96" spans="1:6" ht="15" customHeight="1">
      <c r="A96" s="74" t="s">
        <v>398</v>
      </c>
      <c r="B96" s="75"/>
      <c r="C96" s="75"/>
      <c r="D96" s="75"/>
      <c r="E96" s="75"/>
      <c r="F96" s="75"/>
    </row>
    <row r="97" spans="1:6" ht="15" customHeight="1">
      <c r="A97" s="76" t="s">
        <v>399</v>
      </c>
      <c r="B97" s="76"/>
      <c r="C97" s="76"/>
      <c r="D97" s="76"/>
      <c r="E97" s="77" t="s">
        <v>382</v>
      </c>
      <c r="F97" s="77"/>
    </row>
    <row r="98" spans="1:6" ht="15" customHeight="1">
      <c r="A98" s="76" t="s">
        <v>383</v>
      </c>
      <c r="B98" s="76"/>
      <c r="C98" s="76"/>
      <c r="D98" s="76"/>
      <c r="E98" s="76"/>
      <c r="F98" s="76"/>
    </row>
    <row r="99" spans="1:6" ht="15" customHeight="1">
      <c r="A99" s="1" t="s">
        <v>349</v>
      </c>
      <c r="B99" s="1" t="s">
        <v>384</v>
      </c>
      <c r="C99" s="1" t="s">
        <v>351</v>
      </c>
      <c r="D99" s="1" t="s">
        <v>352</v>
      </c>
      <c r="E99" s="1" t="s">
        <v>353</v>
      </c>
      <c r="F99" s="1" t="s">
        <v>385</v>
      </c>
    </row>
    <row r="100" spans="1:6" ht="15" customHeight="1">
      <c r="A100" s="78" t="s">
        <v>11</v>
      </c>
      <c r="B100" s="78" t="s">
        <v>355</v>
      </c>
      <c r="C100" s="78"/>
      <c r="D100" s="78"/>
      <c r="E100" s="78"/>
      <c r="F100" s="9">
        <f>F101+F108+F109</f>
        <v>238.92421623999996</v>
      </c>
    </row>
    <row r="101" spans="1:6" ht="15" customHeight="1">
      <c r="A101" s="52" t="s">
        <v>386</v>
      </c>
      <c r="B101" s="78" t="s">
        <v>356</v>
      </c>
      <c r="C101" s="78"/>
      <c r="D101" s="78"/>
      <c r="E101" s="78"/>
      <c r="F101" s="9">
        <f>F102+F104</f>
        <v>225.40020399999997</v>
      </c>
    </row>
    <row r="102" spans="1:6" ht="15" customHeight="1">
      <c r="A102" s="52">
        <v>1</v>
      </c>
      <c r="B102" s="78" t="s">
        <v>358</v>
      </c>
      <c r="C102" s="78"/>
      <c r="D102" s="78"/>
      <c r="E102" s="78"/>
      <c r="F102" s="9">
        <f>F103</f>
        <v>138.48</v>
      </c>
    </row>
    <row r="103" spans="1:6" ht="15" customHeight="1">
      <c r="A103" s="78"/>
      <c r="B103" s="78" t="s">
        <v>358</v>
      </c>
      <c r="C103" s="78" t="s">
        <v>359</v>
      </c>
      <c r="D103" s="52">
        <v>24</v>
      </c>
      <c r="E103" s="52">
        <f>E84</f>
        <v>5.77</v>
      </c>
      <c r="F103" s="9">
        <f>D103*E103</f>
        <v>138.48</v>
      </c>
    </row>
    <row r="104" spans="1:6" ht="15" customHeight="1">
      <c r="A104" s="52">
        <v>2</v>
      </c>
      <c r="B104" s="78" t="s">
        <v>361</v>
      </c>
      <c r="C104" s="78"/>
      <c r="D104" s="78"/>
      <c r="E104" s="78"/>
      <c r="F104" s="9">
        <f>F106+F107</f>
        <v>86.92020399999998</v>
      </c>
    </row>
    <row r="105" spans="1:6" ht="15" customHeight="1">
      <c r="A105" s="78"/>
      <c r="B105" s="78" t="s">
        <v>400</v>
      </c>
      <c r="C105" s="78" t="s">
        <v>388</v>
      </c>
      <c r="D105" s="52">
        <v>102</v>
      </c>
      <c r="E105" s="9">
        <f>'主要材料费'!D14</f>
        <v>25.4634</v>
      </c>
      <c r="F105" s="79"/>
    </row>
    <row r="106" spans="1:6" ht="15" customHeight="1">
      <c r="A106" s="78"/>
      <c r="B106" s="78" t="s">
        <v>389</v>
      </c>
      <c r="C106" s="52" t="s">
        <v>49</v>
      </c>
      <c r="D106" s="9">
        <v>2</v>
      </c>
      <c r="E106" s="52">
        <f>E87</f>
        <v>4.37</v>
      </c>
      <c r="F106" s="9">
        <f>D106*E106</f>
        <v>8.74</v>
      </c>
    </row>
    <row r="107" spans="1:6" ht="15" customHeight="1">
      <c r="A107" s="78"/>
      <c r="B107" s="78" t="s">
        <v>390</v>
      </c>
      <c r="C107" s="52" t="s">
        <v>83</v>
      </c>
      <c r="D107" s="52">
        <v>3</v>
      </c>
      <c r="E107" s="9">
        <f>(D105*E105)+F106</f>
        <v>2606.0067999999997</v>
      </c>
      <c r="F107" s="9">
        <f>D107*E107/100</f>
        <v>78.18020399999999</v>
      </c>
    </row>
    <row r="108" spans="1:6" ht="15" customHeight="1">
      <c r="A108" s="52" t="s">
        <v>391</v>
      </c>
      <c r="B108" s="78" t="s">
        <v>368</v>
      </c>
      <c r="C108" s="52" t="s">
        <v>83</v>
      </c>
      <c r="D108" s="52">
        <v>2</v>
      </c>
      <c r="E108" s="78"/>
      <c r="F108" s="9">
        <f>D108*F101/100</f>
        <v>4.508004079999999</v>
      </c>
    </row>
    <row r="109" spans="1:6" ht="15" customHeight="1">
      <c r="A109" s="52" t="s">
        <v>392</v>
      </c>
      <c r="B109" s="78" t="s">
        <v>369</v>
      </c>
      <c r="C109" s="52" t="s">
        <v>83</v>
      </c>
      <c r="D109" s="52">
        <v>4</v>
      </c>
      <c r="E109" s="78"/>
      <c r="F109" s="9">
        <f>D109*F101/100</f>
        <v>9.016008159999998</v>
      </c>
    </row>
    <row r="110" spans="1:6" ht="15" customHeight="1">
      <c r="A110" s="78" t="s">
        <v>21</v>
      </c>
      <c r="B110" s="78" t="s">
        <v>370</v>
      </c>
      <c r="C110" s="52" t="s">
        <v>83</v>
      </c>
      <c r="D110" s="52">
        <v>3</v>
      </c>
      <c r="E110" s="78"/>
      <c r="F110" s="9">
        <f>D110*F100/100</f>
        <v>7.167726487199999</v>
      </c>
    </row>
    <row r="111" spans="1:6" ht="15" customHeight="1">
      <c r="A111" s="78" t="s">
        <v>250</v>
      </c>
      <c r="B111" s="78" t="s">
        <v>371</v>
      </c>
      <c r="C111" s="52" t="s">
        <v>83</v>
      </c>
      <c r="D111" s="52">
        <v>5</v>
      </c>
      <c r="E111" s="78"/>
      <c r="F111" s="9">
        <f>D111*(F110+F100)/100</f>
        <v>12.304597136359998</v>
      </c>
    </row>
    <row r="112" spans="1:6" ht="15" customHeight="1">
      <c r="A112" s="78" t="s">
        <v>372</v>
      </c>
      <c r="B112" s="78" t="s">
        <v>373</v>
      </c>
      <c r="C112" s="52" t="s">
        <v>83</v>
      </c>
      <c r="D112" s="52">
        <v>9</v>
      </c>
      <c r="E112" s="78"/>
      <c r="F112" s="9">
        <f>D112*(F100+F110+F111)/100</f>
        <v>23.255688587720396</v>
      </c>
    </row>
    <row r="113" spans="1:6" ht="15" customHeight="1">
      <c r="A113" s="78" t="s">
        <v>393</v>
      </c>
      <c r="B113" s="78"/>
      <c r="C113" s="78"/>
      <c r="D113" s="78"/>
      <c r="E113" s="78"/>
      <c r="F113" s="9">
        <f>F100+F110+F111+F112</f>
        <v>281.65222845128034</v>
      </c>
    </row>
    <row r="114" spans="1:6" ht="15" customHeight="1">
      <c r="A114" s="80"/>
      <c r="B114" s="31"/>
      <c r="C114" s="31"/>
      <c r="D114" s="81"/>
      <c r="E114" s="81"/>
      <c r="F114" s="81"/>
    </row>
    <row r="115" spans="1:6" ht="15" customHeight="1">
      <c r="A115" s="74" t="s">
        <v>401</v>
      </c>
      <c r="B115" s="75"/>
      <c r="C115" s="75"/>
      <c r="D115" s="75"/>
      <c r="E115" s="75"/>
      <c r="F115" s="75"/>
    </row>
    <row r="116" spans="1:6" ht="15" customHeight="1">
      <c r="A116" s="76" t="s">
        <v>399</v>
      </c>
      <c r="B116" s="76"/>
      <c r="C116" s="76"/>
      <c r="D116" s="76"/>
      <c r="E116" s="77" t="s">
        <v>382</v>
      </c>
      <c r="F116" s="77"/>
    </row>
    <row r="117" spans="1:6" ht="15" customHeight="1">
      <c r="A117" s="76" t="s">
        <v>383</v>
      </c>
      <c r="B117" s="76"/>
      <c r="C117" s="76"/>
      <c r="D117" s="76"/>
      <c r="E117" s="76"/>
      <c r="F117" s="76"/>
    </row>
    <row r="118" spans="1:6" ht="15" customHeight="1">
      <c r="A118" s="1" t="s">
        <v>349</v>
      </c>
      <c r="B118" s="1" t="s">
        <v>384</v>
      </c>
      <c r="C118" s="1" t="s">
        <v>351</v>
      </c>
      <c r="D118" s="1" t="s">
        <v>352</v>
      </c>
      <c r="E118" s="1" t="s">
        <v>353</v>
      </c>
      <c r="F118" s="1" t="s">
        <v>385</v>
      </c>
    </row>
    <row r="119" spans="1:6" ht="15" customHeight="1">
      <c r="A119" s="78" t="s">
        <v>11</v>
      </c>
      <c r="B119" s="78" t="s">
        <v>355</v>
      </c>
      <c r="C119" s="78"/>
      <c r="D119" s="78"/>
      <c r="E119" s="78"/>
      <c r="F119" s="9">
        <f>F120+F127+F128</f>
        <v>255.41402991999996</v>
      </c>
    </row>
    <row r="120" spans="1:6" ht="15" customHeight="1">
      <c r="A120" s="52" t="s">
        <v>386</v>
      </c>
      <c r="B120" s="78" t="s">
        <v>356</v>
      </c>
      <c r="C120" s="78"/>
      <c r="D120" s="78"/>
      <c r="E120" s="78"/>
      <c r="F120" s="9">
        <f>F121+F123</f>
        <v>240.95663199999996</v>
      </c>
    </row>
    <row r="121" spans="1:6" ht="15" customHeight="1">
      <c r="A121" s="52">
        <v>1</v>
      </c>
      <c r="B121" s="78" t="s">
        <v>358</v>
      </c>
      <c r="C121" s="78"/>
      <c r="D121" s="78"/>
      <c r="E121" s="78"/>
      <c r="F121" s="9">
        <f>F122</f>
        <v>138.48</v>
      </c>
    </row>
    <row r="122" spans="1:6" ht="15" customHeight="1">
      <c r="A122" s="78"/>
      <c r="B122" s="78" t="s">
        <v>358</v>
      </c>
      <c r="C122" s="78" t="s">
        <v>359</v>
      </c>
      <c r="D122" s="52">
        <v>24</v>
      </c>
      <c r="E122" s="52">
        <f>E103</f>
        <v>5.77</v>
      </c>
      <c r="F122" s="9">
        <f>D122*E122</f>
        <v>138.48</v>
      </c>
    </row>
    <row r="123" spans="1:6" ht="15" customHeight="1">
      <c r="A123" s="52">
        <v>2</v>
      </c>
      <c r="B123" s="78" t="s">
        <v>361</v>
      </c>
      <c r="C123" s="78"/>
      <c r="D123" s="78"/>
      <c r="E123" s="78"/>
      <c r="F123" s="9">
        <f>F125+F126</f>
        <v>102.47663199999998</v>
      </c>
    </row>
    <row r="124" spans="1:6" ht="14.25">
      <c r="A124" s="78"/>
      <c r="B124" s="82" t="s">
        <v>402</v>
      </c>
      <c r="C124" s="78" t="s">
        <v>388</v>
      </c>
      <c r="D124" s="52">
        <v>102</v>
      </c>
      <c r="E124" s="9">
        <f>'主要材料费'!D15</f>
        <v>30.5472</v>
      </c>
      <c r="F124" s="79"/>
    </row>
    <row r="125" spans="1:6" ht="15" customHeight="1">
      <c r="A125" s="78"/>
      <c r="B125" s="78" t="s">
        <v>389</v>
      </c>
      <c r="C125" s="52" t="s">
        <v>49</v>
      </c>
      <c r="D125" s="9">
        <v>2</v>
      </c>
      <c r="E125" s="52">
        <f>E106</f>
        <v>4.37</v>
      </c>
      <c r="F125" s="9">
        <f>D125*E125</f>
        <v>8.74</v>
      </c>
    </row>
    <row r="126" spans="1:6" ht="15" customHeight="1">
      <c r="A126" s="78"/>
      <c r="B126" s="78" t="s">
        <v>390</v>
      </c>
      <c r="C126" s="52" t="s">
        <v>83</v>
      </c>
      <c r="D126" s="52">
        <v>3</v>
      </c>
      <c r="E126" s="9">
        <f>(D124*E124)+F125</f>
        <v>3124.5544</v>
      </c>
      <c r="F126" s="9">
        <f>D126*E126/100</f>
        <v>93.73663199999999</v>
      </c>
    </row>
    <row r="127" spans="1:6" ht="15" customHeight="1">
      <c r="A127" s="52" t="s">
        <v>391</v>
      </c>
      <c r="B127" s="78" t="s">
        <v>368</v>
      </c>
      <c r="C127" s="52" t="s">
        <v>83</v>
      </c>
      <c r="D127" s="52">
        <v>2</v>
      </c>
      <c r="E127" s="78"/>
      <c r="F127" s="9">
        <f>D127*F120/100</f>
        <v>4.819132639999999</v>
      </c>
    </row>
    <row r="128" spans="1:6" ht="15" customHeight="1">
      <c r="A128" s="52" t="s">
        <v>392</v>
      </c>
      <c r="B128" s="78" t="s">
        <v>369</v>
      </c>
      <c r="C128" s="52" t="s">
        <v>83</v>
      </c>
      <c r="D128" s="52">
        <v>4</v>
      </c>
      <c r="E128" s="78"/>
      <c r="F128" s="9">
        <f>D128*F120/100</f>
        <v>9.638265279999999</v>
      </c>
    </row>
    <row r="129" spans="1:6" ht="15" customHeight="1">
      <c r="A129" s="78" t="s">
        <v>21</v>
      </c>
      <c r="B129" s="78" t="s">
        <v>370</v>
      </c>
      <c r="C129" s="52" t="s">
        <v>83</v>
      </c>
      <c r="D129" s="52">
        <v>3</v>
      </c>
      <c r="E129" s="78"/>
      <c r="F129" s="9">
        <f>D129*F119/100</f>
        <v>7.662420897599999</v>
      </c>
    </row>
    <row r="130" spans="1:6" ht="15" customHeight="1">
      <c r="A130" s="78" t="s">
        <v>250</v>
      </c>
      <c r="B130" s="78" t="s">
        <v>371</v>
      </c>
      <c r="C130" s="52" t="s">
        <v>83</v>
      </c>
      <c r="D130" s="52">
        <v>5</v>
      </c>
      <c r="E130" s="78"/>
      <c r="F130" s="9">
        <f>D130*(F129+F119)/100</f>
        <v>13.153822540879997</v>
      </c>
    </row>
    <row r="131" spans="1:6" ht="15" customHeight="1">
      <c r="A131" s="78" t="s">
        <v>372</v>
      </c>
      <c r="B131" s="78" t="s">
        <v>373</v>
      </c>
      <c r="C131" s="52" t="s">
        <v>83</v>
      </c>
      <c r="D131" s="52">
        <v>9</v>
      </c>
      <c r="E131" s="78"/>
      <c r="F131" s="9">
        <f>D131*(F119+F129+F130)/100</f>
        <v>24.8607246022632</v>
      </c>
    </row>
    <row r="132" spans="1:6" ht="15" customHeight="1">
      <c r="A132" s="78" t="s">
        <v>393</v>
      </c>
      <c r="B132" s="78"/>
      <c r="C132" s="78"/>
      <c r="D132" s="78"/>
      <c r="E132" s="78"/>
      <c r="F132" s="9">
        <f>F119+F129+F130+F131</f>
        <v>301.09099796074315</v>
      </c>
    </row>
    <row r="133" spans="1:6" ht="15" customHeight="1">
      <c r="A133" s="80"/>
      <c r="B133" s="31"/>
      <c r="C133" s="31"/>
      <c r="D133" s="81"/>
      <c r="E133" s="81"/>
      <c r="F133" s="81"/>
    </row>
    <row r="134" spans="1:6" ht="15" customHeight="1">
      <c r="A134" s="74" t="s">
        <v>403</v>
      </c>
      <c r="B134" s="75"/>
      <c r="C134" s="75"/>
      <c r="D134" s="75"/>
      <c r="E134" s="75"/>
      <c r="F134" s="75"/>
    </row>
    <row r="135" spans="1:6" ht="15" customHeight="1">
      <c r="A135" s="76" t="s">
        <v>399</v>
      </c>
      <c r="B135" s="76"/>
      <c r="C135" s="76"/>
      <c r="D135" s="76"/>
      <c r="E135" s="77" t="s">
        <v>382</v>
      </c>
      <c r="F135" s="77"/>
    </row>
    <row r="136" spans="1:6" ht="15" customHeight="1">
      <c r="A136" s="76" t="s">
        <v>383</v>
      </c>
      <c r="B136" s="76"/>
      <c r="C136" s="76"/>
      <c r="D136" s="76"/>
      <c r="E136" s="76"/>
      <c r="F136" s="76"/>
    </row>
    <row r="137" spans="1:6" ht="15" customHeight="1">
      <c r="A137" s="1" t="s">
        <v>349</v>
      </c>
      <c r="B137" s="1" t="s">
        <v>384</v>
      </c>
      <c r="C137" s="1" t="s">
        <v>351</v>
      </c>
      <c r="D137" s="1" t="s">
        <v>352</v>
      </c>
      <c r="E137" s="1" t="s">
        <v>353</v>
      </c>
      <c r="F137" s="1" t="s">
        <v>385</v>
      </c>
    </row>
    <row r="138" spans="1:6" ht="15" customHeight="1">
      <c r="A138" s="78" t="s">
        <v>11</v>
      </c>
      <c r="B138" s="78" t="s">
        <v>355</v>
      </c>
      <c r="C138" s="78"/>
      <c r="D138" s="78"/>
      <c r="E138" s="78"/>
      <c r="F138" s="9">
        <f>F139+F146+F147</f>
        <v>271.93984756</v>
      </c>
    </row>
    <row r="139" spans="1:6" ht="15" customHeight="1">
      <c r="A139" s="52" t="s">
        <v>386</v>
      </c>
      <c r="B139" s="78" t="s">
        <v>356</v>
      </c>
      <c r="C139" s="78"/>
      <c r="D139" s="78"/>
      <c r="E139" s="78"/>
      <c r="F139" s="9">
        <f>F140+F142</f>
        <v>256.54702599999996</v>
      </c>
    </row>
    <row r="140" spans="1:6" ht="15" customHeight="1">
      <c r="A140" s="52">
        <v>1</v>
      </c>
      <c r="B140" s="78" t="s">
        <v>358</v>
      </c>
      <c r="C140" s="78"/>
      <c r="D140" s="78"/>
      <c r="E140" s="78"/>
      <c r="F140" s="9">
        <f>F141</f>
        <v>138.48</v>
      </c>
    </row>
    <row r="141" spans="1:6" ht="15" customHeight="1">
      <c r="A141" s="78"/>
      <c r="B141" s="78" t="s">
        <v>358</v>
      </c>
      <c r="C141" s="78" t="s">
        <v>359</v>
      </c>
      <c r="D141" s="52">
        <v>24</v>
      </c>
      <c r="E141" s="52">
        <f>E122</f>
        <v>5.77</v>
      </c>
      <c r="F141" s="9">
        <f>D141*E141</f>
        <v>138.48</v>
      </c>
    </row>
    <row r="142" spans="1:6" ht="15" customHeight="1">
      <c r="A142" s="52">
        <v>2</v>
      </c>
      <c r="B142" s="78" t="s">
        <v>361</v>
      </c>
      <c r="C142" s="78"/>
      <c r="D142" s="78"/>
      <c r="E142" s="78"/>
      <c r="F142" s="9">
        <f>F144+F145</f>
        <v>118.067026</v>
      </c>
    </row>
    <row r="143" spans="1:6" ht="15" customHeight="1">
      <c r="A143" s="78"/>
      <c r="B143" s="78" t="s">
        <v>404</v>
      </c>
      <c r="C143" s="78" t="s">
        <v>388</v>
      </c>
      <c r="D143" s="52">
        <v>102</v>
      </c>
      <c r="E143" s="9">
        <f>'主要材料费'!D16</f>
        <v>35.6421</v>
      </c>
      <c r="F143" s="79"/>
    </row>
    <row r="144" spans="1:6" ht="15" customHeight="1">
      <c r="A144" s="78"/>
      <c r="B144" s="78" t="s">
        <v>389</v>
      </c>
      <c r="C144" s="52" t="s">
        <v>49</v>
      </c>
      <c r="D144" s="9">
        <v>2</v>
      </c>
      <c r="E144" s="52">
        <f>E125</f>
        <v>4.37</v>
      </c>
      <c r="F144" s="9">
        <f>D144*E144</f>
        <v>8.74</v>
      </c>
    </row>
    <row r="145" spans="1:6" ht="15" customHeight="1">
      <c r="A145" s="78"/>
      <c r="B145" s="78" t="s">
        <v>390</v>
      </c>
      <c r="C145" s="52" t="s">
        <v>83</v>
      </c>
      <c r="D145" s="52">
        <v>3</v>
      </c>
      <c r="E145" s="9">
        <f>(D143*E143)+F144</f>
        <v>3644.2342</v>
      </c>
      <c r="F145" s="9">
        <f>D145*E145/100</f>
        <v>109.327026</v>
      </c>
    </row>
    <row r="146" spans="1:6" ht="15" customHeight="1">
      <c r="A146" s="52" t="s">
        <v>391</v>
      </c>
      <c r="B146" s="78" t="s">
        <v>368</v>
      </c>
      <c r="C146" s="52" t="s">
        <v>83</v>
      </c>
      <c r="D146" s="52">
        <v>2</v>
      </c>
      <c r="E146" s="78"/>
      <c r="F146" s="9">
        <f>D146*F139/100</f>
        <v>5.130940519999999</v>
      </c>
    </row>
    <row r="147" spans="1:6" ht="15" customHeight="1">
      <c r="A147" s="52" t="s">
        <v>392</v>
      </c>
      <c r="B147" s="78" t="s">
        <v>369</v>
      </c>
      <c r="C147" s="52" t="s">
        <v>83</v>
      </c>
      <c r="D147" s="52">
        <v>4</v>
      </c>
      <c r="E147" s="78"/>
      <c r="F147" s="9">
        <f>D147*F139/100</f>
        <v>10.261881039999999</v>
      </c>
    </row>
    <row r="148" spans="1:6" ht="15" customHeight="1">
      <c r="A148" s="78" t="s">
        <v>21</v>
      </c>
      <c r="B148" s="78" t="s">
        <v>370</v>
      </c>
      <c r="C148" s="52" t="s">
        <v>83</v>
      </c>
      <c r="D148" s="52">
        <v>3</v>
      </c>
      <c r="E148" s="78"/>
      <c r="F148" s="9">
        <f>D148*F138/100</f>
        <v>8.158195426799999</v>
      </c>
    </row>
    <row r="149" spans="1:6" ht="15" customHeight="1">
      <c r="A149" s="78" t="s">
        <v>250</v>
      </c>
      <c r="B149" s="78" t="s">
        <v>371</v>
      </c>
      <c r="C149" s="52" t="s">
        <v>83</v>
      </c>
      <c r="D149" s="52">
        <v>5</v>
      </c>
      <c r="E149" s="78"/>
      <c r="F149" s="9">
        <f>D149*(F148+F138)/100</f>
        <v>14.004902149339998</v>
      </c>
    </row>
    <row r="150" spans="1:6" ht="15" customHeight="1">
      <c r="A150" s="78" t="s">
        <v>372</v>
      </c>
      <c r="B150" s="78" t="s">
        <v>373</v>
      </c>
      <c r="C150" s="52" t="s">
        <v>83</v>
      </c>
      <c r="D150" s="52">
        <v>9</v>
      </c>
      <c r="E150" s="78"/>
      <c r="F150" s="9">
        <f>D150*(F138+F148+F149)/100</f>
        <v>26.4692650622526</v>
      </c>
    </row>
    <row r="151" spans="1:6" ht="15" customHeight="1">
      <c r="A151" s="78" t="s">
        <v>393</v>
      </c>
      <c r="B151" s="78"/>
      <c r="C151" s="78"/>
      <c r="D151" s="78"/>
      <c r="E151" s="78"/>
      <c r="F151" s="9">
        <f>F138+F148+F149+F150</f>
        <v>320.57221019839255</v>
      </c>
    </row>
    <row r="152" spans="1:6" ht="15" customHeight="1">
      <c r="A152" s="80"/>
      <c r="B152" s="31"/>
      <c r="C152" s="31"/>
      <c r="D152" s="81"/>
      <c r="E152" s="81"/>
      <c r="F152" s="81"/>
    </row>
    <row r="153" spans="1:6" ht="15" customHeight="1">
      <c r="A153" s="74" t="s">
        <v>405</v>
      </c>
      <c r="B153" s="75"/>
      <c r="C153" s="75"/>
      <c r="D153" s="75"/>
      <c r="E153" s="75"/>
      <c r="F153" s="75"/>
    </row>
    <row r="154" spans="1:6" ht="15" customHeight="1">
      <c r="A154" s="76" t="s">
        <v>399</v>
      </c>
      <c r="B154" s="76"/>
      <c r="C154" s="76"/>
      <c r="D154" s="76"/>
      <c r="E154" s="77" t="s">
        <v>382</v>
      </c>
      <c r="F154" s="77"/>
    </row>
    <row r="155" spans="1:6" ht="15" customHeight="1">
      <c r="A155" s="76" t="s">
        <v>383</v>
      </c>
      <c r="B155" s="76"/>
      <c r="C155" s="76"/>
      <c r="D155" s="76"/>
      <c r="E155" s="76"/>
      <c r="F155" s="76"/>
    </row>
    <row r="156" spans="1:6" ht="15" customHeight="1">
      <c r="A156" s="1" t="s">
        <v>349</v>
      </c>
      <c r="B156" s="1" t="s">
        <v>384</v>
      </c>
      <c r="C156" s="1" t="s">
        <v>351</v>
      </c>
      <c r="D156" s="1" t="s">
        <v>352</v>
      </c>
      <c r="E156" s="1" t="s">
        <v>353</v>
      </c>
      <c r="F156" s="1" t="s">
        <v>385</v>
      </c>
    </row>
    <row r="157" spans="1:6" ht="15" customHeight="1">
      <c r="A157" s="78" t="s">
        <v>11</v>
      </c>
      <c r="B157" s="78" t="s">
        <v>355</v>
      </c>
      <c r="C157" s="78"/>
      <c r="D157" s="78"/>
      <c r="E157" s="78"/>
      <c r="F157" s="9">
        <f>F158+F165+F166</f>
        <v>354.5329318</v>
      </c>
    </row>
    <row r="158" spans="1:6" ht="15" customHeight="1">
      <c r="A158" s="52" t="s">
        <v>386</v>
      </c>
      <c r="B158" s="78" t="s">
        <v>356</v>
      </c>
      <c r="C158" s="78"/>
      <c r="D158" s="78"/>
      <c r="E158" s="78"/>
      <c r="F158" s="9">
        <f>F159+F161</f>
        <v>334.46502999999996</v>
      </c>
    </row>
    <row r="159" spans="1:6" ht="15" customHeight="1">
      <c r="A159" s="52">
        <v>1</v>
      </c>
      <c r="B159" s="78" t="s">
        <v>358</v>
      </c>
      <c r="C159" s="78"/>
      <c r="D159" s="78"/>
      <c r="E159" s="78"/>
      <c r="F159" s="9">
        <f>F160</f>
        <v>138.48</v>
      </c>
    </row>
    <row r="160" spans="1:6" ht="15" customHeight="1">
      <c r="A160" s="78"/>
      <c r="B160" s="78" t="s">
        <v>358</v>
      </c>
      <c r="C160" s="78" t="s">
        <v>359</v>
      </c>
      <c r="D160" s="52">
        <v>24</v>
      </c>
      <c r="E160" s="52">
        <f>E141</f>
        <v>5.77</v>
      </c>
      <c r="F160" s="9">
        <f>D160*E160</f>
        <v>138.48</v>
      </c>
    </row>
    <row r="161" spans="1:6" ht="15" customHeight="1">
      <c r="A161" s="52">
        <v>2</v>
      </c>
      <c r="B161" s="78" t="s">
        <v>361</v>
      </c>
      <c r="C161" s="78"/>
      <c r="D161" s="78"/>
      <c r="E161" s="78"/>
      <c r="F161" s="9">
        <f>F163+F164</f>
        <v>195.98502999999997</v>
      </c>
    </row>
    <row r="162" spans="1:6" ht="15" customHeight="1">
      <c r="A162" s="78"/>
      <c r="B162" s="78" t="s">
        <v>406</v>
      </c>
      <c r="C162" s="78" t="s">
        <v>388</v>
      </c>
      <c r="D162" s="52">
        <v>102</v>
      </c>
      <c r="E162" s="9">
        <f>'主要材料费'!D17</f>
        <v>61.1055</v>
      </c>
      <c r="F162" s="79"/>
    </row>
    <row r="163" spans="1:6" ht="15" customHeight="1">
      <c r="A163" s="78"/>
      <c r="B163" s="78" t="s">
        <v>389</v>
      </c>
      <c r="C163" s="52" t="s">
        <v>49</v>
      </c>
      <c r="D163" s="9">
        <v>2</v>
      </c>
      <c r="E163" s="52">
        <f>E144</f>
        <v>4.37</v>
      </c>
      <c r="F163" s="9">
        <f>D163*E163</f>
        <v>8.74</v>
      </c>
    </row>
    <row r="164" spans="1:6" ht="15" customHeight="1">
      <c r="A164" s="78"/>
      <c r="B164" s="78" t="s">
        <v>390</v>
      </c>
      <c r="C164" s="52" t="s">
        <v>83</v>
      </c>
      <c r="D164" s="52">
        <v>3</v>
      </c>
      <c r="E164" s="9">
        <f>(D162*E162)+F163</f>
        <v>6241.500999999999</v>
      </c>
      <c r="F164" s="9">
        <f>D164*E164/100</f>
        <v>187.24502999999996</v>
      </c>
    </row>
    <row r="165" spans="1:6" ht="15" customHeight="1">
      <c r="A165" s="52" t="s">
        <v>391</v>
      </c>
      <c r="B165" s="78" t="s">
        <v>368</v>
      </c>
      <c r="C165" s="52" t="s">
        <v>83</v>
      </c>
      <c r="D165" s="52">
        <v>2</v>
      </c>
      <c r="E165" s="78"/>
      <c r="F165" s="9">
        <f>D165*F158/100</f>
        <v>6.689300599999999</v>
      </c>
    </row>
    <row r="166" spans="1:6" ht="15" customHeight="1">
      <c r="A166" s="52" t="s">
        <v>392</v>
      </c>
      <c r="B166" s="78" t="s">
        <v>369</v>
      </c>
      <c r="C166" s="52" t="s">
        <v>83</v>
      </c>
      <c r="D166" s="52">
        <v>4</v>
      </c>
      <c r="E166" s="78"/>
      <c r="F166" s="9">
        <f>D166*F158/100</f>
        <v>13.378601199999999</v>
      </c>
    </row>
    <row r="167" spans="1:6" ht="15" customHeight="1">
      <c r="A167" s="78" t="s">
        <v>21</v>
      </c>
      <c r="B167" s="78" t="s">
        <v>370</v>
      </c>
      <c r="C167" s="52" t="s">
        <v>83</v>
      </c>
      <c r="D167" s="52">
        <v>3</v>
      </c>
      <c r="E167" s="78"/>
      <c r="F167" s="9">
        <f>D167*F157/100</f>
        <v>10.635987953999999</v>
      </c>
    </row>
    <row r="168" spans="1:6" ht="15" customHeight="1">
      <c r="A168" s="78" t="s">
        <v>250</v>
      </c>
      <c r="B168" s="78" t="s">
        <v>371</v>
      </c>
      <c r="C168" s="52" t="s">
        <v>83</v>
      </c>
      <c r="D168" s="52">
        <v>5</v>
      </c>
      <c r="E168" s="78"/>
      <c r="F168" s="9">
        <f>D168*(F167+F157)/100</f>
        <v>18.258445987699996</v>
      </c>
    </row>
    <row r="169" spans="1:6" ht="15" customHeight="1">
      <c r="A169" s="78" t="s">
        <v>372</v>
      </c>
      <c r="B169" s="78" t="s">
        <v>373</v>
      </c>
      <c r="C169" s="52" t="s">
        <v>83</v>
      </c>
      <c r="D169" s="52">
        <v>9</v>
      </c>
      <c r="E169" s="78"/>
      <c r="F169" s="9">
        <f>D169*(F157+F167+F168)/100</f>
        <v>34.50846291675299</v>
      </c>
    </row>
    <row r="170" spans="1:6" ht="15" customHeight="1">
      <c r="A170" s="78" t="s">
        <v>393</v>
      </c>
      <c r="B170" s="78"/>
      <c r="C170" s="78"/>
      <c r="D170" s="78"/>
      <c r="E170" s="78"/>
      <c r="F170" s="9">
        <f>F157+F167+F168+F169</f>
        <v>417.9358286584529</v>
      </c>
    </row>
    <row r="171" spans="1:6" ht="15" customHeight="1">
      <c r="A171" s="80"/>
      <c r="B171" s="31"/>
      <c r="C171" s="31"/>
      <c r="D171" s="81"/>
      <c r="E171" s="81"/>
      <c r="F171" s="81"/>
    </row>
    <row r="172" spans="1:6" ht="15" customHeight="1">
      <c r="A172" s="74" t="s">
        <v>407</v>
      </c>
      <c r="B172" s="75"/>
      <c r="C172" s="75"/>
      <c r="D172" s="75"/>
      <c r="E172" s="75"/>
      <c r="F172" s="75"/>
    </row>
    <row r="173" spans="1:6" ht="15" customHeight="1">
      <c r="A173" s="76" t="s">
        <v>399</v>
      </c>
      <c r="B173" s="76"/>
      <c r="C173" s="76"/>
      <c r="D173" s="76"/>
      <c r="E173" s="77" t="s">
        <v>382</v>
      </c>
      <c r="F173" s="77"/>
    </row>
    <row r="174" spans="1:6" ht="15" customHeight="1">
      <c r="A174" s="76" t="s">
        <v>383</v>
      </c>
      <c r="B174" s="76"/>
      <c r="C174" s="76"/>
      <c r="D174" s="76"/>
      <c r="E174" s="76"/>
      <c r="F174" s="76"/>
    </row>
    <row r="175" spans="1:6" ht="15" customHeight="1">
      <c r="A175" s="1" t="s">
        <v>349</v>
      </c>
      <c r="B175" s="1" t="s">
        <v>384</v>
      </c>
      <c r="C175" s="1" t="s">
        <v>351</v>
      </c>
      <c r="D175" s="1" t="s">
        <v>352</v>
      </c>
      <c r="E175" s="1" t="s">
        <v>353</v>
      </c>
      <c r="F175" s="1" t="s">
        <v>385</v>
      </c>
    </row>
    <row r="176" spans="1:6" ht="15" customHeight="1">
      <c r="A176" s="78" t="s">
        <v>11</v>
      </c>
      <c r="B176" s="78" t="s">
        <v>355</v>
      </c>
      <c r="C176" s="78"/>
      <c r="D176" s="78"/>
      <c r="E176" s="78"/>
      <c r="F176" s="9">
        <f>F177+F184+F185</f>
        <v>255.41402991999996</v>
      </c>
    </row>
    <row r="177" spans="1:6" ht="15" customHeight="1">
      <c r="A177" s="52" t="s">
        <v>386</v>
      </c>
      <c r="B177" s="78" t="s">
        <v>356</v>
      </c>
      <c r="C177" s="78"/>
      <c r="D177" s="78"/>
      <c r="E177" s="78"/>
      <c r="F177" s="9">
        <f>F178+F180</f>
        <v>240.95663199999996</v>
      </c>
    </row>
    <row r="178" spans="1:6" ht="15" customHeight="1">
      <c r="A178" s="52">
        <v>1</v>
      </c>
      <c r="B178" s="78" t="s">
        <v>358</v>
      </c>
      <c r="C178" s="78"/>
      <c r="D178" s="78"/>
      <c r="E178" s="78"/>
      <c r="F178" s="9">
        <f>F179</f>
        <v>138.48</v>
      </c>
    </row>
    <row r="179" spans="1:6" ht="15" customHeight="1">
      <c r="A179" s="78"/>
      <c r="B179" s="78" t="s">
        <v>358</v>
      </c>
      <c r="C179" s="78" t="s">
        <v>359</v>
      </c>
      <c r="D179" s="52">
        <v>24</v>
      </c>
      <c r="E179" s="52">
        <f>E160</f>
        <v>5.77</v>
      </c>
      <c r="F179" s="9">
        <f>D179*E179</f>
        <v>138.48</v>
      </c>
    </row>
    <row r="180" spans="1:6" ht="15" customHeight="1">
      <c r="A180" s="52">
        <v>2</v>
      </c>
      <c r="B180" s="78" t="s">
        <v>361</v>
      </c>
      <c r="C180" s="78"/>
      <c r="D180" s="78"/>
      <c r="E180" s="78"/>
      <c r="F180" s="9">
        <f>F182+F183</f>
        <v>102.47663199999998</v>
      </c>
    </row>
    <row r="181" spans="1:6" ht="15" customHeight="1">
      <c r="A181" s="78"/>
      <c r="B181" s="78" t="s">
        <v>408</v>
      </c>
      <c r="C181" s="78" t="s">
        <v>388</v>
      </c>
      <c r="D181" s="52">
        <v>102</v>
      </c>
      <c r="E181" s="9">
        <f>'主要材料费'!D18</f>
        <v>30.5472</v>
      </c>
      <c r="F181" s="79"/>
    </row>
    <row r="182" spans="1:6" ht="15" customHeight="1">
      <c r="A182" s="78"/>
      <c r="B182" s="78" t="s">
        <v>389</v>
      </c>
      <c r="C182" s="52" t="s">
        <v>49</v>
      </c>
      <c r="D182" s="9">
        <v>2</v>
      </c>
      <c r="E182" s="52">
        <f>E163</f>
        <v>4.37</v>
      </c>
      <c r="F182" s="9">
        <f>D182*E182</f>
        <v>8.74</v>
      </c>
    </row>
    <row r="183" spans="1:6" ht="15" customHeight="1">
      <c r="A183" s="78"/>
      <c r="B183" s="78" t="s">
        <v>390</v>
      </c>
      <c r="C183" s="52" t="s">
        <v>83</v>
      </c>
      <c r="D183" s="52">
        <v>3</v>
      </c>
      <c r="E183" s="9">
        <f>(D181*E181)+F182</f>
        <v>3124.5544</v>
      </c>
      <c r="F183" s="9">
        <f>D183*E183/100</f>
        <v>93.73663199999999</v>
      </c>
    </row>
    <row r="184" spans="1:6" ht="15" customHeight="1">
      <c r="A184" s="52" t="s">
        <v>391</v>
      </c>
      <c r="B184" s="78" t="s">
        <v>368</v>
      </c>
      <c r="C184" s="52" t="s">
        <v>83</v>
      </c>
      <c r="D184" s="52">
        <v>2</v>
      </c>
      <c r="E184" s="78"/>
      <c r="F184" s="9">
        <f>D184*F177/100</f>
        <v>4.819132639999999</v>
      </c>
    </row>
    <row r="185" spans="1:6" ht="15" customHeight="1">
      <c r="A185" s="52" t="s">
        <v>392</v>
      </c>
      <c r="B185" s="78" t="s">
        <v>369</v>
      </c>
      <c r="C185" s="52" t="s">
        <v>83</v>
      </c>
      <c r="D185" s="52">
        <v>4</v>
      </c>
      <c r="E185" s="78"/>
      <c r="F185" s="9">
        <f>D185*F177/100</f>
        <v>9.638265279999999</v>
      </c>
    </row>
    <row r="186" spans="1:6" ht="15" customHeight="1">
      <c r="A186" s="78" t="s">
        <v>21</v>
      </c>
      <c r="B186" s="78" t="s">
        <v>370</v>
      </c>
      <c r="C186" s="52" t="s">
        <v>83</v>
      </c>
      <c r="D186" s="52">
        <v>3</v>
      </c>
      <c r="E186" s="78"/>
      <c r="F186" s="9">
        <f>D186*F176/100</f>
        <v>7.662420897599999</v>
      </c>
    </row>
    <row r="187" spans="1:6" ht="15" customHeight="1">
      <c r="A187" s="78" t="s">
        <v>250</v>
      </c>
      <c r="B187" s="78" t="s">
        <v>371</v>
      </c>
      <c r="C187" s="52" t="s">
        <v>83</v>
      </c>
      <c r="D187" s="52">
        <v>5</v>
      </c>
      <c r="E187" s="78"/>
      <c r="F187" s="9">
        <f>D187*(F186+F176)/100</f>
        <v>13.153822540879997</v>
      </c>
    </row>
    <row r="188" spans="1:6" ht="15" customHeight="1">
      <c r="A188" s="78" t="s">
        <v>372</v>
      </c>
      <c r="B188" s="78" t="s">
        <v>373</v>
      </c>
      <c r="C188" s="52" t="s">
        <v>83</v>
      </c>
      <c r="D188" s="52">
        <v>9</v>
      </c>
      <c r="E188" s="78"/>
      <c r="F188" s="9">
        <f>D188*(F176+F186+F187)/100</f>
        <v>24.8607246022632</v>
      </c>
    </row>
    <row r="189" spans="1:6" ht="15" customHeight="1">
      <c r="A189" s="78" t="s">
        <v>393</v>
      </c>
      <c r="B189" s="78"/>
      <c r="C189" s="78"/>
      <c r="D189" s="78"/>
      <c r="E189" s="78"/>
      <c r="F189" s="9">
        <f>F176+F186+F187+F188</f>
        <v>301.09099796074315</v>
      </c>
    </row>
    <row r="190" spans="1:6" ht="15" customHeight="1">
      <c r="A190" s="80"/>
      <c r="B190" s="31"/>
      <c r="C190" s="31"/>
      <c r="D190" s="81"/>
      <c r="E190" s="81"/>
      <c r="F190" s="81"/>
    </row>
    <row r="191" spans="1:6" ht="15" customHeight="1">
      <c r="A191" s="74" t="s">
        <v>409</v>
      </c>
      <c r="B191" s="75"/>
      <c r="C191" s="75"/>
      <c r="D191" s="75"/>
      <c r="E191" s="75"/>
      <c r="F191" s="75"/>
    </row>
    <row r="192" spans="1:6" ht="15" customHeight="1">
      <c r="A192" s="76" t="s">
        <v>399</v>
      </c>
      <c r="B192" s="76"/>
      <c r="C192" s="76"/>
      <c r="D192" s="76"/>
      <c r="E192" s="77" t="s">
        <v>382</v>
      </c>
      <c r="F192" s="77"/>
    </row>
    <row r="193" spans="1:6" ht="15" customHeight="1">
      <c r="A193" s="76" t="s">
        <v>383</v>
      </c>
      <c r="B193" s="76"/>
      <c r="C193" s="76"/>
      <c r="D193" s="76"/>
      <c r="E193" s="76"/>
      <c r="F193" s="76"/>
    </row>
    <row r="194" spans="1:6" ht="15" customHeight="1">
      <c r="A194" s="1" t="s">
        <v>349</v>
      </c>
      <c r="B194" s="1" t="s">
        <v>384</v>
      </c>
      <c r="C194" s="1" t="s">
        <v>351</v>
      </c>
      <c r="D194" s="1" t="s">
        <v>352</v>
      </c>
      <c r="E194" s="1" t="s">
        <v>353</v>
      </c>
      <c r="F194" s="1" t="s">
        <v>385</v>
      </c>
    </row>
    <row r="195" spans="1:6" ht="15" customHeight="1">
      <c r="A195" s="78" t="s">
        <v>11</v>
      </c>
      <c r="B195" s="78" t="s">
        <v>355</v>
      </c>
      <c r="C195" s="78"/>
      <c r="D195" s="78"/>
      <c r="E195" s="78"/>
      <c r="F195" s="9">
        <f>F196+F203+F204</f>
        <v>304.95547888000004</v>
      </c>
    </row>
    <row r="196" spans="1:6" ht="15" customHeight="1">
      <c r="A196" s="52" t="s">
        <v>386</v>
      </c>
      <c r="B196" s="78" t="s">
        <v>356</v>
      </c>
      <c r="C196" s="78"/>
      <c r="D196" s="78"/>
      <c r="E196" s="78"/>
      <c r="F196" s="9">
        <f>F197+F199</f>
        <v>287.693848</v>
      </c>
    </row>
    <row r="197" spans="1:6" ht="15" customHeight="1">
      <c r="A197" s="52">
        <v>1</v>
      </c>
      <c r="B197" s="78" t="s">
        <v>358</v>
      </c>
      <c r="C197" s="78"/>
      <c r="D197" s="78"/>
      <c r="E197" s="78"/>
      <c r="F197" s="9">
        <f>F198</f>
        <v>138.48</v>
      </c>
    </row>
    <row r="198" spans="1:6" ht="15" customHeight="1">
      <c r="A198" s="78"/>
      <c r="B198" s="78" t="s">
        <v>358</v>
      </c>
      <c r="C198" s="78" t="s">
        <v>359</v>
      </c>
      <c r="D198" s="52">
        <v>24</v>
      </c>
      <c r="E198" s="52">
        <f>E179</f>
        <v>5.77</v>
      </c>
      <c r="F198" s="9">
        <f>D198*E198</f>
        <v>138.48</v>
      </c>
    </row>
    <row r="199" spans="1:6" ht="15" customHeight="1">
      <c r="A199" s="52">
        <v>2</v>
      </c>
      <c r="B199" s="78" t="s">
        <v>361</v>
      </c>
      <c r="C199" s="78"/>
      <c r="D199" s="78"/>
      <c r="E199" s="78"/>
      <c r="F199" s="9">
        <f>F201+F202</f>
        <v>149.213848</v>
      </c>
    </row>
    <row r="200" spans="1:6" ht="15" customHeight="1">
      <c r="A200" s="78"/>
      <c r="B200" s="78" t="s">
        <v>410</v>
      </c>
      <c r="C200" s="78" t="s">
        <v>388</v>
      </c>
      <c r="D200" s="52">
        <v>102</v>
      </c>
      <c r="E200" s="9">
        <f>'主要材料费'!D19</f>
        <v>45.8208</v>
      </c>
      <c r="F200" s="79"/>
    </row>
    <row r="201" spans="1:6" ht="15" customHeight="1">
      <c r="A201" s="78"/>
      <c r="B201" s="78" t="s">
        <v>389</v>
      </c>
      <c r="C201" s="52" t="s">
        <v>49</v>
      </c>
      <c r="D201" s="9">
        <v>2</v>
      </c>
      <c r="E201" s="52">
        <f>E182</f>
        <v>4.37</v>
      </c>
      <c r="F201" s="9">
        <f>D201*E201</f>
        <v>8.74</v>
      </c>
    </row>
    <row r="202" spans="1:6" ht="15" customHeight="1">
      <c r="A202" s="78"/>
      <c r="B202" s="78" t="s">
        <v>390</v>
      </c>
      <c r="C202" s="52" t="s">
        <v>83</v>
      </c>
      <c r="D202" s="52">
        <v>3</v>
      </c>
      <c r="E202" s="9">
        <f>(D200*E200)+F201</f>
        <v>4682.4616</v>
      </c>
      <c r="F202" s="9">
        <f>D202*E202/100</f>
        <v>140.473848</v>
      </c>
    </row>
    <row r="203" spans="1:6" ht="15" customHeight="1">
      <c r="A203" s="52" t="s">
        <v>391</v>
      </c>
      <c r="B203" s="78" t="s">
        <v>368</v>
      </c>
      <c r="C203" s="52" t="s">
        <v>83</v>
      </c>
      <c r="D203" s="52">
        <v>2</v>
      </c>
      <c r="E203" s="78"/>
      <c r="F203" s="9">
        <f>D203*F196/100</f>
        <v>5.75387696</v>
      </c>
    </row>
    <row r="204" spans="1:6" ht="15" customHeight="1">
      <c r="A204" s="52" t="s">
        <v>392</v>
      </c>
      <c r="B204" s="78" t="s">
        <v>369</v>
      </c>
      <c r="C204" s="52" t="s">
        <v>83</v>
      </c>
      <c r="D204" s="52">
        <v>4</v>
      </c>
      <c r="E204" s="78"/>
      <c r="F204" s="9">
        <f>D204*F196/100</f>
        <v>11.50775392</v>
      </c>
    </row>
    <row r="205" spans="1:6" ht="15" customHeight="1">
      <c r="A205" s="78" t="s">
        <v>21</v>
      </c>
      <c r="B205" s="78" t="s">
        <v>370</v>
      </c>
      <c r="C205" s="52" t="s">
        <v>83</v>
      </c>
      <c r="D205" s="52">
        <v>3</v>
      </c>
      <c r="E205" s="78"/>
      <c r="F205" s="9">
        <f>D205*F195/100</f>
        <v>9.1486643664</v>
      </c>
    </row>
    <row r="206" spans="1:6" ht="15" customHeight="1">
      <c r="A206" s="78" t="s">
        <v>250</v>
      </c>
      <c r="B206" s="78" t="s">
        <v>371</v>
      </c>
      <c r="C206" s="52" t="s">
        <v>83</v>
      </c>
      <c r="D206" s="52">
        <v>5</v>
      </c>
      <c r="E206" s="78"/>
      <c r="F206" s="9">
        <f>D206*(F205+F195)/100</f>
        <v>15.705207162320002</v>
      </c>
    </row>
    <row r="207" spans="1:6" ht="15" customHeight="1">
      <c r="A207" s="78" t="s">
        <v>372</v>
      </c>
      <c r="B207" s="78" t="s">
        <v>373</v>
      </c>
      <c r="C207" s="52" t="s">
        <v>83</v>
      </c>
      <c r="D207" s="52">
        <v>9</v>
      </c>
      <c r="E207" s="78"/>
      <c r="F207" s="9">
        <f>D207*(F195+F205+F206)/100</f>
        <v>29.682841536784803</v>
      </c>
    </row>
    <row r="208" spans="1:6" ht="15" customHeight="1">
      <c r="A208" s="78" t="s">
        <v>393</v>
      </c>
      <c r="B208" s="78"/>
      <c r="C208" s="78"/>
      <c r="D208" s="78"/>
      <c r="E208" s="78"/>
      <c r="F208" s="9">
        <f>F195+F205+F206+F207</f>
        <v>359.4921919455048</v>
      </c>
    </row>
    <row r="209" spans="1:6" ht="15" customHeight="1">
      <c r="A209" s="80"/>
      <c r="B209" s="31"/>
      <c r="C209" s="31"/>
      <c r="D209" s="81"/>
      <c r="E209" s="81"/>
      <c r="F209" s="81"/>
    </row>
    <row r="210" spans="1:6" ht="15" customHeight="1">
      <c r="A210" s="74" t="s">
        <v>411</v>
      </c>
      <c r="B210" s="75"/>
      <c r="C210" s="75"/>
      <c r="D210" s="75"/>
      <c r="E210" s="75"/>
      <c r="F210" s="75"/>
    </row>
    <row r="211" spans="1:6" ht="15" customHeight="1">
      <c r="A211" s="76" t="s">
        <v>399</v>
      </c>
      <c r="B211" s="76"/>
      <c r="C211" s="76"/>
      <c r="D211" s="76"/>
      <c r="E211" s="77" t="s">
        <v>382</v>
      </c>
      <c r="F211" s="77"/>
    </row>
    <row r="212" spans="1:6" ht="15" customHeight="1">
      <c r="A212" s="76" t="s">
        <v>383</v>
      </c>
      <c r="B212" s="76"/>
      <c r="C212" s="76"/>
      <c r="D212" s="76"/>
      <c r="E212" s="76"/>
      <c r="F212" s="76"/>
    </row>
    <row r="213" spans="1:6" ht="15" customHeight="1">
      <c r="A213" s="1" t="s">
        <v>349</v>
      </c>
      <c r="B213" s="1" t="s">
        <v>384</v>
      </c>
      <c r="C213" s="1" t="s">
        <v>351</v>
      </c>
      <c r="D213" s="1" t="s">
        <v>352</v>
      </c>
      <c r="E213" s="1" t="s">
        <v>353</v>
      </c>
      <c r="F213" s="1" t="s">
        <v>385</v>
      </c>
    </row>
    <row r="214" spans="1:6" ht="15" customHeight="1">
      <c r="A214" s="78" t="s">
        <v>11</v>
      </c>
      <c r="B214" s="78" t="s">
        <v>355</v>
      </c>
      <c r="C214" s="78"/>
      <c r="D214" s="78"/>
      <c r="E214" s="78"/>
      <c r="F214" s="9">
        <f>F215+F222+F223</f>
        <v>420.56419443999994</v>
      </c>
    </row>
    <row r="215" spans="1:6" ht="15" customHeight="1">
      <c r="A215" s="52" t="s">
        <v>386</v>
      </c>
      <c r="B215" s="78" t="s">
        <v>356</v>
      </c>
      <c r="C215" s="78"/>
      <c r="D215" s="78"/>
      <c r="E215" s="78"/>
      <c r="F215" s="9">
        <f>F216+F218</f>
        <v>396.7586739999999</v>
      </c>
    </row>
    <row r="216" spans="1:6" ht="15" customHeight="1">
      <c r="A216" s="52">
        <v>1</v>
      </c>
      <c r="B216" s="78" t="s">
        <v>358</v>
      </c>
      <c r="C216" s="78"/>
      <c r="D216" s="78"/>
      <c r="E216" s="78"/>
      <c r="F216" s="9">
        <f>F217</f>
        <v>138.48</v>
      </c>
    </row>
    <row r="217" spans="1:6" ht="15" customHeight="1">
      <c r="A217" s="78"/>
      <c r="B217" s="78" t="s">
        <v>358</v>
      </c>
      <c r="C217" s="78" t="s">
        <v>359</v>
      </c>
      <c r="D217" s="52">
        <v>24</v>
      </c>
      <c r="E217" s="52">
        <f>E198</f>
        <v>5.77</v>
      </c>
      <c r="F217" s="9">
        <f>D217*E217</f>
        <v>138.48</v>
      </c>
    </row>
    <row r="218" spans="1:6" ht="15" customHeight="1">
      <c r="A218" s="52">
        <v>2</v>
      </c>
      <c r="B218" s="78" t="s">
        <v>361</v>
      </c>
      <c r="C218" s="78"/>
      <c r="D218" s="78"/>
      <c r="E218" s="78"/>
      <c r="F218" s="9">
        <f>F220+F221</f>
        <v>258.27867399999997</v>
      </c>
    </row>
    <row r="219" spans="1:6" ht="15" customHeight="1">
      <c r="A219" s="78"/>
      <c r="B219" s="78" t="s">
        <v>412</v>
      </c>
      <c r="C219" s="78" t="s">
        <v>388</v>
      </c>
      <c r="D219" s="52">
        <v>102</v>
      </c>
      <c r="E219" s="9">
        <f>'主要材料费'!D20</f>
        <v>81.4629</v>
      </c>
      <c r="F219" s="79"/>
    </row>
    <row r="220" spans="1:6" ht="15" customHeight="1">
      <c r="A220" s="78"/>
      <c r="B220" s="78" t="s">
        <v>389</v>
      </c>
      <c r="C220" s="52" t="s">
        <v>49</v>
      </c>
      <c r="D220" s="9">
        <v>2</v>
      </c>
      <c r="E220" s="52">
        <f>E201</f>
        <v>4.37</v>
      </c>
      <c r="F220" s="9">
        <f>D220*E220</f>
        <v>8.74</v>
      </c>
    </row>
    <row r="221" spans="1:6" ht="15" customHeight="1">
      <c r="A221" s="78"/>
      <c r="B221" s="78" t="s">
        <v>390</v>
      </c>
      <c r="C221" s="52" t="s">
        <v>83</v>
      </c>
      <c r="D221" s="52">
        <v>3</v>
      </c>
      <c r="E221" s="9">
        <f>(D219*E219)+F220</f>
        <v>8317.9558</v>
      </c>
      <c r="F221" s="9">
        <f>D221*E221/100</f>
        <v>249.538674</v>
      </c>
    </row>
    <row r="222" spans="1:6" ht="15" customHeight="1">
      <c r="A222" s="52" t="s">
        <v>391</v>
      </c>
      <c r="B222" s="78" t="s">
        <v>368</v>
      </c>
      <c r="C222" s="52" t="s">
        <v>83</v>
      </c>
      <c r="D222" s="52">
        <v>2</v>
      </c>
      <c r="E222" s="78"/>
      <c r="F222" s="9">
        <f>D222*F215/100</f>
        <v>7.935173479999999</v>
      </c>
    </row>
    <row r="223" spans="1:6" ht="15" customHeight="1">
      <c r="A223" s="52" t="s">
        <v>392</v>
      </c>
      <c r="B223" s="78" t="s">
        <v>369</v>
      </c>
      <c r="C223" s="52" t="s">
        <v>83</v>
      </c>
      <c r="D223" s="52">
        <v>4</v>
      </c>
      <c r="E223" s="78"/>
      <c r="F223" s="9">
        <f>D223*F215/100</f>
        <v>15.870346959999997</v>
      </c>
    </row>
    <row r="224" spans="1:6" ht="15" customHeight="1">
      <c r="A224" s="78" t="s">
        <v>21</v>
      </c>
      <c r="B224" s="78" t="s">
        <v>370</v>
      </c>
      <c r="C224" s="52" t="s">
        <v>83</v>
      </c>
      <c r="D224" s="52">
        <v>3</v>
      </c>
      <c r="E224" s="78"/>
      <c r="F224" s="9">
        <f>D224*F214/100</f>
        <v>12.616925833199998</v>
      </c>
    </row>
    <row r="225" spans="1:6" ht="15" customHeight="1">
      <c r="A225" s="78" t="s">
        <v>250</v>
      </c>
      <c r="B225" s="78" t="s">
        <v>371</v>
      </c>
      <c r="C225" s="52" t="s">
        <v>83</v>
      </c>
      <c r="D225" s="52">
        <v>5</v>
      </c>
      <c r="E225" s="78"/>
      <c r="F225" s="9">
        <f>D225*(F224+F214)/100</f>
        <v>21.659056013659995</v>
      </c>
    </row>
    <row r="226" spans="1:6" ht="15" customHeight="1">
      <c r="A226" s="78" t="s">
        <v>372</v>
      </c>
      <c r="B226" s="78" t="s">
        <v>373</v>
      </c>
      <c r="C226" s="52" t="s">
        <v>83</v>
      </c>
      <c r="D226" s="52">
        <v>9</v>
      </c>
      <c r="E226" s="78"/>
      <c r="F226" s="9">
        <f>D226*(F214+F224+F225)/100</f>
        <v>40.9356158658174</v>
      </c>
    </row>
    <row r="227" spans="1:6" ht="15" customHeight="1">
      <c r="A227" s="78" t="s">
        <v>393</v>
      </c>
      <c r="B227" s="78"/>
      <c r="C227" s="78"/>
      <c r="D227" s="78"/>
      <c r="E227" s="78"/>
      <c r="F227" s="9">
        <f>F214+F224+F225+F226</f>
        <v>495.77579215267735</v>
      </c>
    </row>
    <row r="228" spans="1:6" ht="15" customHeight="1">
      <c r="A228" s="80"/>
      <c r="B228" s="31"/>
      <c r="C228" s="31"/>
      <c r="D228" s="81"/>
      <c r="E228" s="81"/>
      <c r="F228" s="81"/>
    </row>
    <row r="229" spans="1:6" ht="15" customHeight="1">
      <c r="A229" s="74" t="s">
        <v>413</v>
      </c>
      <c r="B229" s="75"/>
      <c r="C229" s="75"/>
      <c r="D229" s="75"/>
      <c r="E229" s="75"/>
      <c r="F229" s="75"/>
    </row>
    <row r="230" spans="1:6" ht="15" customHeight="1">
      <c r="A230" s="76" t="s">
        <v>399</v>
      </c>
      <c r="B230" s="76"/>
      <c r="C230" s="76"/>
      <c r="D230" s="76"/>
      <c r="E230" s="77" t="s">
        <v>382</v>
      </c>
      <c r="F230" s="77"/>
    </row>
    <row r="231" spans="1:6" ht="15" customHeight="1">
      <c r="A231" s="76" t="s">
        <v>383</v>
      </c>
      <c r="B231" s="76"/>
      <c r="C231" s="76"/>
      <c r="D231" s="76"/>
      <c r="E231" s="76"/>
      <c r="F231" s="76"/>
    </row>
    <row r="232" spans="1:6" ht="15" customHeight="1">
      <c r="A232" s="1" t="s">
        <v>349</v>
      </c>
      <c r="B232" s="1" t="s">
        <v>384</v>
      </c>
      <c r="C232" s="1" t="s">
        <v>351</v>
      </c>
      <c r="D232" s="1" t="s">
        <v>352</v>
      </c>
      <c r="E232" s="1" t="s">
        <v>353</v>
      </c>
      <c r="F232" s="1" t="s">
        <v>385</v>
      </c>
    </row>
    <row r="233" spans="1:6" ht="15" customHeight="1">
      <c r="A233" s="78" t="s">
        <v>11</v>
      </c>
      <c r="B233" s="78" t="s">
        <v>355</v>
      </c>
      <c r="C233" s="78"/>
      <c r="D233" s="78"/>
      <c r="E233" s="78"/>
      <c r="F233" s="9">
        <f>F234+F241+F242</f>
        <v>480.36677199999997</v>
      </c>
    </row>
    <row r="234" spans="1:6" ht="15" customHeight="1">
      <c r="A234" s="52" t="s">
        <v>386</v>
      </c>
      <c r="B234" s="78" t="s">
        <v>356</v>
      </c>
      <c r="C234" s="78"/>
      <c r="D234" s="78"/>
      <c r="E234" s="78"/>
      <c r="F234" s="9">
        <f>F235+F237</f>
        <v>453.1762</v>
      </c>
    </row>
    <row r="235" spans="1:6" ht="15" customHeight="1">
      <c r="A235" s="52">
        <v>1</v>
      </c>
      <c r="B235" s="78" t="s">
        <v>358</v>
      </c>
      <c r="C235" s="78"/>
      <c r="D235" s="78"/>
      <c r="E235" s="78"/>
      <c r="F235" s="9">
        <f>F236</f>
        <v>138.48</v>
      </c>
    </row>
    <row r="236" spans="1:6" ht="15" customHeight="1">
      <c r="A236" s="78"/>
      <c r="B236" s="78" t="s">
        <v>358</v>
      </c>
      <c r="C236" s="78" t="s">
        <v>359</v>
      </c>
      <c r="D236" s="52">
        <v>24</v>
      </c>
      <c r="E236" s="52">
        <f>E217</f>
        <v>5.77</v>
      </c>
      <c r="F236" s="9">
        <f>D236*E236</f>
        <v>138.48</v>
      </c>
    </row>
    <row r="237" spans="1:6" ht="15" customHeight="1">
      <c r="A237" s="52">
        <v>2</v>
      </c>
      <c r="B237" s="78" t="s">
        <v>361</v>
      </c>
      <c r="C237" s="78"/>
      <c r="D237" s="78"/>
      <c r="E237" s="78"/>
      <c r="F237" s="9">
        <f>F239+F240</f>
        <v>314.69620000000003</v>
      </c>
    </row>
    <row r="238" spans="1:6" ht="15" customHeight="1">
      <c r="A238" s="78"/>
      <c r="B238" s="78" t="s">
        <v>414</v>
      </c>
      <c r="C238" s="78" t="s">
        <v>388</v>
      </c>
      <c r="D238" s="52">
        <v>102</v>
      </c>
      <c r="E238" s="9">
        <f>'主要材料费'!D21</f>
        <v>99.9</v>
      </c>
      <c r="F238" s="79"/>
    </row>
    <row r="239" spans="1:6" ht="15" customHeight="1">
      <c r="A239" s="78"/>
      <c r="B239" s="78" t="s">
        <v>389</v>
      </c>
      <c r="C239" s="52" t="s">
        <v>49</v>
      </c>
      <c r="D239" s="9">
        <v>2</v>
      </c>
      <c r="E239" s="52">
        <f>E220</f>
        <v>4.37</v>
      </c>
      <c r="F239" s="9">
        <f>D239*E239</f>
        <v>8.74</v>
      </c>
    </row>
    <row r="240" spans="1:6" ht="15" customHeight="1">
      <c r="A240" s="78"/>
      <c r="B240" s="78" t="s">
        <v>390</v>
      </c>
      <c r="C240" s="52" t="s">
        <v>83</v>
      </c>
      <c r="D240" s="52">
        <v>3</v>
      </c>
      <c r="E240" s="9">
        <f>(D238*E238)+F239</f>
        <v>10198.54</v>
      </c>
      <c r="F240" s="9">
        <f>D240*E240/100</f>
        <v>305.9562</v>
      </c>
    </row>
    <row r="241" spans="1:6" ht="15" customHeight="1">
      <c r="A241" s="52" t="s">
        <v>391</v>
      </c>
      <c r="B241" s="78" t="s">
        <v>368</v>
      </c>
      <c r="C241" s="52" t="s">
        <v>83</v>
      </c>
      <c r="D241" s="52">
        <v>2</v>
      </c>
      <c r="E241" s="78"/>
      <c r="F241" s="9">
        <f>D241*F234/100</f>
        <v>9.063524</v>
      </c>
    </row>
    <row r="242" spans="1:6" ht="15" customHeight="1">
      <c r="A242" s="52" t="s">
        <v>392</v>
      </c>
      <c r="B242" s="78" t="s">
        <v>369</v>
      </c>
      <c r="C242" s="52" t="s">
        <v>83</v>
      </c>
      <c r="D242" s="52">
        <v>4</v>
      </c>
      <c r="E242" s="78"/>
      <c r="F242" s="9">
        <f>D242*F234/100</f>
        <v>18.127048</v>
      </c>
    </row>
    <row r="243" spans="1:6" ht="15" customHeight="1">
      <c r="A243" s="78" t="s">
        <v>21</v>
      </c>
      <c r="B243" s="78" t="s">
        <v>370</v>
      </c>
      <c r="C243" s="52" t="s">
        <v>83</v>
      </c>
      <c r="D243" s="52">
        <v>3</v>
      </c>
      <c r="E243" s="78"/>
      <c r="F243" s="9">
        <f>D243*F233/100</f>
        <v>14.41100316</v>
      </c>
    </row>
    <row r="244" spans="1:6" ht="15" customHeight="1">
      <c r="A244" s="78" t="s">
        <v>250</v>
      </c>
      <c r="B244" s="78" t="s">
        <v>371</v>
      </c>
      <c r="C244" s="52" t="s">
        <v>83</v>
      </c>
      <c r="D244" s="52">
        <v>5</v>
      </c>
      <c r="E244" s="78"/>
      <c r="F244" s="9">
        <f>D244*(F243+F233)/100</f>
        <v>24.738888757999998</v>
      </c>
    </row>
    <row r="245" spans="1:6" ht="15" customHeight="1">
      <c r="A245" s="78" t="s">
        <v>372</v>
      </c>
      <c r="B245" s="78" t="s">
        <v>373</v>
      </c>
      <c r="C245" s="52" t="s">
        <v>83</v>
      </c>
      <c r="D245" s="52">
        <v>9</v>
      </c>
      <c r="E245" s="78"/>
      <c r="F245" s="9">
        <f>D245*(F233+F243+F244)/100</f>
        <v>46.756499752619995</v>
      </c>
    </row>
    <row r="246" spans="1:6" ht="15" customHeight="1">
      <c r="A246" s="78" t="s">
        <v>393</v>
      </c>
      <c r="B246" s="78"/>
      <c r="C246" s="78"/>
      <c r="D246" s="78"/>
      <c r="E246" s="78"/>
      <c r="F246" s="9">
        <f>F233+F243+F244+F245</f>
        <v>566.27316367062</v>
      </c>
    </row>
    <row r="247" spans="1:6" ht="15" customHeight="1">
      <c r="A247" s="80"/>
      <c r="B247" s="31"/>
      <c r="C247" s="31"/>
      <c r="D247" s="81"/>
      <c r="E247" s="81"/>
      <c r="F247" s="81"/>
    </row>
    <row r="248" spans="1:6" ht="15" customHeight="1">
      <c r="A248" s="74" t="s">
        <v>415</v>
      </c>
      <c r="B248" s="75"/>
      <c r="C248" s="75"/>
      <c r="D248" s="75"/>
      <c r="E248" s="75"/>
      <c r="F248" s="75"/>
    </row>
    <row r="249" spans="1:6" ht="15" customHeight="1">
      <c r="A249" s="76" t="s">
        <v>399</v>
      </c>
      <c r="B249" s="76"/>
      <c r="C249" s="76"/>
      <c r="D249" s="76"/>
      <c r="E249" s="77" t="s">
        <v>382</v>
      </c>
      <c r="F249" s="77"/>
    </row>
    <row r="250" spans="1:6" ht="15" customHeight="1">
      <c r="A250" s="76" t="s">
        <v>383</v>
      </c>
      <c r="B250" s="76"/>
      <c r="C250" s="76"/>
      <c r="D250" s="76"/>
      <c r="E250" s="76"/>
      <c r="F250" s="76"/>
    </row>
    <row r="251" spans="1:6" ht="15" customHeight="1">
      <c r="A251" s="1" t="s">
        <v>349</v>
      </c>
      <c r="B251" s="1" t="s">
        <v>384</v>
      </c>
      <c r="C251" s="1" t="s">
        <v>351</v>
      </c>
      <c r="D251" s="1" t="s">
        <v>352</v>
      </c>
      <c r="E251" s="1" t="s">
        <v>353</v>
      </c>
      <c r="F251" s="1" t="s">
        <v>385</v>
      </c>
    </row>
    <row r="252" spans="1:6" ht="15" customHeight="1">
      <c r="A252" s="78" t="s">
        <v>11</v>
      </c>
      <c r="B252" s="78" t="s">
        <v>355</v>
      </c>
      <c r="C252" s="78"/>
      <c r="D252" s="78"/>
      <c r="E252" s="78"/>
      <c r="F252" s="9">
        <f>F253+F260+F261</f>
        <v>221.13825999999997</v>
      </c>
    </row>
    <row r="253" spans="1:6" ht="15" customHeight="1">
      <c r="A253" s="52" t="s">
        <v>386</v>
      </c>
      <c r="B253" s="78" t="s">
        <v>356</v>
      </c>
      <c r="C253" s="78"/>
      <c r="D253" s="78"/>
      <c r="E253" s="78"/>
      <c r="F253" s="9">
        <f>F254+F256</f>
        <v>208.62099999999998</v>
      </c>
    </row>
    <row r="254" spans="1:6" ht="15" customHeight="1">
      <c r="A254" s="52">
        <v>1</v>
      </c>
      <c r="B254" s="78" t="s">
        <v>358</v>
      </c>
      <c r="C254" s="78"/>
      <c r="D254" s="78"/>
      <c r="E254" s="78"/>
      <c r="F254" s="9">
        <f>F255</f>
        <v>138.48</v>
      </c>
    </row>
    <row r="255" spans="1:6" ht="15" customHeight="1">
      <c r="A255" s="78"/>
      <c r="B255" s="78" t="s">
        <v>358</v>
      </c>
      <c r="C255" s="78" t="s">
        <v>359</v>
      </c>
      <c r="D255" s="52">
        <v>24</v>
      </c>
      <c r="E255" s="52">
        <f>E236</f>
        <v>5.77</v>
      </c>
      <c r="F255" s="9">
        <f>D255*E255</f>
        <v>138.48</v>
      </c>
    </row>
    <row r="256" spans="1:6" ht="15" customHeight="1">
      <c r="A256" s="52">
        <v>2</v>
      </c>
      <c r="B256" s="78" t="s">
        <v>361</v>
      </c>
      <c r="C256" s="78"/>
      <c r="D256" s="78"/>
      <c r="E256" s="78"/>
      <c r="F256" s="9">
        <f>F258+F259</f>
        <v>70.141</v>
      </c>
    </row>
    <row r="257" spans="1:6" ht="15" customHeight="1">
      <c r="A257" s="78"/>
      <c r="B257" s="78" t="s">
        <v>416</v>
      </c>
      <c r="C257" s="78" t="s">
        <v>388</v>
      </c>
      <c r="D257" s="52">
        <v>102</v>
      </c>
      <c r="E257" s="9">
        <f>'主要材料费'!D22</f>
        <v>19.98</v>
      </c>
      <c r="F257" s="79"/>
    </row>
    <row r="258" spans="1:6" ht="15" customHeight="1">
      <c r="A258" s="78"/>
      <c r="B258" s="78" t="s">
        <v>389</v>
      </c>
      <c r="C258" s="52" t="s">
        <v>49</v>
      </c>
      <c r="D258" s="9">
        <v>2</v>
      </c>
      <c r="E258" s="52">
        <f>E239</f>
        <v>4.37</v>
      </c>
      <c r="F258" s="9">
        <f>D258*E258</f>
        <v>8.74</v>
      </c>
    </row>
    <row r="259" spans="1:6" ht="15" customHeight="1">
      <c r="A259" s="78"/>
      <c r="B259" s="78" t="s">
        <v>390</v>
      </c>
      <c r="C259" s="52" t="s">
        <v>83</v>
      </c>
      <c r="D259" s="52">
        <v>3</v>
      </c>
      <c r="E259" s="9">
        <f>(D257*E257)+F258</f>
        <v>2046.7</v>
      </c>
      <c r="F259" s="9">
        <f>D259*E259/100</f>
        <v>61.401</v>
      </c>
    </row>
    <row r="260" spans="1:6" ht="15" customHeight="1">
      <c r="A260" s="52" t="s">
        <v>391</v>
      </c>
      <c r="B260" s="78" t="s">
        <v>368</v>
      </c>
      <c r="C260" s="52" t="s">
        <v>83</v>
      </c>
      <c r="D260" s="52">
        <v>2</v>
      </c>
      <c r="E260" s="78"/>
      <c r="F260" s="9">
        <f>D260*F253/100</f>
        <v>4.17242</v>
      </c>
    </row>
    <row r="261" spans="1:6" ht="15" customHeight="1">
      <c r="A261" s="52" t="s">
        <v>392</v>
      </c>
      <c r="B261" s="78" t="s">
        <v>369</v>
      </c>
      <c r="C261" s="52" t="s">
        <v>83</v>
      </c>
      <c r="D261" s="52">
        <v>4</v>
      </c>
      <c r="E261" s="78"/>
      <c r="F261" s="9">
        <f>D261*F253/100</f>
        <v>8.34484</v>
      </c>
    </row>
    <row r="262" spans="1:6" ht="15" customHeight="1">
      <c r="A262" s="78" t="s">
        <v>21</v>
      </c>
      <c r="B262" s="78" t="s">
        <v>370</v>
      </c>
      <c r="C262" s="52" t="s">
        <v>83</v>
      </c>
      <c r="D262" s="52">
        <v>3</v>
      </c>
      <c r="E262" s="78"/>
      <c r="F262" s="9">
        <f>D262*F252/100</f>
        <v>6.634147799999999</v>
      </c>
    </row>
    <row r="263" spans="1:6" ht="15" customHeight="1">
      <c r="A263" s="78" t="s">
        <v>250</v>
      </c>
      <c r="B263" s="78" t="s">
        <v>371</v>
      </c>
      <c r="C263" s="52" t="s">
        <v>83</v>
      </c>
      <c r="D263" s="52">
        <v>5</v>
      </c>
      <c r="E263" s="78"/>
      <c r="F263" s="9">
        <f>D263*(F262+F252)/100</f>
        <v>11.388620389999998</v>
      </c>
    </row>
    <row r="264" spans="1:6" ht="15" customHeight="1">
      <c r="A264" s="78" t="s">
        <v>372</v>
      </c>
      <c r="B264" s="78" t="s">
        <v>373</v>
      </c>
      <c r="C264" s="52" t="s">
        <v>83</v>
      </c>
      <c r="D264" s="52">
        <v>9</v>
      </c>
      <c r="E264" s="78"/>
      <c r="F264" s="9">
        <f>D264*(F252+F262+F263)/100</f>
        <v>21.524492537099995</v>
      </c>
    </row>
    <row r="265" spans="1:6" ht="15" customHeight="1">
      <c r="A265" s="78" t="s">
        <v>393</v>
      </c>
      <c r="B265" s="78"/>
      <c r="C265" s="78"/>
      <c r="D265" s="78"/>
      <c r="E265" s="78"/>
      <c r="F265" s="9">
        <f>F252+F262+F263+F264</f>
        <v>260.68552072709997</v>
      </c>
    </row>
    <row r="266" spans="1:6" ht="15" customHeight="1">
      <c r="A266" s="80"/>
      <c r="B266" s="31"/>
      <c r="C266" s="31"/>
      <c r="D266" s="81"/>
      <c r="E266" s="81"/>
      <c r="F266" s="81"/>
    </row>
    <row r="267" spans="1:6" ht="15" customHeight="1">
      <c r="A267" s="74" t="s">
        <v>417</v>
      </c>
      <c r="B267" s="75"/>
      <c r="C267" s="75"/>
      <c r="D267" s="75"/>
      <c r="E267" s="75"/>
      <c r="F267" s="75"/>
    </row>
    <row r="268" spans="1:6" ht="15" customHeight="1">
      <c r="A268" s="76" t="s">
        <v>399</v>
      </c>
      <c r="B268" s="76"/>
      <c r="C268" s="76"/>
      <c r="D268" s="76"/>
      <c r="E268" s="77" t="s">
        <v>382</v>
      </c>
      <c r="F268" s="77"/>
    </row>
    <row r="269" spans="1:6" ht="15" customHeight="1">
      <c r="A269" s="76" t="s">
        <v>383</v>
      </c>
      <c r="B269" s="76"/>
      <c r="C269" s="76"/>
      <c r="D269" s="76"/>
      <c r="E269" s="76"/>
      <c r="F269" s="76"/>
    </row>
    <row r="270" spans="1:6" ht="15" customHeight="1">
      <c r="A270" s="1" t="s">
        <v>349</v>
      </c>
      <c r="B270" s="1" t="s">
        <v>384</v>
      </c>
      <c r="C270" s="1" t="s">
        <v>351</v>
      </c>
      <c r="D270" s="1" t="s">
        <v>352</v>
      </c>
      <c r="E270" s="1" t="s">
        <v>353</v>
      </c>
      <c r="F270" s="1" t="s">
        <v>385</v>
      </c>
    </row>
    <row r="271" spans="1:6" ht="15" customHeight="1">
      <c r="A271" s="78" t="s">
        <v>11</v>
      </c>
      <c r="B271" s="78" t="s">
        <v>355</v>
      </c>
      <c r="C271" s="78"/>
      <c r="D271" s="78"/>
      <c r="E271" s="78"/>
      <c r="F271" s="9">
        <f>F272+F279+F280</f>
        <v>215.77366996</v>
      </c>
    </row>
    <row r="272" spans="1:6" ht="15" customHeight="1">
      <c r="A272" s="52" t="s">
        <v>386</v>
      </c>
      <c r="B272" s="78" t="s">
        <v>356</v>
      </c>
      <c r="C272" s="78"/>
      <c r="D272" s="78"/>
      <c r="E272" s="78"/>
      <c r="F272" s="9">
        <f>F273+F275</f>
        <v>203.560066</v>
      </c>
    </row>
    <row r="273" spans="1:6" ht="15" customHeight="1">
      <c r="A273" s="52">
        <v>1</v>
      </c>
      <c r="B273" s="78" t="s">
        <v>358</v>
      </c>
      <c r="C273" s="78"/>
      <c r="D273" s="78"/>
      <c r="E273" s="78"/>
      <c r="F273" s="9">
        <f>F274</f>
        <v>138.48</v>
      </c>
    </row>
    <row r="274" spans="1:6" ht="15" customHeight="1">
      <c r="A274" s="78"/>
      <c r="B274" s="78" t="s">
        <v>358</v>
      </c>
      <c r="C274" s="78" t="s">
        <v>359</v>
      </c>
      <c r="D274" s="52">
        <v>24</v>
      </c>
      <c r="E274" s="52">
        <f>E255</f>
        <v>5.77</v>
      </c>
      <c r="F274" s="9">
        <f>D274*E274</f>
        <v>138.48</v>
      </c>
    </row>
    <row r="275" spans="1:6" ht="15" customHeight="1">
      <c r="A275" s="52">
        <v>2</v>
      </c>
      <c r="B275" s="78" t="s">
        <v>361</v>
      </c>
      <c r="C275" s="78"/>
      <c r="D275" s="78"/>
      <c r="E275" s="78"/>
      <c r="F275" s="9">
        <f>F277+F278</f>
        <v>65.080066</v>
      </c>
    </row>
    <row r="276" spans="1:6" ht="15" customHeight="1">
      <c r="A276" s="78"/>
      <c r="B276" s="78" t="s">
        <v>418</v>
      </c>
      <c r="C276" s="78" t="s">
        <v>388</v>
      </c>
      <c r="D276" s="52">
        <v>102</v>
      </c>
      <c r="E276" s="9">
        <f>'主要材料费'!D23</f>
        <v>18.3261</v>
      </c>
      <c r="F276" s="79"/>
    </row>
    <row r="277" spans="1:6" ht="15" customHeight="1">
      <c r="A277" s="78"/>
      <c r="B277" s="78" t="s">
        <v>389</v>
      </c>
      <c r="C277" s="52" t="s">
        <v>49</v>
      </c>
      <c r="D277" s="9">
        <v>2</v>
      </c>
      <c r="E277" s="52">
        <f>E258</f>
        <v>4.37</v>
      </c>
      <c r="F277" s="9">
        <f>D277*E277</f>
        <v>8.74</v>
      </c>
    </row>
    <row r="278" spans="1:6" ht="15" customHeight="1">
      <c r="A278" s="78"/>
      <c r="B278" s="78" t="s">
        <v>390</v>
      </c>
      <c r="C278" s="52" t="s">
        <v>83</v>
      </c>
      <c r="D278" s="52">
        <v>3</v>
      </c>
      <c r="E278" s="9">
        <f>(D276*E276)+F277</f>
        <v>1878.0022000000001</v>
      </c>
      <c r="F278" s="9">
        <f>D278*E278/100</f>
        <v>56.34006600000001</v>
      </c>
    </row>
    <row r="279" spans="1:6" ht="15" customHeight="1">
      <c r="A279" s="52" t="s">
        <v>391</v>
      </c>
      <c r="B279" s="78" t="s">
        <v>368</v>
      </c>
      <c r="C279" s="52" t="s">
        <v>83</v>
      </c>
      <c r="D279" s="52">
        <v>2</v>
      </c>
      <c r="E279" s="78"/>
      <c r="F279" s="9">
        <f>D279*F272/100</f>
        <v>4.07120132</v>
      </c>
    </row>
    <row r="280" spans="1:6" ht="15" customHeight="1">
      <c r="A280" s="52" t="s">
        <v>392</v>
      </c>
      <c r="B280" s="78" t="s">
        <v>369</v>
      </c>
      <c r="C280" s="52" t="s">
        <v>83</v>
      </c>
      <c r="D280" s="52">
        <v>4</v>
      </c>
      <c r="E280" s="78"/>
      <c r="F280" s="9">
        <f>D280*F272/100</f>
        <v>8.14240264</v>
      </c>
    </row>
    <row r="281" spans="1:6" ht="15" customHeight="1">
      <c r="A281" s="78" t="s">
        <v>21</v>
      </c>
      <c r="B281" s="78" t="s">
        <v>370</v>
      </c>
      <c r="C281" s="52" t="s">
        <v>83</v>
      </c>
      <c r="D281" s="52">
        <v>3</v>
      </c>
      <c r="E281" s="78"/>
      <c r="F281" s="9">
        <f>D281*F271/100</f>
        <v>6.4732100988</v>
      </c>
    </row>
    <row r="282" spans="1:6" ht="15" customHeight="1">
      <c r="A282" s="78" t="s">
        <v>250</v>
      </c>
      <c r="B282" s="78" t="s">
        <v>371</v>
      </c>
      <c r="C282" s="52" t="s">
        <v>83</v>
      </c>
      <c r="D282" s="52">
        <v>5</v>
      </c>
      <c r="E282" s="78"/>
      <c r="F282" s="9">
        <f>D282*(F281+F271)/100</f>
        <v>11.112344002939999</v>
      </c>
    </row>
    <row r="283" spans="1:6" ht="15" customHeight="1">
      <c r="A283" s="78" t="s">
        <v>372</v>
      </c>
      <c r="B283" s="78" t="s">
        <v>373</v>
      </c>
      <c r="C283" s="52" t="s">
        <v>83</v>
      </c>
      <c r="D283" s="52">
        <v>9</v>
      </c>
      <c r="E283" s="78"/>
      <c r="F283" s="9">
        <f>D283*(F271+F281+F282)/100</f>
        <v>21.0023301655566</v>
      </c>
    </row>
    <row r="284" spans="1:6" ht="15" customHeight="1">
      <c r="A284" s="78" t="s">
        <v>393</v>
      </c>
      <c r="B284" s="78"/>
      <c r="C284" s="78"/>
      <c r="D284" s="78"/>
      <c r="E284" s="78"/>
      <c r="F284" s="9">
        <f>F271+F281+F282+F283</f>
        <v>254.3615542272966</v>
      </c>
    </row>
    <row r="285" spans="1:6" ht="15" customHeight="1">
      <c r="A285" s="80"/>
      <c r="B285" s="31"/>
      <c r="C285" s="31"/>
      <c r="D285" s="81"/>
      <c r="E285" s="81"/>
      <c r="F285" s="81"/>
    </row>
    <row r="286" spans="1:6" ht="15" customHeight="1">
      <c r="A286" s="74" t="s">
        <v>419</v>
      </c>
      <c r="B286" s="75"/>
      <c r="C286" s="75"/>
      <c r="D286" s="75"/>
      <c r="E286" s="75"/>
      <c r="F286" s="75"/>
    </row>
    <row r="287" spans="1:6" ht="15" customHeight="1">
      <c r="A287" s="76" t="s">
        <v>399</v>
      </c>
      <c r="B287" s="76"/>
      <c r="C287" s="76"/>
      <c r="D287" s="76"/>
      <c r="E287" s="77" t="s">
        <v>382</v>
      </c>
      <c r="F287" s="77"/>
    </row>
    <row r="288" spans="1:6" ht="15" customHeight="1">
      <c r="A288" s="76" t="s">
        <v>383</v>
      </c>
      <c r="B288" s="76"/>
      <c r="C288" s="76"/>
      <c r="D288" s="76"/>
      <c r="E288" s="76"/>
      <c r="F288" s="76"/>
    </row>
    <row r="289" spans="1:6" ht="15" customHeight="1">
      <c r="A289" s="1" t="s">
        <v>349</v>
      </c>
      <c r="B289" s="1" t="s">
        <v>384</v>
      </c>
      <c r="C289" s="1" t="s">
        <v>351</v>
      </c>
      <c r="D289" s="1" t="s">
        <v>352</v>
      </c>
      <c r="E289" s="1" t="s">
        <v>353</v>
      </c>
      <c r="F289" s="1" t="s">
        <v>385</v>
      </c>
    </row>
    <row r="290" spans="1:6" ht="15" customHeight="1">
      <c r="A290" s="78" t="s">
        <v>11</v>
      </c>
      <c r="B290" s="78" t="s">
        <v>355</v>
      </c>
      <c r="C290" s="78"/>
      <c r="D290" s="78"/>
      <c r="E290" s="78"/>
      <c r="F290" s="9">
        <f>F291+F298+F299</f>
        <v>215.77366996</v>
      </c>
    </row>
    <row r="291" spans="1:6" ht="15" customHeight="1">
      <c r="A291" s="52" t="s">
        <v>386</v>
      </c>
      <c r="B291" s="78" t="s">
        <v>356</v>
      </c>
      <c r="C291" s="78"/>
      <c r="D291" s="78"/>
      <c r="E291" s="78"/>
      <c r="F291" s="9">
        <f>F292+F294</f>
        <v>203.560066</v>
      </c>
    </row>
    <row r="292" spans="1:6" ht="15" customHeight="1">
      <c r="A292" s="52">
        <v>1</v>
      </c>
      <c r="B292" s="78" t="s">
        <v>358</v>
      </c>
      <c r="C292" s="78"/>
      <c r="D292" s="78"/>
      <c r="E292" s="78"/>
      <c r="F292" s="9">
        <f>F293</f>
        <v>138.48</v>
      </c>
    </row>
    <row r="293" spans="1:6" ht="15" customHeight="1">
      <c r="A293" s="78"/>
      <c r="B293" s="78" t="s">
        <v>358</v>
      </c>
      <c r="C293" s="78" t="s">
        <v>359</v>
      </c>
      <c r="D293" s="52">
        <v>24</v>
      </c>
      <c r="E293" s="52">
        <f>E274</f>
        <v>5.77</v>
      </c>
      <c r="F293" s="9">
        <f>D293*E293</f>
        <v>138.48</v>
      </c>
    </row>
    <row r="294" spans="1:6" ht="15" customHeight="1">
      <c r="A294" s="52">
        <v>2</v>
      </c>
      <c r="B294" s="78" t="s">
        <v>361</v>
      </c>
      <c r="C294" s="78"/>
      <c r="D294" s="78"/>
      <c r="E294" s="78"/>
      <c r="F294" s="9">
        <f>F296+F297</f>
        <v>65.080066</v>
      </c>
    </row>
    <row r="295" spans="1:6" ht="15" customHeight="1">
      <c r="A295" s="78"/>
      <c r="B295" s="78" t="s">
        <v>420</v>
      </c>
      <c r="C295" s="78" t="s">
        <v>388</v>
      </c>
      <c r="D295" s="52">
        <v>102</v>
      </c>
      <c r="E295" s="9">
        <f>'主要材料费'!D24</f>
        <v>18.3261</v>
      </c>
      <c r="F295" s="79"/>
    </row>
    <row r="296" spans="1:6" ht="15" customHeight="1">
      <c r="A296" s="78"/>
      <c r="B296" s="78" t="s">
        <v>389</v>
      </c>
      <c r="C296" s="52" t="s">
        <v>49</v>
      </c>
      <c r="D296" s="9">
        <v>2</v>
      </c>
      <c r="E296" s="52">
        <f>E277</f>
        <v>4.37</v>
      </c>
      <c r="F296" s="9">
        <f>D296*E296</f>
        <v>8.74</v>
      </c>
    </row>
    <row r="297" spans="1:6" ht="15" customHeight="1">
      <c r="A297" s="78"/>
      <c r="B297" s="78" t="s">
        <v>390</v>
      </c>
      <c r="C297" s="52" t="s">
        <v>83</v>
      </c>
      <c r="D297" s="52">
        <v>3</v>
      </c>
      <c r="E297" s="9">
        <f>(D295*E295)+F296</f>
        <v>1878.0022000000001</v>
      </c>
      <c r="F297" s="9">
        <f>D297*E297/100</f>
        <v>56.34006600000001</v>
      </c>
    </row>
    <row r="298" spans="1:6" ht="15" customHeight="1">
      <c r="A298" s="52" t="s">
        <v>391</v>
      </c>
      <c r="B298" s="78" t="s">
        <v>368</v>
      </c>
      <c r="C298" s="52" t="s">
        <v>83</v>
      </c>
      <c r="D298" s="52">
        <v>2</v>
      </c>
      <c r="E298" s="78"/>
      <c r="F298" s="9">
        <f>D298*F291/100</f>
        <v>4.07120132</v>
      </c>
    </row>
    <row r="299" spans="1:6" ht="15" customHeight="1">
      <c r="A299" s="52" t="s">
        <v>392</v>
      </c>
      <c r="B299" s="78" t="s">
        <v>369</v>
      </c>
      <c r="C299" s="52" t="s">
        <v>83</v>
      </c>
      <c r="D299" s="52">
        <v>4</v>
      </c>
      <c r="E299" s="78"/>
      <c r="F299" s="9">
        <f>D299*F291/100</f>
        <v>8.14240264</v>
      </c>
    </row>
    <row r="300" spans="1:6" ht="15" customHeight="1">
      <c r="A300" s="78" t="s">
        <v>21</v>
      </c>
      <c r="B300" s="78" t="s">
        <v>370</v>
      </c>
      <c r="C300" s="52" t="s">
        <v>83</v>
      </c>
      <c r="D300" s="52">
        <v>3</v>
      </c>
      <c r="E300" s="78"/>
      <c r="F300" s="9">
        <f>D300*F290/100</f>
        <v>6.4732100988</v>
      </c>
    </row>
    <row r="301" spans="1:6" ht="15" customHeight="1">
      <c r="A301" s="78" t="s">
        <v>250</v>
      </c>
      <c r="B301" s="78" t="s">
        <v>371</v>
      </c>
      <c r="C301" s="52" t="s">
        <v>83</v>
      </c>
      <c r="D301" s="52">
        <v>5</v>
      </c>
      <c r="E301" s="78"/>
      <c r="F301" s="9">
        <f>D301*(F300+F290)/100</f>
        <v>11.112344002939999</v>
      </c>
    </row>
    <row r="302" spans="1:6" ht="15" customHeight="1">
      <c r="A302" s="78" t="s">
        <v>372</v>
      </c>
      <c r="B302" s="78" t="s">
        <v>373</v>
      </c>
      <c r="C302" s="52" t="s">
        <v>83</v>
      </c>
      <c r="D302" s="52">
        <v>9</v>
      </c>
      <c r="E302" s="78"/>
      <c r="F302" s="9">
        <f>D302*(F290+F300+F301)/100</f>
        <v>21.0023301655566</v>
      </c>
    </row>
    <row r="303" spans="1:6" ht="15" customHeight="1">
      <c r="A303" s="78" t="s">
        <v>393</v>
      </c>
      <c r="B303" s="78"/>
      <c r="C303" s="78"/>
      <c r="D303" s="78"/>
      <c r="E303" s="78"/>
      <c r="F303" s="9">
        <f>F290+F300+F301+F302</f>
        <v>254.3615542272966</v>
      </c>
    </row>
    <row r="304" spans="1:6" ht="15" customHeight="1">
      <c r="A304" s="80"/>
      <c r="B304" s="31"/>
      <c r="C304" s="31"/>
      <c r="D304" s="81"/>
      <c r="E304" s="81"/>
      <c r="F304" s="81"/>
    </row>
    <row r="305" spans="1:6" ht="15" customHeight="1">
      <c r="A305" s="74" t="s">
        <v>421</v>
      </c>
      <c r="B305" s="75"/>
      <c r="C305" s="75"/>
      <c r="D305" s="75"/>
      <c r="E305" s="75"/>
      <c r="F305" s="75"/>
    </row>
    <row r="306" spans="1:6" ht="15" customHeight="1">
      <c r="A306" s="76" t="s">
        <v>381</v>
      </c>
      <c r="B306" s="76"/>
      <c r="C306" s="76"/>
      <c r="D306" s="76"/>
      <c r="E306" s="77" t="s">
        <v>382</v>
      </c>
      <c r="F306" s="77"/>
    </row>
    <row r="307" spans="1:6" ht="15" customHeight="1">
      <c r="A307" s="76" t="s">
        <v>383</v>
      </c>
      <c r="B307" s="76"/>
      <c r="C307" s="76"/>
      <c r="D307" s="76"/>
      <c r="E307" s="76"/>
      <c r="F307" s="76"/>
    </row>
    <row r="308" spans="1:6" ht="15" customHeight="1">
      <c r="A308" s="1" t="s">
        <v>349</v>
      </c>
      <c r="B308" s="1" t="s">
        <v>384</v>
      </c>
      <c r="C308" s="1" t="s">
        <v>351</v>
      </c>
      <c r="D308" s="1" t="s">
        <v>352</v>
      </c>
      <c r="E308" s="1" t="s">
        <v>353</v>
      </c>
      <c r="F308" s="1" t="s">
        <v>385</v>
      </c>
    </row>
    <row r="309" spans="1:6" ht="15" customHeight="1">
      <c r="A309" s="78" t="s">
        <v>11</v>
      </c>
      <c r="B309" s="78" t="s">
        <v>355</v>
      </c>
      <c r="C309" s="78"/>
      <c r="D309" s="78"/>
      <c r="E309" s="78"/>
      <c r="F309" s="9">
        <f>F310+F317+F318</f>
        <v>1695.1284945</v>
      </c>
    </row>
    <row r="310" spans="1:6" ht="15" customHeight="1">
      <c r="A310" s="52" t="s">
        <v>386</v>
      </c>
      <c r="B310" s="78" t="s">
        <v>356</v>
      </c>
      <c r="C310" s="78"/>
      <c r="D310" s="78"/>
      <c r="E310" s="78"/>
      <c r="F310" s="9">
        <f>F311+F313</f>
        <v>1599.177825</v>
      </c>
    </row>
    <row r="311" spans="1:6" ht="15" customHeight="1">
      <c r="A311" s="52">
        <v>1</v>
      </c>
      <c r="B311" s="78" t="s">
        <v>358</v>
      </c>
      <c r="C311" s="78"/>
      <c r="D311" s="78"/>
      <c r="E311" s="78"/>
      <c r="F311" s="9">
        <f>F312</f>
        <v>242.33999999999997</v>
      </c>
    </row>
    <row r="312" spans="1:6" ht="15" customHeight="1">
      <c r="A312" s="78"/>
      <c r="B312" s="78" t="s">
        <v>358</v>
      </c>
      <c r="C312" s="78" t="s">
        <v>359</v>
      </c>
      <c r="D312" s="52">
        <v>42</v>
      </c>
      <c r="E312" s="52">
        <f>E293</f>
        <v>5.77</v>
      </c>
      <c r="F312" s="9">
        <f>D312*E312</f>
        <v>242.33999999999997</v>
      </c>
    </row>
    <row r="313" spans="1:6" ht="15" customHeight="1">
      <c r="A313" s="52">
        <v>2</v>
      </c>
      <c r="B313" s="78" t="s">
        <v>361</v>
      </c>
      <c r="C313" s="78"/>
      <c r="D313" s="78"/>
      <c r="E313" s="78"/>
      <c r="F313" s="9">
        <f>F315+F316</f>
        <v>1356.837825</v>
      </c>
    </row>
    <row r="314" spans="1:6" ht="15" customHeight="1">
      <c r="A314" s="78"/>
      <c r="B314" s="78" t="s">
        <v>422</v>
      </c>
      <c r="C314" s="78" t="s">
        <v>388</v>
      </c>
      <c r="D314" s="52">
        <v>102</v>
      </c>
      <c r="E314" s="9">
        <f>'主要材料费'!D25</f>
        <v>437.895</v>
      </c>
      <c r="F314" s="79"/>
    </row>
    <row r="315" spans="1:6" ht="15" customHeight="1">
      <c r="A315" s="78"/>
      <c r="B315" s="78" t="s">
        <v>389</v>
      </c>
      <c r="C315" s="52" t="s">
        <v>49</v>
      </c>
      <c r="D315" s="9">
        <f>3*1.25</f>
        <v>3.75</v>
      </c>
      <c r="E315" s="52">
        <f>E296</f>
        <v>4.37</v>
      </c>
      <c r="F315" s="9">
        <f>D315*E315</f>
        <v>16.3875</v>
      </c>
    </row>
    <row r="316" spans="1:6" ht="15" customHeight="1">
      <c r="A316" s="78"/>
      <c r="B316" s="78" t="s">
        <v>390</v>
      </c>
      <c r="C316" s="52" t="s">
        <v>83</v>
      </c>
      <c r="D316" s="52">
        <v>3</v>
      </c>
      <c r="E316" s="9">
        <f>(D314*E314)+F315</f>
        <v>44681.6775</v>
      </c>
      <c r="F316" s="9">
        <f>D316*E316/100</f>
        <v>1340.450325</v>
      </c>
    </row>
    <row r="317" spans="1:6" ht="15" customHeight="1">
      <c r="A317" s="52" t="s">
        <v>391</v>
      </c>
      <c r="B317" s="78" t="s">
        <v>368</v>
      </c>
      <c r="C317" s="52" t="s">
        <v>83</v>
      </c>
      <c r="D317" s="52">
        <v>2</v>
      </c>
      <c r="E317" s="78"/>
      <c r="F317" s="9">
        <f>D317*F310/100</f>
        <v>31.9835565</v>
      </c>
    </row>
    <row r="318" spans="1:6" ht="15" customHeight="1">
      <c r="A318" s="52" t="s">
        <v>392</v>
      </c>
      <c r="B318" s="78" t="s">
        <v>369</v>
      </c>
      <c r="C318" s="52" t="s">
        <v>83</v>
      </c>
      <c r="D318" s="52">
        <v>4</v>
      </c>
      <c r="E318" s="78"/>
      <c r="F318" s="9">
        <f>D318*F310/100</f>
        <v>63.967113</v>
      </c>
    </row>
    <row r="319" spans="1:6" ht="15" customHeight="1">
      <c r="A319" s="78" t="s">
        <v>21</v>
      </c>
      <c r="B319" s="78" t="s">
        <v>370</v>
      </c>
      <c r="C319" s="52" t="s">
        <v>83</v>
      </c>
      <c r="D319" s="52">
        <v>3</v>
      </c>
      <c r="E319" s="78"/>
      <c r="F319" s="9">
        <f>D319*F309/100</f>
        <v>50.853854835</v>
      </c>
    </row>
    <row r="320" spans="1:6" ht="15" customHeight="1">
      <c r="A320" s="78" t="s">
        <v>250</v>
      </c>
      <c r="B320" s="78" t="s">
        <v>371</v>
      </c>
      <c r="C320" s="52" t="s">
        <v>83</v>
      </c>
      <c r="D320" s="52">
        <v>5</v>
      </c>
      <c r="E320" s="78"/>
      <c r="F320" s="9">
        <f>D320*(F319+F309)/100</f>
        <v>87.29911746674999</v>
      </c>
    </row>
    <row r="321" spans="1:6" ht="15" customHeight="1">
      <c r="A321" s="78" t="s">
        <v>372</v>
      </c>
      <c r="B321" s="78" t="s">
        <v>373</v>
      </c>
      <c r="C321" s="52" t="s">
        <v>83</v>
      </c>
      <c r="D321" s="52">
        <v>9</v>
      </c>
      <c r="E321" s="78"/>
      <c r="F321" s="9">
        <f>D321*(F309+F319+F320)/100</f>
        <v>164.9953320121575</v>
      </c>
    </row>
    <row r="322" spans="1:6" ht="15" customHeight="1">
      <c r="A322" s="78" t="s">
        <v>393</v>
      </c>
      <c r="B322" s="78"/>
      <c r="C322" s="78"/>
      <c r="D322" s="78"/>
      <c r="E322" s="78"/>
      <c r="F322" s="9">
        <f>F309+F319+F320+F321</f>
        <v>1998.2767988139074</v>
      </c>
    </row>
    <row r="323" spans="1:6" ht="15" customHeight="1">
      <c r="A323" s="80"/>
      <c r="B323" s="31"/>
      <c r="C323" s="31"/>
      <c r="D323" s="81"/>
      <c r="E323" s="81"/>
      <c r="F323" s="81"/>
    </row>
    <row r="324" spans="1:6" ht="15" customHeight="1">
      <c r="A324" s="74" t="s">
        <v>423</v>
      </c>
      <c r="B324" s="75"/>
      <c r="C324" s="75"/>
      <c r="D324" s="75"/>
      <c r="E324" s="75"/>
      <c r="F324" s="75"/>
    </row>
    <row r="325" spans="1:6" ht="15" customHeight="1">
      <c r="A325" s="76" t="s">
        <v>381</v>
      </c>
      <c r="B325" s="76"/>
      <c r="C325" s="76"/>
      <c r="D325" s="76"/>
      <c r="E325" s="77" t="s">
        <v>382</v>
      </c>
      <c r="F325" s="77"/>
    </row>
    <row r="326" spans="1:6" ht="15" customHeight="1">
      <c r="A326" s="76" t="s">
        <v>383</v>
      </c>
      <c r="B326" s="76"/>
      <c r="C326" s="76"/>
      <c r="D326" s="76"/>
      <c r="E326" s="76"/>
      <c r="F326" s="76"/>
    </row>
    <row r="327" spans="1:6" ht="15" customHeight="1">
      <c r="A327" s="1" t="s">
        <v>349</v>
      </c>
      <c r="B327" s="1" t="s">
        <v>384</v>
      </c>
      <c r="C327" s="1" t="s">
        <v>351</v>
      </c>
      <c r="D327" s="1" t="s">
        <v>352</v>
      </c>
      <c r="E327" s="1" t="s">
        <v>353</v>
      </c>
      <c r="F327" s="1" t="s">
        <v>385</v>
      </c>
    </row>
    <row r="328" spans="1:6" ht="15" customHeight="1">
      <c r="A328" s="78" t="s">
        <v>11</v>
      </c>
      <c r="B328" s="78" t="s">
        <v>355</v>
      </c>
      <c r="C328" s="78"/>
      <c r="D328" s="78"/>
      <c r="E328" s="78"/>
      <c r="F328" s="9">
        <f>F329+F336+F337</f>
        <v>1364.7921614999998</v>
      </c>
    </row>
    <row r="329" spans="1:6" ht="15" customHeight="1">
      <c r="A329" s="52" t="s">
        <v>386</v>
      </c>
      <c r="B329" s="78" t="s">
        <v>356</v>
      </c>
      <c r="C329" s="78"/>
      <c r="D329" s="78"/>
      <c r="E329" s="78"/>
      <c r="F329" s="9">
        <f>F330+F332</f>
        <v>1287.5397749999997</v>
      </c>
    </row>
    <row r="330" spans="1:6" ht="15" customHeight="1">
      <c r="A330" s="52">
        <v>1</v>
      </c>
      <c r="B330" s="78" t="s">
        <v>358</v>
      </c>
      <c r="C330" s="78"/>
      <c r="D330" s="78"/>
      <c r="E330" s="78"/>
      <c r="F330" s="9">
        <f>F331</f>
        <v>242.33999999999997</v>
      </c>
    </row>
    <row r="331" spans="1:6" ht="15" customHeight="1">
      <c r="A331" s="78"/>
      <c r="B331" s="78" t="s">
        <v>358</v>
      </c>
      <c r="C331" s="78" t="s">
        <v>359</v>
      </c>
      <c r="D331" s="52">
        <v>42</v>
      </c>
      <c r="E331" s="52">
        <f>E312</f>
        <v>5.77</v>
      </c>
      <c r="F331" s="9">
        <f>D331*E331</f>
        <v>242.33999999999997</v>
      </c>
    </row>
    <row r="332" spans="1:6" ht="15" customHeight="1">
      <c r="A332" s="52">
        <v>2</v>
      </c>
      <c r="B332" s="78" t="s">
        <v>361</v>
      </c>
      <c r="C332" s="78"/>
      <c r="D332" s="78"/>
      <c r="E332" s="78"/>
      <c r="F332" s="9">
        <f>F334+F335</f>
        <v>1045.1997749999998</v>
      </c>
    </row>
    <row r="333" spans="1:6" ht="15" customHeight="1">
      <c r="A333" s="78"/>
      <c r="B333" s="78" t="s">
        <v>424</v>
      </c>
      <c r="C333" s="78" t="s">
        <v>388</v>
      </c>
      <c r="D333" s="52">
        <v>102</v>
      </c>
      <c r="E333" s="9">
        <f>'主要材料费'!D26</f>
        <v>336.05249999999995</v>
      </c>
      <c r="F333" s="79"/>
    </row>
    <row r="334" spans="1:6" ht="15" customHeight="1">
      <c r="A334" s="78"/>
      <c r="B334" s="78" t="s">
        <v>389</v>
      </c>
      <c r="C334" s="52" t="s">
        <v>49</v>
      </c>
      <c r="D334" s="9">
        <f>3*1.25</f>
        <v>3.75</v>
      </c>
      <c r="E334" s="52">
        <f>E315</f>
        <v>4.37</v>
      </c>
      <c r="F334" s="9">
        <f>D334*E334</f>
        <v>16.3875</v>
      </c>
    </row>
    <row r="335" spans="1:6" ht="15" customHeight="1">
      <c r="A335" s="78"/>
      <c r="B335" s="78" t="s">
        <v>390</v>
      </c>
      <c r="C335" s="52" t="s">
        <v>83</v>
      </c>
      <c r="D335" s="52">
        <v>3</v>
      </c>
      <c r="E335" s="9">
        <f>(D333*E333)+F334</f>
        <v>34293.74249999999</v>
      </c>
      <c r="F335" s="9">
        <f>D335*E335/100</f>
        <v>1028.8122749999998</v>
      </c>
    </row>
    <row r="336" spans="1:6" ht="15" customHeight="1">
      <c r="A336" s="52" t="s">
        <v>391</v>
      </c>
      <c r="B336" s="78" t="s">
        <v>368</v>
      </c>
      <c r="C336" s="52" t="s">
        <v>83</v>
      </c>
      <c r="D336" s="52">
        <v>2</v>
      </c>
      <c r="E336" s="78"/>
      <c r="F336" s="9">
        <f>D336*F329/100</f>
        <v>25.750795499999995</v>
      </c>
    </row>
    <row r="337" spans="1:6" ht="15" customHeight="1">
      <c r="A337" s="52" t="s">
        <v>392</v>
      </c>
      <c r="B337" s="78" t="s">
        <v>369</v>
      </c>
      <c r="C337" s="52" t="s">
        <v>83</v>
      </c>
      <c r="D337" s="52">
        <v>4</v>
      </c>
      <c r="E337" s="78"/>
      <c r="F337" s="9">
        <f>D337*F329/100</f>
        <v>51.50159099999999</v>
      </c>
    </row>
    <row r="338" spans="1:6" ht="15" customHeight="1">
      <c r="A338" s="78" t="s">
        <v>21</v>
      </c>
      <c r="B338" s="78" t="s">
        <v>370</v>
      </c>
      <c r="C338" s="52" t="s">
        <v>83</v>
      </c>
      <c r="D338" s="52">
        <v>3</v>
      </c>
      <c r="E338" s="78"/>
      <c r="F338" s="9">
        <f>D338*F328/100</f>
        <v>40.943764845</v>
      </c>
    </row>
    <row r="339" spans="1:6" ht="15" customHeight="1">
      <c r="A339" s="78" t="s">
        <v>250</v>
      </c>
      <c r="B339" s="78" t="s">
        <v>371</v>
      </c>
      <c r="C339" s="52" t="s">
        <v>83</v>
      </c>
      <c r="D339" s="52">
        <v>5</v>
      </c>
      <c r="E339" s="78"/>
      <c r="F339" s="9">
        <f>D339*(F338+F328)/100</f>
        <v>70.28679631725</v>
      </c>
    </row>
    <row r="340" spans="1:6" ht="15" customHeight="1">
      <c r="A340" s="78" t="s">
        <v>372</v>
      </c>
      <c r="B340" s="78" t="s">
        <v>373</v>
      </c>
      <c r="C340" s="52" t="s">
        <v>83</v>
      </c>
      <c r="D340" s="52">
        <v>9</v>
      </c>
      <c r="E340" s="78"/>
      <c r="F340" s="9">
        <f>D340*(F328+F338+F339)/100</f>
        <v>132.84204503960248</v>
      </c>
    </row>
    <row r="341" spans="1:6" ht="15" customHeight="1">
      <c r="A341" s="78" t="s">
        <v>393</v>
      </c>
      <c r="B341" s="78"/>
      <c r="C341" s="78"/>
      <c r="D341" s="78"/>
      <c r="E341" s="78"/>
      <c r="F341" s="9">
        <f>F328+F338+F339+F340</f>
        <v>1608.8647677018523</v>
      </c>
    </row>
    <row r="342" spans="1:6" ht="15" customHeight="1">
      <c r="A342" s="80"/>
      <c r="B342" s="31"/>
      <c r="C342" s="31"/>
      <c r="D342" s="81"/>
      <c r="E342" s="81"/>
      <c r="F342" s="81"/>
    </row>
    <row r="343" spans="1:6" ht="15" customHeight="1">
      <c r="A343" s="74" t="s">
        <v>425</v>
      </c>
      <c r="B343" s="75"/>
      <c r="C343" s="75"/>
      <c r="D343" s="75"/>
      <c r="E343" s="75"/>
      <c r="F343" s="75"/>
    </row>
    <row r="344" spans="1:6" ht="15" customHeight="1">
      <c r="A344" s="76" t="s">
        <v>381</v>
      </c>
      <c r="B344" s="76"/>
      <c r="C344" s="76"/>
      <c r="D344" s="76"/>
      <c r="E344" s="77" t="s">
        <v>382</v>
      </c>
      <c r="F344" s="77"/>
    </row>
    <row r="345" spans="1:6" ht="15" customHeight="1">
      <c r="A345" s="76" t="s">
        <v>383</v>
      </c>
      <c r="B345" s="76"/>
      <c r="C345" s="76"/>
      <c r="D345" s="76"/>
      <c r="E345" s="76"/>
      <c r="F345" s="76"/>
    </row>
    <row r="346" spans="1:6" ht="15" customHeight="1">
      <c r="A346" s="1" t="s">
        <v>349</v>
      </c>
      <c r="B346" s="1" t="s">
        <v>384</v>
      </c>
      <c r="C346" s="1" t="s">
        <v>351</v>
      </c>
      <c r="D346" s="1" t="s">
        <v>352</v>
      </c>
      <c r="E346" s="1" t="s">
        <v>353</v>
      </c>
      <c r="F346" s="1" t="s">
        <v>385</v>
      </c>
    </row>
    <row r="347" spans="1:6" ht="15" customHeight="1">
      <c r="A347" s="78" t="s">
        <v>11</v>
      </c>
      <c r="B347" s="78" t="s">
        <v>355</v>
      </c>
      <c r="C347" s="78"/>
      <c r="D347" s="78"/>
      <c r="E347" s="78"/>
      <c r="F347" s="9">
        <f>F348+F355+F356</f>
        <v>1265.7092635800002</v>
      </c>
    </row>
    <row r="348" spans="1:6" ht="15" customHeight="1">
      <c r="A348" s="52" t="s">
        <v>386</v>
      </c>
      <c r="B348" s="78" t="s">
        <v>356</v>
      </c>
      <c r="C348" s="78"/>
      <c r="D348" s="78"/>
      <c r="E348" s="78"/>
      <c r="F348" s="9">
        <f>F349+F351</f>
        <v>1194.0653430000002</v>
      </c>
    </row>
    <row r="349" spans="1:6" ht="15" customHeight="1">
      <c r="A349" s="52">
        <v>1</v>
      </c>
      <c r="B349" s="78" t="s">
        <v>358</v>
      </c>
      <c r="C349" s="78"/>
      <c r="D349" s="78"/>
      <c r="E349" s="78"/>
      <c r="F349" s="9">
        <f>F350</f>
        <v>242.33999999999997</v>
      </c>
    </row>
    <row r="350" spans="1:6" ht="15" customHeight="1">
      <c r="A350" s="78"/>
      <c r="B350" s="78" t="s">
        <v>358</v>
      </c>
      <c r="C350" s="78" t="s">
        <v>359</v>
      </c>
      <c r="D350" s="52">
        <v>42</v>
      </c>
      <c r="E350" s="52">
        <f>E331</f>
        <v>5.77</v>
      </c>
      <c r="F350" s="9">
        <f>D350*E350</f>
        <v>242.33999999999997</v>
      </c>
    </row>
    <row r="351" spans="1:6" ht="15" customHeight="1">
      <c r="A351" s="52">
        <v>2</v>
      </c>
      <c r="B351" s="78" t="s">
        <v>361</v>
      </c>
      <c r="C351" s="78"/>
      <c r="D351" s="78"/>
      <c r="E351" s="78"/>
      <c r="F351" s="9">
        <f>F353+F354</f>
        <v>951.7253430000002</v>
      </c>
    </row>
    <row r="352" spans="1:6" ht="15" customHeight="1">
      <c r="A352" s="78"/>
      <c r="B352" s="78" t="s">
        <v>426</v>
      </c>
      <c r="C352" s="78" t="s">
        <v>388</v>
      </c>
      <c r="D352" s="52">
        <v>102</v>
      </c>
      <c r="E352" s="9">
        <f>'主要材料费'!D27</f>
        <v>305.50530000000003</v>
      </c>
      <c r="F352" s="79"/>
    </row>
    <row r="353" spans="1:6" ht="15" customHeight="1">
      <c r="A353" s="78"/>
      <c r="B353" s="78" t="s">
        <v>389</v>
      </c>
      <c r="C353" s="52" t="s">
        <v>49</v>
      </c>
      <c r="D353" s="9">
        <f>3*1.25</f>
        <v>3.75</v>
      </c>
      <c r="E353" s="52">
        <f>E334</f>
        <v>4.37</v>
      </c>
      <c r="F353" s="9">
        <f>D353*E353</f>
        <v>16.3875</v>
      </c>
    </row>
    <row r="354" spans="1:6" ht="15" customHeight="1">
      <c r="A354" s="78"/>
      <c r="B354" s="78" t="s">
        <v>390</v>
      </c>
      <c r="C354" s="52" t="s">
        <v>83</v>
      </c>
      <c r="D354" s="52">
        <v>3</v>
      </c>
      <c r="E354" s="9">
        <f>(D352*E352)+F353</f>
        <v>31177.928100000005</v>
      </c>
      <c r="F354" s="9">
        <f>D354*E354/100</f>
        <v>935.3378430000001</v>
      </c>
    </row>
    <row r="355" spans="1:6" ht="15" customHeight="1">
      <c r="A355" s="52" t="s">
        <v>391</v>
      </c>
      <c r="B355" s="78" t="s">
        <v>368</v>
      </c>
      <c r="C355" s="52" t="s">
        <v>83</v>
      </c>
      <c r="D355" s="52">
        <v>2</v>
      </c>
      <c r="E355" s="78"/>
      <c r="F355" s="9">
        <f>D355*F348/100</f>
        <v>23.881306860000006</v>
      </c>
    </row>
    <row r="356" spans="1:6" ht="15" customHeight="1">
      <c r="A356" s="52" t="s">
        <v>392</v>
      </c>
      <c r="B356" s="78" t="s">
        <v>369</v>
      </c>
      <c r="C356" s="52" t="s">
        <v>83</v>
      </c>
      <c r="D356" s="52">
        <v>4</v>
      </c>
      <c r="E356" s="78"/>
      <c r="F356" s="9">
        <f>D356*F348/100</f>
        <v>47.76261372000001</v>
      </c>
    </row>
    <row r="357" spans="1:6" ht="15" customHeight="1">
      <c r="A357" s="78" t="s">
        <v>21</v>
      </c>
      <c r="B357" s="78" t="s">
        <v>370</v>
      </c>
      <c r="C357" s="52" t="s">
        <v>83</v>
      </c>
      <c r="D357" s="52">
        <v>3</v>
      </c>
      <c r="E357" s="78"/>
      <c r="F357" s="9">
        <f>D357*F347/100</f>
        <v>37.97127790740001</v>
      </c>
    </row>
    <row r="358" spans="1:6" ht="15" customHeight="1">
      <c r="A358" s="78" t="s">
        <v>250</v>
      </c>
      <c r="B358" s="78" t="s">
        <v>371</v>
      </c>
      <c r="C358" s="52" t="s">
        <v>83</v>
      </c>
      <c r="D358" s="52">
        <v>5</v>
      </c>
      <c r="E358" s="78"/>
      <c r="F358" s="9">
        <f>D358*(F357+F347)/100</f>
        <v>65.18402707437001</v>
      </c>
    </row>
    <row r="359" spans="1:6" ht="15" customHeight="1">
      <c r="A359" s="78" t="s">
        <v>372</v>
      </c>
      <c r="B359" s="78" t="s">
        <v>373</v>
      </c>
      <c r="C359" s="52" t="s">
        <v>83</v>
      </c>
      <c r="D359" s="52">
        <v>9</v>
      </c>
      <c r="E359" s="78"/>
      <c r="F359" s="9">
        <f>D359*(F347+F357+F358)/100</f>
        <v>123.19781117055932</v>
      </c>
    </row>
    <row r="360" spans="1:6" ht="15" customHeight="1">
      <c r="A360" s="78" t="s">
        <v>393</v>
      </c>
      <c r="B360" s="78"/>
      <c r="C360" s="78"/>
      <c r="D360" s="78"/>
      <c r="E360" s="78"/>
      <c r="F360" s="9">
        <f>F347+F357+F358+F359</f>
        <v>1492.0623797323296</v>
      </c>
    </row>
    <row r="361" spans="1:6" ht="15" customHeight="1">
      <c r="A361" s="80"/>
      <c r="B361" s="31"/>
      <c r="C361" s="31"/>
      <c r="D361" s="81"/>
      <c r="E361" s="81"/>
      <c r="F361" s="81"/>
    </row>
    <row r="362" spans="1:6" ht="15" customHeight="1">
      <c r="A362" s="74" t="s">
        <v>427</v>
      </c>
      <c r="B362" s="75"/>
      <c r="C362" s="75"/>
      <c r="D362" s="75"/>
      <c r="E362" s="75"/>
      <c r="F362" s="75"/>
    </row>
    <row r="363" spans="1:6" ht="15" customHeight="1">
      <c r="A363" s="76" t="s">
        <v>381</v>
      </c>
      <c r="B363" s="76"/>
      <c r="C363" s="76"/>
      <c r="D363" s="76"/>
      <c r="E363" s="77" t="s">
        <v>382</v>
      </c>
      <c r="F363" s="77"/>
    </row>
    <row r="364" spans="1:6" ht="15" customHeight="1">
      <c r="A364" s="76" t="s">
        <v>383</v>
      </c>
      <c r="B364" s="76"/>
      <c r="C364" s="76"/>
      <c r="D364" s="76"/>
      <c r="E364" s="76"/>
      <c r="F364" s="76"/>
    </row>
    <row r="365" spans="1:6" ht="15" customHeight="1">
      <c r="A365" s="1" t="s">
        <v>349</v>
      </c>
      <c r="B365" s="1" t="s">
        <v>384</v>
      </c>
      <c r="C365" s="1" t="s">
        <v>351</v>
      </c>
      <c r="D365" s="1" t="s">
        <v>352</v>
      </c>
      <c r="E365" s="1" t="s">
        <v>353</v>
      </c>
      <c r="F365" s="1" t="s">
        <v>385</v>
      </c>
    </row>
    <row r="366" spans="1:6" ht="15" customHeight="1">
      <c r="A366" s="78" t="s">
        <v>11</v>
      </c>
      <c r="B366" s="78" t="s">
        <v>355</v>
      </c>
      <c r="C366" s="78"/>
      <c r="D366" s="78"/>
      <c r="E366" s="78"/>
      <c r="F366" s="9">
        <f>F367+F374+F375</f>
        <v>1133.5747303800001</v>
      </c>
    </row>
    <row r="367" spans="1:6" ht="15" customHeight="1">
      <c r="A367" s="52" t="s">
        <v>386</v>
      </c>
      <c r="B367" s="78" t="s">
        <v>356</v>
      </c>
      <c r="C367" s="78"/>
      <c r="D367" s="78"/>
      <c r="E367" s="78"/>
      <c r="F367" s="9">
        <f>F368+F370</f>
        <v>1069.410123</v>
      </c>
    </row>
    <row r="368" spans="1:6" ht="15" customHeight="1">
      <c r="A368" s="52">
        <v>1</v>
      </c>
      <c r="B368" s="78" t="s">
        <v>358</v>
      </c>
      <c r="C368" s="78"/>
      <c r="D368" s="78"/>
      <c r="E368" s="78"/>
      <c r="F368" s="9">
        <f>F369</f>
        <v>242.33999999999997</v>
      </c>
    </row>
    <row r="369" spans="1:6" ht="15" customHeight="1">
      <c r="A369" s="78"/>
      <c r="B369" s="78" t="s">
        <v>358</v>
      </c>
      <c r="C369" s="78" t="s">
        <v>359</v>
      </c>
      <c r="D369" s="52">
        <v>42</v>
      </c>
      <c r="E369" s="52">
        <f>E350</f>
        <v>5.77</v>
      </c>
      <c r="F369" s="9">
        <f>D369*E369</f>
        <v>242.33999999999997</v>
      </c>
    </row>
    <row r="370" spans="1:6" ht="15" customHeight="1">
      <c r="A370" s="52">
        <v>2</v>
      </c>
      <c r="B370" s="78" t="s">
        <v>361</v>
      </c>
      <c r="C370" s="78"/>
      <c r="D370" s="78"/>
      <c r="E370" s="78"/>
      <c r="F370" s="9">
        <f>F372+F373</f>
        <v>827.0701230000001</v>
      </c>
    </row>
    <row r="371" spans="1:6" ht="14.25">
      <c r="A371" s="78"/>
      <c r="B371" s="82" t="s">
        <v>428</v>
      </c>
      <c r="C371" s="78" t="s">
        <v>388</v>
      </c>
      <c r="D371" s="52">
        <v>102</v>
      </c>
      <c r="E371" s="9">
        <f>'主要材料费'!D28</f>
        <v>264.7683</v>
      </c>
      <c r="F371" s="79"/>
    </row>
    <row r="372" spans="1:6" ht="15" customHeight="1">
      <c r="A372" s="78"/>
      <c r="B372" s="78" t="s">
        <v>389</v>
      </c>
      <c r="C372" s="52" t="s">
        <v>49</v>
      </c>
      <c r="D372" s="9">
        <f>3*1.25</f>
        <v>3.75</v>
      </c>
      <c r="E372" s="52">
        <f>E353</f>
        <v>4.37</v>
      </c>
      <c r="F372" s="9">
        <f>D372*E372</f>
        <v>16.3875</v>
      </c>
    </row>
    <row r="373" spans="1:6" ht="15" customHeight="1">
      <c r="A373" s="78"/>
      <c r="B373" s="78" t="s">
        <v>390</v>
      </c>
      <c r="C373" s="52" t="s">
        <v>83</v>
      </c>
      <c r="D373" s="52">
        <v>3</v>
      </c>
      <c r="E373" s="9">
        <f>(D371*E371)+F372</f>
        <v>27022.754100000002</v>
      </c>
      <c r="F373" s="9">
        <f>D373*E373/100</f>
        <v>810.682623</v>
      </c>
    </row>
    <row r="374" spans="1:6" ht="15" customHeight="1">
      <c r="A374" s="52" t="s">
        <v>391</v>
      </c>
      <c r="B374" s="78" t="s">
        <v>368</v>
      </c>
      <c r="C374" s="52" t="s">
        <v>83</v>
      </c>
      <c r="D374" s="52">
        <v>2</v>
      </c>
      <c r="E374" s="78"/>
      <c r="F374" s="9">
        <f>D374*F367/100</f>
        <v>21.388202460000002</v>
      </c>
    </row>
    <row r="375" spans="1:6" ht="15" customHeight="1">
      <c r="A375" s="52" t="s">
        <v>392</v>
      </c>
      <c r="B375" s="78" t="s">
        <v>369</v>
      </c>
      <c r="C375" s="52" t="s">
        <v>83</v>
      </c>
      <c r="D375" s="52">
        <v>4</v>
      </c>
      <c r="E375" s="78"/>
      <c r="F375" s="9">
        <f>D375*F367/100</f>
        <v>42.776404920000004</v>
      </c>
    </row>
    <row r="376" spans="1:6" ht="15" customHeight="1">
      <c r="A376" s="78" t="s">
        <v>21</v>
      </c>
      <c r="B376" s="78" t="s">
        <v>370</v>
      </c>
      <c r="C376" s="52" t="s">
        <v>83</v>
      </c>
      <c r="D376" s="52">
        <v>3</v>
      </c>
      <c r="E376" s="78"/>
      <c r="F376" s="9">
        <f>D376*F366/100</f>
        <v>34.00724191140001</v>
      </c>
    </row>
    <row r="377" spans="1:6" ht="15" customHeight="1">
      <c r="A377" s="78" t="s">
        <v>250</v>
      </c>
      <c r="B377" s="78" t="s">
        <v>371</v>
      </c>
      <c r="C377" s="52" t="s">
        <v>83</v>
      </c>
      <c r="D377" s="52">
        <v>5</v>
      </c>
      <c r="E377" s="78"/>
      <c r="F377" s="9">
        <f>D377*(F376+F366)/100</f>
        <v>58.37909861457001</v>
      </c>
    </row>
    <row r="378" spans="1:6" ht="15" customHeight="1">
      <c r="A378" s="78" t="s">
        <v>372</v>
      </c>
      <c r="B378" s="78" t="s">
        <v>373</v>
      </c>
      <c r="C378" s="52" t="s">
        <v>83</v>
      </c>
      <c r="D378" s="52">
        <v>9</v>
      </c>
      <c r="E378" s="78"/>
      <c r="F378" s="9">
        <f>D378*(F366+F376+F377)/100</f>
        <v>110.33649638153733</v>
      </c>
    </row>
    <row r="379" spans="1:6" ht="15" customHeight="1">
      <c r="A379" s="78" t="s">
        <v>393</v>
      </c>
      <c r="B379" s="78"/>
      <c r="C379" s="78"/>
      <c r="D379" s="78"/>
      <c r="E379" s="78"/>
      <c r="F379" s="9">
        <f>F366+F376+F377+F378</f>
        <v>1336.2975672875075</v>
      </c>
    </row>
    <row r="380" spans="1:6" ht="15" customHeight="1">
      <c r="A380" s="80"/>
      <c r="B380" s="31"/>
      <c r="C380" s="31"/>
      <c r="D380" s="81"/>
      <c r="E380" s="81"/>
      <c r="F380" s="81"/>
    </row>
    <row r="381" spans="1:6" ht="15" customHeight="1">
      <c r="A381" s="74" t="s">
        <v>429</v>
      </c>
      <c r="B381" s="75"/>
      <c r="C381" s="75"/>
      <c r="D381" s="75"/>
      <c r="E381" s="75"/>
      <c r="F381" s="75"/>
    </row>
    <row r="382" spans="1:6" ht="15" customHeight="1">
      <c r="A382" s="76" t="s">
        <v>381</v>
      </c>
      <c r="B382" s="76"/>
      <c r="C382" s="76"/>
      <c r="D382" s="76"/>
      <c r="E382" s="77" t="s">
        <v>382</v>
      </c>
      <c r="F382" s="77"/>
    </row>
    <row r="383" spans="1:6" ht="15" customHeight="1">
      <c r="A383" s="76" t="s">
        <v>383</v>
      </c>
      <c r="B383" s="76"/>
      <c r="C383" s="76"/>
      <c r="D383" s="76"/>
      <c r="E383" s="76"/>
      <c r="F383" s="76"/>
    </row>
    <row r="384" spans="1:6" ht="15" customHeight="1">
      <c r="A384" s="1" t="s">
        <v>349</v>
      </c>
      <c r="B384" s="1" t="s">
        <v>384</v>
      </c>
      <c r="C384" s="1" t="s">
        <v>351</v>
      </c>
      <c r="D384" s="1" t="s">
        <v>352</v>
      </c>
      <c r="E384" s="1" t="s">
        <v>353</v>
      </c>
      <c r="F384" s="1" t="s">
        <v>385</v>
      </c>
    </row>
    <row r="385" spans="1:6" ht="15" customHeight="1">
      <c r="A385" s="78" t="s">
        <v>11</v>
      </c>
      <c r="B385" s="78" t="s">
        <v>355</v>
      </c>
      <c r="C385" s="78"/>
      <c r="D385" s="78"/>
      <c r="E385" s="78"/>
      <c r="F385" s="9">
        <f>F386+F393+F394</f>
        <v>439.92243702</v>
      </c>
    </row>
    <row r="386" spans="1:6" ht="15" customHeight="1">
      <c r="A386" s="52" t="s">
        <v>386</v>
      </c>
      <c r="B386" s="78" t="s">
        <v>356</v>
      </c>
      <c r="C386" s="78"/>
      <c r="D386" s="78"/>
      <c r="E386" s="78"/>
      <c r="F386" s="9">
        <f>F387+F389</f>
        <v>415.021167</v>
      </c>
    </row>
    <row r="387" spans="1:6" ht="15" customHeight="1">
      <c r="A387" s="52">
        <v>1</v>
      </c>
      <c r="B387" s="78" t="s">
        <v>358</v>
      </c>
      <c r="C387" s="78"/>
      <c r="D387" s="78"/>
      <c r="E387" s="78"/>
      <c r="F387" s="9">
        <f>F388</f>
        <v>242.33999999999997</v>
      </c>
    </row>
    <row r="388" spans="1:6" ht="15" customHeight="1">
      <c r="A388" s="78"/>
      <c r="B388" s="78" t="s">
        <v>358</v>
      </c>
      <c r="C388" s="78" t="s">
        <v>359</v>
      </c>
      <c r="D388" s="52">
        <v>42</v>
      </c>
      <c r="E388" s="52">
        <f>E369</f>
        <v>5.77</v>
      </c>
      <c r="F388" s="9">
        <f>D388*E388</f>
        <v>242.33999999999997</v>
      </c>
    </row>
    <row r="389" spans="1:6" ht="15" customHeight="1">
      <c r="A389" s="52">
        <v>2</v>
      </c>
      <c r="B389" s="78" t="s">
        <v>361</v>
      </c>
      <c r="C389" s="78"/>
      <c r="D389" s="78"/>
      <c r="E389" s="78"/>
      <c r="F389" s="9">
        <f>F391+F392</f>
        <v>172.681167</v>
      </c>
    </row>
    <row r="390" spans="1:6" ht="14.25">
      <c r="A390" s="78"/>
      <c r="B390" s="82" t="s">
        <v>430</v>
      </c>
      <c r="C390" s="78" t="s">
        <v>388</v>
      </c>
      <c r="D390" s="52">
        <v>102</v>
      </c>
      <c r="E390" s="9">
        <f>'主要材料费'!D29</f>
        <v>50.9157</v>
      </c>
      <c r="F390" s="79"/>
    </row>
    <row r="391" spans="1:6" ht="15" customHeight="1">
      <c r="A391" s="78"/>
      <c r="B391" s="78" t="s">
        <v>389</v>
      </c>
      <c r="C391" s="52" t="s">
        <v>49</v>
      </c>
      <c r="D391" s="9">
        <f>3*1.25</f>
        <v>3.75</v>
      </c>
      <c r="E391" s="52">
        <f>E372</f>
        <v>4.37</v>
      </c>
      <c r="F391" s="9">
        <f>D391*E391</f>
        <v>16.3875</v>
      </c>
    </row>
    <row r="392" spans="1:6" ht="15" customHeight="1">
      <c r="A392" s="78"/>
      <c r="B392" s="78" t="s">
        <v>390</v>
      </c>
      <c r="C392" s="52" t="s">
        <v>83</v>
      </c>
      <c r="D392" s="52">
        <v>3</v>
      </c>
      <c r="E392" s="9">
        <f>(D390*E390)+F391</f>
        <v>5209.7889</v>
      </c>
      <c r="F392" s="9">
        <f>D392*E392/100</f>
        <v>156.293667</v>
      </c>
    </row>
    <row r="393" spans="1:6" ht="15" customHeight="1">
      <c r="A393" s="52" t="s">
        <v>391</v>
      </c>
      <c r="B393" s="78" t="s">
        <v>368</v>
      </c>
      <c r="C393" s="52" t="s">
        <v>83</v>
      </c>
      <c r="D393" s="52">
        <v>2</v>
      </c>
      <c r="E393" s="78"/>
      <c r="F393" s="9">
        <f>D393*F386/100</f>
        <v>8.30042334</v>
      </c>
    </row>
    <row r="394" spans="1:6" ht="15" customHeight="1">
      <c r="A394" s="52" t="s">
        <v>392</v>
      </c>
      <c r="B394" s="78" t="s">
        <v>369</v>
      </c>
      <c r="C394" s="52" t="s">
        <v>83</v>
      </c>
      <c r="D394" s="52">
        <v>4</v>
      </c>
      <c r="E394" s="78"/>
      <c r="F394" s="9">
        <f>D394*F386/100</f>
        <v>16.60084668</v>
      </c>
    </row>
    <row r="395" spans="1:6" ht="15" customHeight="1">
      <c r="A395" s="78" t="s">
        <v>21</v>
      </c>
      <c r="B395" s="78" t="s">
        <v>370</v>
      </c>
      <c r="C395" s="52" t="s">
        <v>83</v>
      </c>
      <c r="D395" s="52">
        <v>3</v>
      </c>
      <c r="E395" s="78"/>
      <c r="F395" s="9">
        <f>D395*F385/100</f>
        <v>13.1976731106</v>
      </c>
    </row>
    <row r="396" spans="1:6" ht="15" customHeight="1">
      <c r="A396" s="78" t="s">
        <v>250</v>
      </c>
      <c r="B396" s="78" t="s">
        <v>371</v>
      </c>
      <c r="C396" s="52" t="s">
        <v>83</v>
      </c>
      <c r="D396" s="52">
        <v>5</v>
      </c>
      <c r="E396" s="78"/>
      <c r="F396" s="9">
        <f>D396*(F395+F385)/100</f>
        <v>22.65600550653</v>
      </c>
    </row>
    <row r="397" spans="1:6" ht="15" customHeight="1">
      <c r="A397" s="78" t="s">
        <v>372</v>
      </c>
      <c r="B397" s="78" t="s">
        <v>373</v>
      </c>
      <c r="C397" s="52" t="s">
        <v>83</v>
      </c>
      <c r="D397" s="52">
        <v>9</v>
      </c>
      <c r="E397" s="78"/>
      <c r="F397" s="9">
        <f>D397*(F385+F395+F396)/100</f>
        <v>42.819850407341704</v>
      </c>
    </row>
    <row r="398" spans="1:6" ht="15" customHeight="1">
      <c r="A398" s="78" t="s">
        <v>393</v>
      </c>
      <c r="B398" s="78"/>
      <c r="C398" s="78"/>
      <c r="D398" s="78"/>
      <c r="E398" s="78"/>
      <c r="F398" s="9">
        <f>F385+F395+F396+F397</f>
        <v>518.5959660444718</v>
      </c>
    </row>
    <row r="399" spans="1:6" ht="15" customHeight="1">
      <c r="A399" s="80"/>
      <c r="B399" s="31"/>
      <c r="C399" s="31"/>
      <c r="D399" s="81"/>
      <c r="E399" s="81"/>
      <c r="F399" s="81"/>
    </row>
    <row r="400" spans="1:6" ht="15" customHeight="1">
      <c r="A400" s="74" t="s">
        <v>431</v>
      </c>
      <c r="B400" s="75"/>
      <c r="C400" s="75"/>
      <c r="D400" s="75"/>
      <c r="E400" s="75"/>
      <c r="F400" s="75"/>
    </row>
    <row r="401" spans="1:6" ht="15" customHeight="1">
      <c r="A401" s="76" t="s">
        <v>381</v>
      </c>
      <c r="B401" s="76"/>
      <c r="C401" s="76"/>
      <c r="D401" s="76"/>
      <c r="E401" s="77" t="s">
        <v>382</v>
      </c>
      <c r="F401" s="77"/>
    </row>
    <row r="402" spans="1:6" ht="15" customHeight="1">
      <c r="A402" s="76" t="s">
        <v>383</v>
      </c>
      <c r="B402" s="76"/>
      <c r="C402" s="76"/>
      <c r="D402" s="76"/>
      <c r="E402" s="76"/>
      <c r="F402" s="76"/>
    </row>
    <row r="403" spans="1:6" ht="15" customHeight="1">
      <c r="A403" s="1" t="s">
        <v>349</v>
      </c>
      <c r="B403" s="1" t="s">
        <v>384</v>
      </c>
      <c r="C403" s="1" t="s">
        <v>351</v>
      </c>
      <c r="D403" s="1" t="s">
        <v>352</v>
      </c>
      <c r="E403" s="1" t="s">
        <v>353</v>
      </c>
      <c r="F403" s="1" t="s">
        <v>385</v>
      </c>
    </row>
    <row r="404" spans="1:6" ht="15" customHeight="1">
      <c r="A404" s="78" t="s">
        <v>11</v>
      </c>
      <c r="B404" s="78" t="s">
        <v>355</v>
      </c>
      <c r="C404" s="78"/>
      <c r="D404" s="78"/>
      <c r="E404" s="78"/>
      <c r="F404" s="9">
        <f>F405+F412+F413</f>
        <v>472.97407229999993</v>
      </c>
    </row>
    <row r="405" spans="1:6" ht="15" customHeight="1">
      <c r="A405" s="52" t="s">
        <v>386</v>
      </c>
      <c r="B405" s="78" t="s">
        <v>356</v>
      </c>
      <c r="C405" s="78"/>
      <c r="D405" s="78"/>
      <c r="E405" s="78"/>
      <c r="F405" s="9">
        <f>F406+F408</f>
        <v>446.20195499999994</v>
      </c>
    </row>
    <row r="406" spans="1:6" ht="15" customHeight="1">
      <c r="A406" s="52">
        <v>1</v>
      </c>
      <c r="B406" s="78" t="s">
        <v>358</v>
      </c>
      <c r="C406" s="78"/>
      <c r="D406" s="78"/>
      <c r="E406" s="78"/>
      <c r="F406" s="9">
        <f>F407</f>
        <v>242.33999999999997</v>
      </c>
    </row>
    <row r="407" spans="1:6" ht="15" customHeight="1">
      <c r="A407" s="78"/>
      <c r="B407" s="78" t="s">
        <v>358</v>
      </c>
      <c r="C407" s="78" t="s">
        <v>359</v>
      </c>
      <c r="D407" s="52">
        <v>42</v>
      </c>
      <c r="E407" s="52">
        <f>E388</f>
        <v>5.77</v>
      </c>
      <c r="F407" s="9">
        <f>D407*E407</f>
        <v>242.33999999999997</v>
      </c>
    </row>
    <row r="408" spans="1:6" ht="15" customHeight="1">
      <c r="A408" s="52">
        <v>2</v>
      </c>
      <c r="B408" s="78" t="s">
        <v>361</v>
      </c>
      <c r="C408" s="78"/>
      <c r="D408" s="78"/>
      <c r="E408" s="78"/>
      <c r="F408" s="9">
        <f>F410+F411</f>
        <v>203.86195499999997</v>
      </c>
    </row>
    <row r="409" spans="1:6" ht="14.25">
      <c r="A409" s="78"/>
      <c r="B409" s="82" t="s">
        <v>432</v>
      </c>
      <c r="C409" s="78" t="s">
        <v>388</v>
      </c>
      <c r="D409" s="52">
        <v>102</v>
      </c>
      <c r="E409" s="9">
        <f>'主要材料费'!D30</f>
        <v>61.1055</v>
      </c>
      <c r="F409" s="79"/>
    </row>
    <row r="410" spans="1:6" ht="15" customHeight="1">
      <c r="A410" s="78"/>
      <c r="B410" s="78" t="s">
        <v>389</v>
      </c>
      <c r="C410" s="52" t="s">
        <v>49</v>
      </c>
      <c r="D410" s="9">
        <f>3*1.25</f>
        <v>3.75</v>
      </c>
      <c r="E410" s="52">
        <f>E391</f>
        <v>4.37</v>
      </c>
      <c r="F410" s="9">
        <f>D410*E410</f>
        <v>16.3875</v>
      </c>
    </row>
    <row r="411" spans="1:6" ht="15" customHeight="1">
      <c r="A411" s="78"/>
      <c r="B411" s="78" t="s">
        <v>390</v>
      </c>
      <c r="C411" s="52" t="s">
        <v>83</v>
      </c>
      <c r="D411" s="52">
        <v>3</v>
      </c>
      <c r="E411" s="9">
        <f>(D409*E409)+F410</f>
        <v>6249.148499999999</v>
      </c>
      <c r="F411" s="9">
        <f>D411*E411/100</f>
        <v>187.47445499999998</v>
      </c>
    </row>
    <row r="412" spans="1:6" ht="15" customHeight="1">
      <c r="A412" s="52" t="s">
        <v>391</v>
      </c>
      <c r="B412" s="78" t="s">
        <v>368</v>
      </c>
      <c r="C412" s="52" t="s">
        <v>83</v>
      </c>
      <c r="D412" s="52">
        <v>2</v>
      </c>
      <c r="E412" s="78"/>
      <c r="F412" s="9">
        <f>D412*F405/100</f>
        <v>8.924039099999998</v>
      </c>
    </row>
    <row r="413" spans="1:6" ht="15" customHeight="1">
      <c r="A413" s="52" t="s">
        <v>392</v>
      </c>
      <c r="B413" s="78" t="s">
        <v>369</v>
      </c>
      <c r="C413" s="52" t="s">
        <v>83</v>
      </c>
      <c r="D413" s="52">
        <v>4</v>
      </c>
      <c r="E413" s="78"/>
      <c r="F413" s="9">
        <f>D413*F405/100</f>
        <v>17.848078199999996</v>
      </c>
    </row>
    <row r="414" spans="1:6" ht="15" customHeight="1">
      <c r="A414" s="78" t="s">
        <v>21</v>
      </c>
      <c r="B414" s="78" t="s">
        <v>370</v>
      </c>
      <c r="C414" s="52" t="s">
        <v>83</v>
      </c>
      <c r="D414" s="52">
        <v>3</v>
      </c>
      <c r="E414" s="78"/>
      <c r="F414" s="9">
        <f>D414*F404/100</f>
        <v>14.189222168999997</v>
      </c>
    </row>
    <row r="415" spans="1:6" ht="15" customHeight="1">
      <c r="A415" s="78" t="s">
        <v>250</v>
      </c>
      <c r="B415" s="78" t="s">
        <v>371</v>
      </c>
      <c r="C415" s="52" t="s">
        <v>83</v>
      </c>
      <c r="D415" s="52">
        <v>5</v>
      </c>
      <c r="E415" s="78"/>
      <c r="F415" s="9">
        <f>D415*(F414+F404)/100</f>
        <v>24.358164723449995</v>
      </c>
    </row>
    <row r="416" spans="1:6" ht="15" customHeight="1">
      <c r="A416" s="78" t="s">
        <v>372</v>
      </c>
      <c r="B416" s="78" t="s">
        <v>373</v>
      </c>
      <c r="C416" s="52" t="s">
        <v>83</v>
      </c>
      <c r="D416" s="52">
        <v>9</v>
      </c>
      <c r="E416" s="78"/>
      <c r="F416" s="9">
        <f>D416*(F404+F414+F415)/100</f>
        <v>46.03693132732049</v>
      </c>
    </row>
    <row r="417" spans="1:6" ht="15" customHeight="1">
      <c r="A417" s="78" t="s">
        <v>393</v>
      </c>
      <c r="B417" s="78"/>
      <c r="C417" s="78"/>
      <c r="D417" s="78"/>
      <c r="E417" s="78"/>
      <c r="F417" s="9">
        <f>F404+F414+F415+F416</f>
        <v>557.5583905197705</v>
      </c>
    </row>
    <row r="418" spans="1:6" ht="15" customHeight="1">
      <c r="A418" s="80"/>
      <c r="B418" s="31"/>
      <c r="C418" s="31"/>
      <c r="D418" s="81"/>
      <c r="E418" s="81"/>
      <c r="F418" s="81"/>
    </row>
    <row r="419" spans="1:6" ht="15" customHeight="1">
      <c r="A419" s="74" t="s">
        <v>433</v>
      </c>
      <c r="B419" s="75"/>
      <c r="C419" s="75"/>
      <c r="D419" s="75"/>
      <c r="E419" s="75"/>
      <c r="F419" s="75"/>
    </row>
    <row r="420" spans="1:6" ht="15" customHeight="1">
      <c r="A420" s="76" t="s">
        <v>381</v>
      </c>
      <c r="B420" s="76"/>
      <c r="C420" s="76"/>
      <c r="D420" s="76"/>
      <c r="E420" s="77" t="s">
        <v>382</v>
      </c>
      <c r="F420" s="77"/>
    </row>
    <row r="421" spans="1:6" ht="15" customHeight="1">
      <c r="A421" s="76" t="s">
        <v>383</v>
      </c>
      <c r="B421" s="76"/>
      <c r="C421" s="76"/>
      <c r="D421" s="76"/>
      <c r="E421" s="76"/>
      <c r="F421" s="76"/>
    </row>
    <row r="422" spans="1:6" ht="15" customHeight="1">
      <c r="A422" s="1" t="s">
        <v>349</v>
      </c>
      <c r="B422" s="1" t="s">
        <v>384</v>
      </c>
      <c r="C422" s="1" t="s">
        <v>351</v>
      </c>
      <c r="D422" s="1" t="s">
        <v>352</v>
      </c>
      <c r="E422" s="1" t="s">
        <v>353</v>
      </c>
      <c r="F422" s="1" t="s">
        <v>385</v>
      </c>
    </row>
    <row r="423" spans="1:6" ht="15" customHeight="1">
      <c r="A423" s="78" t="s">
        <v>11</v>
      </c>
      <c r="B423" s="78" t="s">
        <v>355</v>
      </c>
      <c r="C423" s="78"/>
      <c r="D423" s="78"/>
      <c r="E423" s="78"/>
      <c r="F423" s="9">
        <f>F424+F431+F432</f>
        <v>1199.64199698</v>
      </c>
    </row>
    <row r="424" spans="1:6" ht="15" customHeight="1">
      <c r="A424" s="52" t="s">
        <v>386</v>
      </c>
      <c r="B424" s="78" t="s">
        <v>356</v>
      </c>
      <c r="C424" s="78"/>
      <c r="D424" s="78"/>
      <c r="E424" s="78"/>
      <c r="F424" s="9">
        <f>F425+F427</f>
        <v>1131.737733</v>
      </c>
    </row>
    <row r="425" spans="1:6" ht="15" customHeight="1">
      <c r="A425" s="52">
        <v>1</v>
      </c>
      <c r="B425" s="78" t="s">
        <v>358</v>
      </c>
      <c r="C425" s="78"/>
      <c r="D425" s="78"/>
      <c r="E425" s="78"/>
      <c r="F425" s="9">
        <f>F426</f>
        <v>242.33999999999997</v>
      </c>
    </row>
    <row r="426" spans="1:6" ht="15" customHeight="1">
      <c r="A426" s="78"/>
      <c r="B426" s="78" t="s">
        <v>358</v>
      </c>
      <c r="C426" s="78" t="s">
        <v>359</v>
      </c>
      <c r="D426" s="52">
        <v>42</v>
      </c>
      <c r="E426" s="52">
        <f>E407</f>
        <v>5.77</v>
      </c>
      <c r="F426" s="9">
        <f>D426*E426</f>
        <v>242.33999999999997</v>
      </c>
    </row>
    <row r="427" spans="1:6" ht="15" customHeight="1">
      <c r="A427" s="52">
        <v>2</v>
      </c>
      <c r="B427" s="78" t="s">
        <v>361</v>
      </c>
      <c r="C427" s="78"/>
      <c r="D427" s="78"/>
      <c r="E427" s="78"/>
      <c r="F427" s="9">
        <f>F429+F430</f>
        <v>889.397733</v>
      </c>
    </row>
    <row r="428" spans="1:6" ht="15" customHeight="1">
      <c r="A428" s="78"/>
      <c r="B428" s="82" t="s">
        <v>434</v>
      </c>
      <c r="C428" s="78" t="s">
        <v>388</v>
      </c>
      <c r="D428" s="52">
        <v>102</v>
      </c>
      <c r="E428" s="9">
        <f>'主要材料费'!D31</f>
        <v>285.1368</v>
      </c>
      <c r="F428" s="79"/>
    </row>
    <row r="429" spans="1:6" ht="15" customHeight="1">
      <c r="A429" s="78"/>
      <c r="B429" s="78" t="s">
        <v>389</v>
      </c>
      <c r="C429" s="52" t="s">
        <v>49</v>
      </c>
      <c r="D429" s="9">
        <f>3*1.25</f>
        <v>3.75</v>
      </c>
      <c r="E429" s="52">
        <f>E410</f>
        <v>4.37</v>
      </c>
      <c r="F429" s="9">
        <f>D429*E429</f>
        <v>16.3875</v>
      </c>
    </row>
    <row r="430" spans="1:6" ht="15" customHeight="1">
      <c r="A430" s="78"/>
      <c r="B430" s="78" t="s">
        <v>390</v>
      </c>
      <c r="C430" s="52" t="s">
        <v>83</v>
      </c>
      <c r="D430" s="52">
        <v>3</v>
      </c>
      <c r="E430" s="9">
        <f>(D428*E428)+F429</f>
        <v>29100.3411</v>
      </c>
      <c r="F430" s="9">
        <f>D430*E430/100</f>
        <v>873.010233</v>
      </c>
    </row>
    <row r="431" spans="1:6" ht="15" customHeight="1">
      <c r="A431" s="52" t="s">
        <v>391</v>
      </c>
      <c r="B431" s="78" t="s">
        <v>368</v>
      </c>
      <c r="C431" s="52" t="s">
        <v>83</v>
      </c>
      <c r="D431" s="52">
        <v>2</v>
      </c>
      <c r="E431" s="78"/>
      <c r="F431" s="9">
        <f>D431*F424/100</f>
        <v>22.63475466</v>
      </c>
    </row>
    <row r="432" spans="1:6" ht="15" customHeight="1">
      <c r="A432" s="52" t="s">
        <v>392</v>
      </c>
      <c r="B432" s="78" t="s">
        <v>369</v>
      </c>
      <c r="C432" s="52" t="s">
        <v>83</v>
      </c>
      <c r="D432" s="52">
        <v>4</v>
      </c>
      <c r="E432" s="78"/>
      <c r="F432" s="9">
        <f>D432*F424/100</f>
        <v>45.26950932</v>
      </c>
    </row>
    <row r="433" spans="1:6" ht="15" customHeight="1">
      <c r="A433" s="78" t="s">
        <v>21</v>
      </c>
      <c r="B433" s="78" t="s">
        <v>370</v>
      </c>
      <c r="C433" s="52" t="s">
        <v>83</v>
      </c>
      <c r="D433" s="52">
        <v>3</v>
      </c>
      <c r="E433" s="78"/>
      <c r="F433" s="9">
        <f>D433*F423/100</f>
        <v>35.9892599094</v>
      </c>
    </row>
    <row r="434" spans="1:6" ht="15" customHeight="1">
      <c r="A434" s="78" t="s">
        <v>250</v>
      </c>
      <c r="B434" s="78" t="s">
        <v>371</v>
      </c>
      <c r="C434" s="52" t="s">
        <v>83</v>
      </c>
      <c r="D434" s="52">
        <v>5</v>
      </c>
      <c r="E434" s="78"/>
      <c r="F434" s="9">
        <f>D434*(F433+F423)/100</f>
        <v>61.78156284447</v>
      </c>
    </row>
    <row r="435" spans="1:6" ht="15" customHeight="1">
      <c r="A435" s="78" t="s">
        <v>372</v>
      </c>
      <c r="B435" s="78" t="s">
        <v>373</v>
      </c>
      <c r="C435" s="52" t="s">
        <v>83</v>
      </c>
      <c r="D435" s="52">
        <v>9</v>
      </c>
      <c r="E435" s="78"/>
      <c r="F435" s="9">
        <f>D435*(F423+F433+F434)/100</f>
        <v>116.7671537760483</v>
      </c>
    </row>
    <row r="436" spans="1:6" ht="15" customHeight="1">
      <c r="A436" s="78" t="s">
        <v>393</v>
      </c>
      <c r="B436" s="78"/>
      <c r="C436" s="78"/>
      <c r="D436" s="78"/>
      <c r="E436" s="78"/>
      <c r="F436" s="9">
        <f>F423+F433+F434+F435</f>
        <v>1414.1799735099185</v>
      </c>
    </row>
    <row r="437" spans="1:6" ht="15" customHeight="1">
      <c r="A437" s="80"/>
      <c r="B437" s="31"/>
      <c r="C437" s="31"/>
      <c r="D437" s="81"/>
      <c r="E437" s="81"/>
      <c r="F437" s="81"/>
    </row>
    <row r="438" spans="1:6" ht="15" customHeight="1">
      <c r="A438" s="74" t="s">
        <v>435</v>
      </c>
      <c r="B438" s="75"/>
      <c r="C438" s="75"/>
      <c r="D438" s="75"/>
      <c r="E438" s="75"/>
      <c r="F438" s="75"/>
    </row>
    <row r="439" spans="1:6" ht="15" customHeight="1">
      <c r="A439" s="76" t="s">
        <v>381</v>
      </c>
      <c r="B439" s="76"/>
      <c r="C439" s="76"/>
      <c r="D439" s="76"/>
      <c r="E439" s="77" t="s">
        <v>382</v>
      </c>
      <c r="F439" s="77"/>
    </row>
    <row r="440" spans="1:6" ht="15" customHeight="1">
      <c r="A440" s="76" t="s">
        <v>383</v>
      </c>
      <c r="B440" s="76"/>
      <c r="C440" s="76"/>
      <c r="D440" s="76"/>
      <c r="E440" s="76"/>
      <c r="F440" s="76"/>
    </row>
    <row r="441" spans="1:6" ht="15" customHeight="1">
      <c r="A441" s="1" t="s">
        <v>349</v>
      </c>
      <c r="B441" s="1" t="s">
        <v>384</v>
      </c>
      <c r="C441" s="1" t="s">
        <v>351</v>
      </c>
      <c r="D441" s="1" t="s">
        <v>352</v>
      </c>
      <c r="E441" s="1" t="s">
        <v>353</v>
      </c>
      <c r="F441" s="1" t="s">
        <v>385</v>
      </c>
    </row>
    <row r="442" spans="1:6" ht="15" customHeight="1">
      <c r="A442" s="78" t="s">
        <v>11</v>
      </c>
      <c r="B442" s="78" t="s">
        <v>355</v>
      </c>
      <c r="C442" s="78"/>
      <c r="D442" s="78"/>
      <c r="E442" s="78"/>
      <c r="F442" s="9">
        <f>F443+F450+F451</f>
        <v>770.22276606</v>
      </c>
    </row>
    <row r="443" spans="1:6" ht="15" customHeight="1">
      <c r="A443" s="52" t="s">
        <v>386</v>
      </c>
      <c r="B443" s="78" t="s">
        <v>356</v>
      </c>
      <c r="C443" s="78"/>
      <c r="D443" s="78"/>
      <c r="E443" s="78"/>
      <c r="F443" s="9">
        <f>F444+F446</f>
        <v>726.625251</v>
      </c>
    </row>
    <row r="444" spans="1:6" ht="15" customHeight="1">
      <c r="A444" s="52">
        <v>1</v>
      </c>
      <c r="B444" s="78" t="s">
        <v>358</v>
      </c>
      <c r="C444" s="78"/>
      <c r="D444" s="78"/>
      <c r="E444" s="78"/>
      <c r="F444" s="9">
        <f>F445</f>
        <v>242.33999999999997</v>
      </c>
    </row>
    <row r="445" spans="1:6" ht="15" customHeight="1">
      <c r="A445" s="78"/>
      <c r="B445" s="78" t="s">
        <v>358</v>
      </c>
      <c r="C445" s="78" t="s">
        <v>359</v>
      </c>
      <c r="D445" s="52">
        <v>42</v>
      </c>
      <c r="E445" s="52">
        <f>E426</f>
        <v>5.77</v>
      </c>
      <c r="F445" s="9">
        <f>D445*E445</f>
        <v>242.33999999999997</v>
      </c>
    </row>
    <row r="446" spans="1:6" ht="15" customHeight="1">
      <c r="A446" s="52">
        <v>2</v>
      </c>
      <c r="B446" s="78" t="s">
        <v>361</v>
      </c>
      <c r="C446" s="78"/>
      <c r="D446" s="78"/>
      <c r="E446" s="78"/>
      <c r="F446" s="9">
        <f>F448+F449</f>
        <v>484.2852510000001</v>
      </c>
    </row>
    <row r="447" spans="1:6" ht="15" customHeight="1">
      <c r="A447" s="78"/>
      <c r="B447" s="82" t="s">
        <v>436</v>
      </c>
      <c r="C447" s="78" t="s">
        <v>388</v>
      </c>
      <c r="D447" s="52">
        <v>102</v>
      </c>
      <c r="E447" s="9">
        <f>'主要材料费'!D32</f>
        <v>152.74710000000002</v>
      </c>
      <c r="F447" s="79"/>
    </row>
    <row r="448" spans="1:6" ht="15" customHeight="1">
      <c r="A448" s="78"/>
      <c r="B448" s="78" t="s">
        <v>389</v>
      </c>
      <c r="C448" s="52" t="s">
        <v>49</v>
      </c>
      <c r="D448" s="9">
        <f>3*1.25</f>
        <v>3.75</v>
      </c>
      <c r="E448" s="52">
        <f>E429</f>
        <v>4.37</v>
      </c>
      <c r="F448" s="9">
        <f>D448*E448</f>
        <v>16.3875</v>
      </c>
    </row>
    <row r="449" spans="1:6" ht="15" customHeight="1">
      <c r="A449" s="78"/>
      <c r="B449" s="78" t="s">
        <v>390</v>
      </c>
      <c r="C449" s="52" t="s">
        <v>83</v>
      </c>
      <c r="D449" s="52">
        <v>3</v>
      </c>
      <c r="E449" s="9">
        <f>(D447*E447)+F448</f>
        <v>15596.591700000003</v>
      </c>
      <c r="F449" s="9">
        <f>D449*E449/100</f>
        <v>467.8977510000001</v>
      </c>
    </row>
    <row r="450" spans="1:6" ht="15" customHeight="1">
      <c r="A450" s="52" t="s">
        <v>391</v>
      </c>
      <c r="B450" s="78" t="s">
        <v>368</v>
      </c>
      <c r="C450" s="52" t="s">
        <v>83</v>
      </c>
      <c r="D450" s="52">
        <v>2</v>
      </c>
      <c r="E450" s="78"/>
      <c r="F450" s="9">
        <f>D450*F443/100</f>
        <v>14.53250502</v>
      </c>
    </row>
    <row r="451" spans="1:6" ht="15" customHeight="1">
      <c r="A451" s="52" t="s">
        <v>392</v>
      </c>
      <c r="B451" s="78" t="s">
        <v>369</v>
      </c>
      <c r="C451" s="52" t="s">
        <v>83</v>
      </c>
      <c r="D451" s="52">
        <v>4</v>
      </c>
      <c r="E451" s="78"/>
      <c r="F451" s="9">
        <f>D451*F443/100</f>
        <v>29.06501004</v>
      </c>
    </row>
    <row r="452" spans="1:6" ht="15" customHeight="1">
      <c r="A452" s="78" t="s">
        <v>21</v>
      </c>
      <c r="B452" s="78" t="s">
        <v>370</v>
      </c>
      <c r="C452" s="52" t="s">
        <v>83</v>
      </c>
      <c r="D452" s="52">
        <v>3</v>
      </c>
      <c r="E452" s="78"/>
      <c r="F452" s="9">
        <f>D452*F442/100</f>
        <v>23.1066829818</v>
      </c>
    </row>
    <row r="453" spans="1:6" ht="15" customHeight="1">
      <c r="A453" s="78" t="s">
        <v>250</v>
      </c>
      <c r="B453" s="78" t="s">
        <v>371</v>
      </c>
      <c r="C453" s="52" t="s">
        <v>83</v>
      </c>
      <c r="D453" s="52">
        <v>5</v>
      </c>
      <c r="E453" s="78"/>
      <c r="F453" s="9">
        <f>D453*(F452+F442)/100</f>
        <v>39.666472452090005</v>
      </c>
    </row>
    <row r="454" spans="1:6" ht="15" customHeight="1">
      <c r="A454" s="78" t="s">
        <v>372</v>
      </c>
      <c r="B454" s="78" t="s">
        <v>373</v>
      </c>
      <c r="C454" s="52" t="s">
        <v>83</v>
      </c>
      <c r="D454" s="52">
        <v>9</v>
      </c>
      <c r="E454" s="78"/>
      <c r="F454" s="9">
        <f>D454*(F442+F452+F453)/100</f>
        <v>74.9696329344501</v>
      </c>
    </row>
    <row r="455" spans="1:6" ht="15" customHeight="1">
      <c r="A455" s="78" t="s">
        <v>393</v>
      </c>
      <c r="B455" s="78"/>
      <c r="C455" s="78"/>
      <c r="D455" s="78"/>
      <c r="E455" s="78"/>
      <c r="F455" s="9">
        <f>F442+F452+F453+F454</f>
        <v>907.9655544283402</v>
      </c>
    </row>
    <row r="456" spans="1:6" ht="15" customHeight="1">
      <c r="A456" s="80"/>
      <c r="B456" s="31"/>
      <c r="C456" s="31"/>
      <c r="D456" s="81"/>
      <c r="E456" s="81"/>
      <c r="F456" s="81"/>
    </row>
    <row r="457" spans="1:6" ht="15" customHeight="1">
      <c r="A457" s="74" t="s">
        <v>437</v>
      </c>
      <c r="B457" s="75"/>
      <c r="C457" s="75"/>
      <c r="D457" s="75"/>
      <c r="E457" s="75"/>
      <c r="F457" s="75"/>
    </row>
    <row r="458" spans="1:6" ht="15" customHeight="1">
      <c r="A458" s="76" t="s">
        <v>381</v>
      </c>
      <c r="B458" s="76"/>
      <c r="C458" s="76"/>
      <c r="D458" s="76"/>
      <c r="E458" s="77" t="s">
        <v>382</v>
      </c>
      <c r="F458" s="77"/>
    </row>
    <row r="459" spans="1:6" ht="15" customHeight="1">
      <c r="A459" s="76" t="s">
        <v>383</v>
      </c>
      <c r="B459" s="76"/>
      <c r="C459" s="76"/>
      <c r="D459" s="76"/>
      <c r="E459" s="76"/>
      <c r="F459" s="76"/>
    </row>
    <row r="460" spans="1:6" ht="15" customHeight="1">
      <c r="A460" s="1" t="s">
        <v>349</v>
      </c>
      <c r="B460" s="1" t="s">
        <v>384</v>
      </c>
      <c r="C460" s="1" t="s">
        <v>351</v>
      </c>
      <c r="D460" s="1" t="s">
        <v>352</v>
      </c>
      <c r="E460" s="1" t="s">
        <v>353</v>
      </c>
      <c r="F460" s="1" t="s">
        <v>385</v>
      </c>
    </row>
    <row r="461" spans="1:6" ht="15" customHeight="1">
      <c r="A461" s="78" t="s">
        <v>11</v>
      </c>
      <c r="B461" s="78" t="s">
        <v>355</v>
      </c>
      <c r="C461" s="78"/>
      <c r="D461" s="78"/>
      <c r="E461" s="78"/>
      <c r="F461" s="9">
        <f>F462+F469+F470</f>
        <v>704.1915034200001</v>
      </c>
    </row>
    <row r="462" spans="1:6" ht="15" customHeight="1">
      <c r="A462" s="52" t="s">
        <v>386</v>
      </c>
      <c r="B462" s="78" t="s">
        <v>356</v>
      </c>
      <c r="C462" s="78"/>
      <c r="D462" s="78"/>
      <c r="E462" s="78"/>
      <c r="F462" s="9">
        <f>F463+F465</f>
        <v>664.3316070000001</v>
      </c>
    </row>
    <row r="463" spans="1:6" ht="15" customHeight="1">
      <c r="A463" s="52">
        <v>1</v>
      </c>
      <c r="B463" s="78" t="s">
        <v>358</v>
      </c>
      <c r="C463" s="78"/>
      <c r="D463" s="78"/>
      <c r="E463" s="78"/>
      <c r="F463" s="9">
        <f>F464</f>
        <v>242.33999999999997</v>
      </c>
    </row>
    <row r="464" spans="1:6" ht="15" customHeight="1">
      <c r="A464" s="78"/>
      <c r="B464" s="78" t="s">
        <v>358</v>
      </c>
      <c r="C464" s="78" t="s">
        <v>359</v>
      </c>
      <c r="D464" s="52">
        <v>42</v>
      </c>
      <c r="E464" s="52">
        <f>E445</f>
        <v>5.77</v>
      </c>
      <c r="F464" s="9">
        <f>D464*E464</f>
        <v>242.33999999999997</v>
      </c>
    </row>
    <row r="465" spans="1:6" ht="15" customHeight="1">
      <c r="A465" s="52">
        <v>2</v>
      </c>
      <c r="B465" s="78" t="s">
        <v>361</v>
      </c>
      <c r="C465" s="78"/>
      <c r="D465" s="78"/>
      <c r="E465" s="78"/>
      <c r="F465" s="9">
        <f>F467+F468</f>
        <v>421.99160700000004</v>
      </c>
    </row>
    <row r="466" spans="1:6" ht="15" customHeight="1">
      <c r="A466" s="78"/>
      <c r="B466" s="82" t="s">
        <v>438</v>
      </c>
      <c r="C466" s="78" t="s">
        <v>388</v>
      </c>
      <c r="D466" s="52">
        <v>102</v>
      </c>
      <c r="E466" s="9">
        <f>'主要材料费'!D33</f>
        <v>132.3897</v>
      </c>
      <c r="F466" s="79"/>
    </row>
    <row r="467" spans="1:6" ht="15" customHeight="1">
      <c r="A467" s="78"/>
      <c r="B467" s="78" t="s">
        <v>389</v>
      </c>
      <c r="C467" s="52" t="s">
        <v>49</v>
      </c>
      <c r="D467" s="9">
        <f>3*1.25</f>
        <v>3.75</v>
      </c>
      <c r="E467" s="52">
        <f>E448</f>
        <v>4.37</v>
      </c>
      <c r="F467" s="9">
        <f>D467*E467</f>
        <v>16.3875</v>
      </c>
    </row>
    <row r="468" spans="1:6" ht="15" customHeight="1">
      <c r="A468" s="78"/>
      <c r="B468" s="78" t="s">
        <v>390</v>
      </c>
      <c r="C468" s="52" t="s">
        <v>83</v>
      </c>
      <c r="D468" s="52">
        <v>3</v>
      </c>
      <c r="E468" s="9">
        <f>(D466*E466)+F467</f>
        <v>13520.136900000001</v>
      </c>
      <c r="F468" s="9">
        <f>D468*E468/100</f>
        <v>405.60410700000006</v>
      </c>
    </row>
    <row r="469" spans="1:6" ht="15" customHeight="1">
      <c r="A469" s="52" t="s">
        <v>391</v>
      </c>
      <c r="B469" s="78" t="s">
        <v>368</v>
      </c>
      <c r="C469" s="52" t="s">
        <v>83</v>
      </c>
      <c r="D469" s="52">
        <v>2</v>
      </c>
      <c r="E469" s="78"/>
      <c r="F469" s="9">
        <f>D469*F462/100</f>
        <v>13.286632140000002</v>
      </c>
    </row>
    <row r="470" spans="1:6" ht="15" customHeight="1">
      <c r="A470" s="52" t="s">
        <v>392</v>
      </c>
      <c r="B470" s="78" t="s">
        <v>369</v>
      </c>
      <c r="C470" s="52" t="s">
        <v>83</v>
      </c>
      <c r="D470" s="52">
        <v>4</v>
      </c>
      <c r="E470" s="78"/>
      <c r="F470" s="9">
        <f>D470*F462/100</f>
        <v>26.573264280000004</v>
      </c>
    </row>
    <row r="471" spans="1:6" ht="15" customHeight="1">
      <c r="A471" s="78" t="s">
        <v>21</v>
      </c>
      <c r="B471" s="78" t="s">
        <v>370</v>
      </c>
      <c r="C471" s="52" t="s">
        <v>83</v>
      </c>
      <c r="D471" s="52">
        <v>3</v>
      </c>
      <c r="E471" s="78"/>
      <c r="F471" s="9">
        <f>D471*F461/100</f>
        <v>21.125745102600003</v>
      </c>
    </row>
    <row r="472" spans="1:6" ht="15" customHeight="1">
      <c r="A472" s="78" t="s">
        <v>250</v>
      </c>
      <c r="B472" s="78" t="s">
        <v>371</v>
      </c>
      <c r="C472" s="52" t="s">
        <v>83</v>
      </c>
      <c r="D472" s="52">
        <v>5</v>
      </c>
      <c r="E472" s="78"/>
      <c r="F472" s="9">
        <f>D472*(F471+F461)/100</f>
        <v>36.265862426130006</v>
      </c>
    </row>
    <row r="473" spans="1:6" ht="15" customHeight="1">
      <c r="A473" s="78" t="s">
        <v>372</v>
      </c>
      <c r="B473" s="78" t="s">
        <v>373</v>
      </c>
      <c r="C473" s="52" t="s">
        <v>83</v>
      </c>
      <c r="D473" s="52">
        <v>9</v>
      </c>
      <c r="E473" s="78"/>
      <c r="F473" s="9">
        <f>D473*(F461+F471+F472)/100</f>
        <v>68.54247998538571</v>
      </c>
    </row>
    <row r="474" spans="1:6" ht="15" customHeight="1">
      <c r="A474" s="78" t="s">
        <v>393</v>
      </c>
      <c r="B474" s="78"/>
      <c r="C474" s="78"/>
      <c r="D474" s="78"/>
      <c r="E474" s="78"/>
      <c r="F474" s="9">
        <f>F461+F471+F472+F473</f>
        <v>830.1255909341158</v>
      </c>
    </row>
    <row r="475" spans="1:6" ht="15" customHeight="1">
      <c r="A475" s="80"/>
      <c r="B475" s="31"/>
      <c r="C475" s="31"/>
      <c r="D475" s="81"/>
      <c r="E475" s="81"/>
      <c r="F475" s="81"/>
    </row>
    <row r="476" spans="1:6" ht="15" customHeight="1">
      <c r="A476" s="74" t="s">
        <v>439</v>
      </c>
      <c r="B476" s="75"/>
      <c r="C476" s="75"/>
      <c r="D476" s="75"/>
      <c r="E476" s="75"/>
      <c r="F476" s="75"/>
    </row>
    <row r="477" spans="1:6" ht="15" customHeight="1">
      <c r="A477" s="76" t="s">
        <v>399</v>
      </c>
      <c r="B477" s="76"/>
      <c r="C477" s="76"/>
      <c r="D477" s="76"/>
      <c r="E477" s="77" t="s">
        <v>382</v>
      </c>
      <c r="F477" s="77"/>
    </row>
    <row r="478" spans="1:6" ht="15" customHeight="1">
      <c r="A478" s="76" t="s">
        <v>383</v>
      </c>
      <c r="B478" s="76"/>
      <c r="C478" s="76"/>
      <c r="D478" s="76"/>
      <c r="E478" s="76"/>
      <c r="F478" s="76"/>
    </row>
    <row r="479" spans="1:6" ht="15" customHeight="1">
      <c r="A479" s="1" t="s">
        <v>349</v>
      </c>
      <c r="B479" s="1" t="s">
        <v>384</v>
      </c>
      <c r="C479" s="1" t="s">
        <v>351</v>
      </c>
      <c r="D479" s="1" t="s">
        <v>352</v>
      </c>
      <c r="E479" s="1" t="s">
        <v>353</v>
      </c>
      <c r="F479" s="1" t="s">
        <v>385</v>
      </c>
    </row>
    <row r="480" spans="1:6" ht="15" customHeight="1">
      <c r="A480" s="78" t="s">
        <v>11</v>
      </c>
      <c r="B480" s="78" t="s">
        <v>355</v>
      </c>
      <c r="C480" s="78"/>
      <c r="D480" s="78"/>
      <c r="E480" s="78"/>
      <c r="F480" s="9">
        <f>F481+F488+F489</f>
        <v>585.75036292</v>
      </c>
    </row>
    <row r="481" spans="1:6" ht="15" customHeight="1">
      <c r="A481" s="52" t="s">
        <v>386</v>
      </c>
      <c r="B481" s="78" t="s">
        <v>356</v>
      </c>
      <c r="C481" s="78"/>
      <c r="D481" s="78"/>
      <c r="E481" s="78"/>
      <c r="F481" s="9">
        <f>F482+F484</f>
        <v>552.594682</v>
      </c>
    </row>
    <row r="482" spans="1:6" ht="15" customHeight="1">
      <c r="A482" s="52">
        <v>1</v>
      </c>
      <c r="B482" s="78" t="s">
        <v>358</v>
      </c>
      <c r="C482" s="78"/>
      <c r="D482" s="78"/>
      <c r="E482" s="78"/>
      <c r="F482" s="9">
        <f>F483</f>
        <v>138.48</v>
      </c>
    </row>
    <row r="483" spans="1:6" ht="15" customHeight="1">
      <c r="A483" s="78"/>
      <c r="B483" s="78" t="s">
        <v>358</v>
      </c>
      <c r="C483" s="78" t="s">
        <v>359</v>
      </c>
      <c r="D483" s="52">
        <v>24</v>
      </c>
      <c r="E483" s="52">
        <f>E464</f>
        <v>5.77</v>
      </c>
      <c r="F483" s="9">
        <f>D483*E483</f>
        <v>138.48</v>
      </c>
    </row>
    <row r="484" spans="1:6" ht="15" customHeight="1">
      <c r="A484" s="52">
        <v>2</v>
      </c>
      <c r="B484" s="78" t="s">
        <v>361</v>
      </c>
      <c r="C484" s="78"/>
      <c r="D484" s="78"/>
      <c r="E484" s="78"/>
      <c r="F484" s="9">
        <f>F486+F487</f>
        <v>414.114682</v>
      </c>
    </row>
    <row r="485" spans="1:6" ht="15" customHeight="1">
      <c r="A485" s="78"/>
      <c r="B485" s="82" t="s">
        <v>440</v>
      </c>
      <c r="C485" s="78" t="s">
        <v>388</v>
      </c>
      <c r="D485" s="52">
        <v>102</v>
      </c>
      <c r="E485" s="9">
        <f>'主要材料费'!D34</f>
        <v>132.3897</v>
      </c>
      <c r="F485" s="79"/>
    </row>
    <row r="486" spans="1:6" ht="15" customHeight="1">
      <c r="A486" s="78"/>
      <c r="B486" s="78" t="s">
        <v>389</v>
      </c>
      <c r="C486" s="52" t="s">
        <v>49</v>
      </c>
      <c r="D486" s="9">
        <v>2</v>
      </c>
      <c r="E486" s="52">
        <f>E467</f>
        <v>4.37</v>
      </c>
      <c r="F486" s="9">
        <f>D486*E486</f>
        <v>8.74</v>
      </c>
    </row>
    <row r="487" spans="1:6" ht="15" customHeight="1">
      <c r="A487" s="78"/>
      <c r="B487" s="78" t="s">
        <v>390</v>
      </c>
      <c r="C487" s="52" t="s">
        <v>83</v>
      </c>
      <c r="D487" s="52">
        <v>3</v>
      </c>
      <c r="E487" s="9">
        <f>(D485*E485)+F486</f>
        <v>13512.4894</v>
      </c>
      <c r="F487" s="9">
        <f>D487*E487/100</f>
        <v>405.374682</v>
      </c>
    </row>
    <row r="488" spans="1:6" ht="15" customHeight="1">
      <c r="A488" s="52" t="s">
        <v>391</v>
      </c>
      <c r="B488" s="78" t="s">
        <v>368</v>
      </c>
      <c r="C488" s="52" t="s">
        <v>83</v>
      </c>
      <c r="D488" s="52">
        <v>2</v>
      </c>
      <c r="E488" s="78"/>
      <c r="F488" s="9">
        <f>D488*F481/100</f>
        <v>11.051893640000001</v>
      </c>
    </row>
    <row r="489" spans="1:6" ht="15" customHeight="1">
      <c r="A489" s="52" t="s">
        <v>392</v>
      </c>
      <c r="B489" s="78" t="s">
        <v>369</v>
      </c>
      <c r="C489" s="52" t="s">
        <v>83</v>
      </c>
      <c r="D489" s="52">
        <v>4</v>
      </c>
      <c r="E489" s="78"/>
      <c r="F489" s="9">
        <f>D489*F481/100</f>
        <v>22.103787280000002</v>
      </c>
    </row>
    <row r="490" spans="1:6" ht="15" customHeight="1">
      <c r="A490" s="78" t="s">
        <v>21</v>
      </c>
      <c r="B490" s="78" t="s">
        <v>370</v>
      </c>
      <c r="C490" s="52" t="s">
        <v>83</v>
      </c>
      <c r="D490" s="52">
        <v>3</v>
      </c>
      <c r="E490" s="78"/>
      <c r="F490" s="9">
        <f>D490*F480/100</f>
        <v>17.5725108876</v>
      </c>
    </row>
    <row r="491" spans="1:6" ht="15" customHeight="1">
      <c r="A491" s="78" t="s">
        <v>250</v>
      </c>
      <c r="B491" s="78" t="s">
        <v>371</v>
      </c>
      <c r="C491" s="52" t="s">
        <v>83</v>
      </c>
      <c r="D491" s="52">
        <v>5</v>
      </c>
      <c r="E491" s="78"/>
      <c r="F491" s="9">
        <f>D491*(F490+F480)/100</f>
        <v>30.16614369038</v>
      </c>
    </row>
    <row r="492" spans="1:6" ht="15" customHeight="1">
      <c r="A492" s="78" t="s">
        <v>372</v>
      </c>
      <c r="B492" s="78" t="s">
        <v>373</v>
      </c>
      <c r="C492" s="52" t="s">
        <v>83</v>
      </c>
      <c r="D492" s="52">
        <v>9</v>
      </c>
      <c r="E492" s="78"/>
      <c r="F492" s="9">
        <f>D492*(F480+F490+F491)/100</f>
        <v>57.0140115748182</v>
      </c>
    </row>
    <row r="493" spans="1:6" ht="15" customHeight="1">
      <c r="A493" s="78" t="s">
        <v>393</v>
      </c>
      <c r="B493" s="78"/>
      <c r="C493" s="78"/>
      <c r="D493" s="78"/>
      <c r="E493" s="78"/>
      <c r="F493" s="9">
        <f>F480+F490+F491+F492</f>
        <v>690.5030290727982</v>
      </c>
    </row>
    <row r="494" spans="1:6" ht="15" customHeight="1">
      <c r="A494" s="80"/>
      <c r="B494" s="31"/>
      <c r="C494" s="31"/>
      <c r="D494" s="81"/>
      <c r="E494" s="81"/>
      <c r="F494" s="81"/>
    </row>
    <row r="495" spans="1:6" ht="15" customHeight="1">
      <c r="A495" s="74" t="s">
        <v>441</v>
      </c>
      <c r="B495" s="75"/>
      <c r="C495" s="75"/>
      <c r="D495" s="75"/>
      <c r="E495" s="75"/>
      <c r="F495" s="75"/>
    </row>
    <row r="496" spans="1:6" ht="15" customHeight="1">
      <c r="A496" s="76" t="s">
        <v>399</v>
      </c>
      <c r="B496" s="76"/>
      <c r="C496" s="76"/>
      <c r="D496" s="76"/>
      <c r="E496" s="77" t="s">
        <v>382</v>
      </c>
      <c r="F496" s="77"/>
    </row>
    <row r="497" spans="1:6" ht="15" customHeight="1">
      <c r="A497" s="76" t="s">
        <v>383</v>
      </c>
      <c r="B497" s="76"/>
      <c r="C497" s="76"/>
      <c r="D497" s="76"/>
      <c r="E497" s="76"/>
      <c r="F497" s="76"/>
    </row>
    <row r="498" spans="1:6" ht="15" customHeight="1">
      <c r="A498" s="1" t="s">
        <v>349</v>
      </c>
      <c r="B498" s="1" t="s">
        <v>384</v>
      </c>
      <c r="C498" s="1" t="s">
        <v>351</v>
      </c>
      <c r="D498" s="1" t="s">
        <v>352</v>
      </c>
      <c r="E498" s="1" t="s">
        <v>353</v>
      </c>
      <c r="F498" s="1" t="s">
        <v>385</v>
      </c>
    </row>
    <row r="499" spans="1:6" ht="15" customHeight="1">
      <c r="A499" s="78" t="s">
        <v>11</v>
      </c>
      <c r="B499" s="78" t="s">
        <v>355</v>
      </c>
      <c r="C499" s="78"/>
      <c r="D499" s="78"/>
      <c r="E499" s="78"/>
      <c r="F499" s="9">
        <f>F500+F507+F508</f>
        <v>354.5329318</v>
      </c>
    </row>
    <row r="500" spans="1:6" ht="15" customHeight="1">
      <c r="A500" s="52" t="s">
        <v>386</v>
      </c>
      <c r="B500" s="78" t="s">
        <v>356</v>
      </c>
      <c r="C500" s="78"/>
      <c r="D500" s="78"/>
      <c r="E500" s="78"/>
      <c r="F500" s="9">
        <f>F501+F503</f>
        <v>334.46502999999996</v>
      </c>
    </row>
    <row r="501" spans="1:6" ht="15" customHeight="1">
      <c r="A501" s="52">
        <v>1</v>
      </c>
      <c r="B501" s="78" t="s">
        <v>358</v>
      </c>
      <c r="C501" s="78"/>
      <c r="D501" s="78"/>
      <c r="E501" s="78"/>
      <c r="F501" s="9">
        <f>F502</f>
        <v>138.48</v>
      </c>
    </row>
    <row r="502" spans="1:6" ht="15" customHeight="1">
      <c r="A502" s="78"/>
      <c r="B502" s="78" t="s">
        <v>358</v>
      </c>
      <c r="C502" s="78" t="s">
        <v>359</v>
      </c>
      <c r="D502" s="52">
        <v>24</v>
      </c>
      <c r="E502" s="52">
        <f>E483</f>
        <v>5.77</v>
      </c>
      <c r="F502" s="9">
        <f>D502*E502</f>
        <v>138.48</v>
      </c>
    </row>
    <row r="503" spans="1:6" ht="15" customHeight="1">
      <c r="A503" s="52">
        <v>2</v>
      </c>
      <c r="B503" s="78" t="s">
        <v>361</v>
      </c>
      <c r="C503" s="78"/>
      <c r="D503" s="78"/>
      <c r="E503" s="78"/>
      <c r="F503" s="9">
        <f>F505+F506</f>
        <v>195.98502999999997</v>
      </c>
    </row>
    <row r="504" spans="1:6" ht="15" customHeight="1">
      <c r="A504" s="78"/>
      <c r="B504" s="82" t="s">
        <v>442</v>
      </c>
      <c r="C504" s="78" t="s">
        <v>388</v>
      </c>
      <c r="D504" s="52">
        <v>102</v>
      </c>
      <c r="E504" s="9">
        <f>'主要材料费'!D35</f>
        <v>61.1055</v>
      </c>
      <c r="F504" s="79"/>
    </row>
    <row r="505" spans="1:6" ht="15" customHeight="1">
      <c r="A505" s="78"/>
      <c r="B505" s="78" t="s">
        <v>389</v>
      </c>
      <c r="C505" s="52" t="s">
        <v>49</v>
      </c>
      <c r="D505" s="9">
        <v>2</v>
      </c>
      <c r="E505" s="52">
        <f>E486</f>
        <v>4.37</v>
      </c>
      <c r="F505" s="9">
        <f>D505*E505</f>
        <v>8.74</v>
      </c>
    </row>
    <row r="506" spans="1:6" ht="15" customHeight="1">
      <c r="A506" s="78"/>
      <c r="B506" s="78" t="s">
        <v>390</v>
      </c>
      <c r="C506" s="52" t="s">
        <v>83</v>
      </c>
      <c r="D506" s="52">
        <v>3</v>
      </c>
      <c r="E506" s="9">
        <f>(D504*E504)+F505</f>
        <v>6241.500999999999</v>
      </c>
      <c r="F506" s="9">
        <f>D506*E506/100</f>
        <v>187.24502999999996</v>
      </c>
    </row>
    <row r="507" spans="1:6" ht="15" customHeight="1">
      <c r="A507" s="52" t="s">
        <v>391</v>
      </c>
      <c r="B507" s="78" t="s">
        <v>368</v>
      </c>
      <c r="C507" s="52" t="s">
        <v>83</v>
      </c>
      <c r="D507" s="52">
        <v>2</v>
      </c>
      <c r="E507" s="78"/>
      <c r="F507" s="9">
        <f>D507*F500/100</f>
        <v>6.689300599999999</v>
      </c>
    </row>
    <row r="508" spans="1:6" ht="15" customHeight="1">
      <c r="A508" s="52" t="s">
        <v>392</v>
      </c>
      <c r="B508" s="78" t="s">
        <v>369</v>
      </c>
      <c r="C508" s="52" t="s">
        <v>83</v>
      </c>
      <c r="D508" s="52">
        <v>4</v>
      </c>
      <c r="E508" s="78"/>
      <c r="F508" s="9">
        <f>D508*F500/100</f>
        <v>13.378601199999999</v>
      </c>
    </row>
    <row r="509" spans="1:6" ht="15" customHeight="1">
      <c r="A509" s="78" t="s">
        <v>21</v>
      </c>
      <c r="B509" s="78" t="s">
        <v>370</v>
      </c>
      <c r="C509" s="52" t="s">
        <v>83</v>
      </c>
      <c r="D509" s="52">
        <v>3</v>
      </c>
      <c r="E509" s="78"/>
      <c r="F509" s="9">
        <f>D509*F499/100</f>
        <v>10.635987953999999</v>
      </c>
    </row>
    <row r="510" spans="1:6" ht="15" customHeight="1">
      <c r="A510" s="78" t="s">
        <v>250</v>
      </c>
      <c r="B510" s="78" t="s">
        <v>371</v>
      </c>
      <c r="C510" s="52" t="s">
        <v>83</v>
      </c>
      <c r="D510" s="52">
        <v>5</v>
      </c>
      <c r="E510" s="78"/>
      <c r="F510" s="9">
        <f>D510*(F509+F499)/100</f>
        <v>18.258445987699996</v>
      </c>
    </row>
    <row r="511" spans="1:6" ht="15" customHeight="1">
      <c r="A511" s="78" t="s">
        <v>372</v>
      </c>
      <c r="B511" s="78" t="s">
        <v>373</v>
      </c>
      <c r="C511" s="52" t="s">
        <v>83</v>
      </c>
      <c r="D511" s="52">
        <v>9</v>
      </c>
      <c r="E511" s="78"/>
      <c r="F511" s="9">
        <f>D511*(F499+F509+F510)/100</f>
        <v>34.50846291675299</v>
      </c>
    </row>
    <row r="512" spans="1:6" ht="15" customHeight="1">
      <c r="A512" s="78" t="s">
        <v>393</v>
      </c>
      <c r="B512" s="78"/>
      <c r="C512" s="78"/>
      <c r="D512" s="78"/>
      <c r="E512" s="78"/>
      <c r="F512" s="9">
        <f>F499+F509+F510+F511</f>
        <v>417.9358286584529</v>
      </c>
    </row>
    <row r="513" spans="1:6" ht="15" customHeight="1">
      <c r="A513" s="80"/>
      <c r="B513" s="31"/>
      <c r="C513" s="31"/>
      <c r="D513" s="81"/>
      <c r="E513" s="81"/>
      <c r="F513" s="81"/>
    </row>
    <row r="514" spans="1:6" ht="15" customHeight="1">
      <c r="A514" s="74" t="s">
        <v>443</v>
      </c>
      <c r="B514" s="75"/>
      <c r="C514" s="75"/>
      <c r="D514" s="75"/>
      <c r="E514" s="75"/>
      <c r="F514" s="75"/>
    </row>
    <row r="515" spans="1:6" ht="15" customHeight="1">
      <c r="A515" s="76" t="s">
        <v>399</v>
      </c>
      <c r="B515" s="76"/>
      <c r="C515" s="76"/>
      <c r="D515" s="76"/>
      <c r="E515" s="77" t="s">
        <v>382</v>
      </c>
      <c r="F515" s="77"/>
    </row>
    <row r="516" spans="1:6" ht="15" customHeight="1">
      <c r="A516" s="76" t="s">
        <v>383</v>
      </c>
      <c r="B516" s="76"/>
      <c r="C516" s="76"/>
      <c r="D516" s="76"/>
      <c r="E516" s="76"/>
      <c r="F516" s="76"/>
    </row>
    <row r="517" spans="1:6" ht="15" customHeight="1">
      <c r="A517" s="1" t="s">
        <v>349</v>
      </c>
      <c r="B517" s="1" t="s">
        <v>384</v>
      </c>
      <c r="C517" s="1" t="s">
        <v>351</v>
      </c>
      <c r="D517" s="1" t="s">
        <v>352</v>
      </c>
      <c r="E517" s="1" t="s">
        <v>353</v>
      </c>
      <c r="F517" s="1" t="s">
        <v>385</v>
      </c>
    </row>
    <row r="518" spans="1:6" ht="15" customHeight="1">
      <c r="A518" s="78" t="s">
        <v>11</v>
      </c>
      <c r="B518" s="78" t="s">
        <v>355</v>
      </c>
      <c r="C518" s="78"/>
      <c r="D518" s="78"/>
      <c r="E518" s="78"/>
      <c r="F518" s="9">
        <f>F519+F526+F527</f>
        <v>519.6830963200001</v>
      </c>
    </row>
    <row r="519" spans="1:6" ht="15" customHeight="1">
      <c r="A519" s="52" t="s">
        <v>386</v>
      </c>
      <c r="B519" s="78" t="s">
        <v>356</v>
      </c>
      <c r="C519" s="78"/>
      <c r="D519" s="78"/>
      <c r="E519" s="78"/>
      <c r="F519" s="9">
        <f>F520+F522</f>
        <v>490.2670720000001</v>
      </c>
    </row>
    <row r="520" spans="1:6" ht="15" customHeight="1">
      <c r="A520" s="52">
        <v>1</v>
      </c>
      <c r="B520" s="78" t="s">
        <v>358</v>
      </c>
      <c r="C520" s="78"/>
      <c r="D520" s="78"/>
      <c r="E520" s="78"/>
      <c r="F520" s="9">
        <f>F521</f>
        <v>138.48</v>
      </c>
    </row>
    <row r="521" spans="1:6" ht="15" customHeight="1">
      <c r="A521" s="78"/>
      <c r="B521" s="78" t="s">
        <v>358</v>
      </c>
      <c r="C521" s="78" t="s">
        <v>359</v>
      </c>
      <c r="D521" s="52">
        <v>24</v>
      </c>
      <c r="E521" s="52">
        <f>E502</f>
        <v>5.77</v>
      </c>
      <c r="F521" s="9">
        <f>D521*E521</f>
        <v>138.48</v>
      </c>
    </row>
    <row r="522" spans="1:6" ht="15" customHeight="1">
      <c r="A522" s="52">
        <v>2</v>
      </c>
      <c r="B522" s="78" t="s">
        <v>361</v>
      </c>
      <c r="C522" s="78"/>
      <c r="D522" s="78"/>
      <c r="E522" s="78"/>
      <c r="F522" s="9">
        <f>F524+F525</f>
        <v>351.7870720000001</v>
      </c>
    </row>
    <row r="523" spans="1:6" ht="15" customHeight="1">
      <c r="A523" s="78"/>
      <c r="B523" s="82" t="s">
        <v>444</v>
      </c>
      <c r="C523" s="78" t="s">
        <v>388</v>
      </c>
      <c r="D523" s="52">
        <v>102</v>
      </c>
      <c r="E523" s="9">
        <f>'主要材料费'!D36</f>
        <v>112.02120000000001</v>
      </c>
      <c r="F523" s="79"/>
    </row>
    <row r="524" spans="1:6" ht="15" customHeight="1">
      <c r="A524" s="78"/>
      <c r="B524" s="78" t="s">
        <v>389</v>
      </c>
      <c r="C524" s="52" t="s">
        <v>49</v>
      </c>
      <c r="D524" s="9">
        <v>2</v>
      </c>
      <c r="E524" s="52">
        <f>E505</f>
        <v>4.37</v>
      </c>
      <c r="F524" s="9">
        <f>D524*E524</f>
        <v>8.74</v>
      </c>
    </row>
    <row r="525" spans="1:6" ht="15" customHeight="1">
      <c r="A525" s="78"/>
      <c r="B525" s="78" t="s">
        <v>390</v>
      </c>
      <c r="C525" s="52" t="s">
        <v>83</v>
      </c>
      <c r="D525" s="52">
        <v>3</v>
      </c>
      <c r="E525" s="9">
        <f>(D523*E523)+F524</f>
        <v>11434.9024</v>
      </c>
      <c r="F525" s="9">
        <f>D525*E525/100</f>
        <v>343.04707200000007</v>
      </c>
    </row>
    <row r="526" spans="1:6" ht="15" customHeight="1">
      <c r="A526" s="52" t="s">
        <v>391</v>
      </c>
      <c r="B526" s="78" t="s">
        <v>368</v>
      </c>
      <c r="C526" s="52" t="s">
        <v>83</v>
      </c>
      <c r="D526" s="52">
        <v>2</v>
      </c>
      <c r="E526" s="78"/>
      <c r="F526" s="9">
        <f>D526*F519/100</f>
        <v>9.805341440000001</v>
      </c>
    </row>
    <row r="527" spans="1:6" ht="15" customHeight="1">
      <c r="A527" s="52" t="s">
        <v>392</v>
      </c>
      <c r="B527" s="78" t="s">
        <v>369</v>
      </c>
      <c r="C527" s="52" t="s">
        <v>83</v>
      </c>
      <c r="D527" s="52">
        <v>4</v>
      </c>
      <c r="E527" s="78"/>
      <c r="F527" s="9">
        <f>D527*F519/100</f>
        <v>19.610682880000002</v>
      </c>
    </row>
    <row r="528" spans="1:6" ht="15" customHeight="1">
      <c r="A528" s="78" t="s">
        <v>21</v>
      </c>
      <c r="B528" s="78" t="s">
        <v>370</v>
      </c>
      <c r="C528" s="52" t="s">
        <v>83</v>
      </c>
      <c r="D528" s="52">
        <v>3</v>
      </c>
      <c r="E528" s="78"/>
      <c r="F528" s="9">
        <f>D528*F518/100</f>
        <v>15.590492889600005</v>
      </c>
    </row>
    <row r="529" spans="1:6" ht="15" customHeight="1">
      <c r="A529" s="78" t="s">
        <v>250</v>
      </c>
      <c r="B529" s="78" t="s">
        <v>371</v>
      </c>
      <c r="C529" s="52" t="s">
        <v>83</v>
      </c>
      <c r="D529" s="52">
        <v>5</v>
      </c>
      <c r="E529" s="78"/>
      <c r="F529" s="9">
        <f>D529*(F528+F518)/100</f>
        <v>26.763679460480006</v>
      </c>
    </row>
    <row r="530" spans="1:6" ht="15" customHeight="1">
      <c r="A530" s="78" t="s">
        <v>372</v>
      </c>
      <c r="B530" s="78" t="s">
        <v>373</v>
      </c>
      <c r="C530" s="52" t="s">
        <v>83</v>
      </c>
      <c r="D530" s="52">
        <v>9</v>
      </c>
      <c r="E530" s="78"/>
      <c r="F530" s="9">
        <f>D530*(F518+F528+F529)/100</f>
        <v>50.58335418030722</v>
      </c>
    </row>
    <row r="531" spans="1:6" ht="15" customHeight="1">
      <c r="A531" s="78" t="s">
        <v>393</v>
      </c>
      <c r="B531" s="78"/>
      <c r="C531" s="78"/>
      <c r="D531" s="78"/>
      <c r="E531" s="78"/>
      <c r="F531" s="9">
        <f>F518+F528+F529+F530</f>
        <v>612.6206228503873</v>
      </c>
    </row>
    <row r="532" spans="1:6" ht="15" customHeight="1">
      <c r="A532" s="80"/>
      <c r="B532" s="31"/>
      <c r="C532" s="31"/>
      <c r="D532" s="81"/>
      <c r="E532" s="81"/>
      <c r="F532" s="81"/>
    </row>
    <row r="533" spans="1:6" ht="15" customHeight="1">
      <c r="A533" s="74" t="s">
        <v>445</v>
      </c>
      <c r="B533" s="75"/>
      <c r="C533" s="75"/>
      <c r="D533" s="75"/>
      <c r="E533" s="75"/>
      <c r="F533" s="75"/>
    </row>
    <row r="534" spans="1:6" ht="15" customHeight="1">
      <c r="A534" s="76" t="s">
        <v>399</v>
      </c>
      <c r="B534" s="76"/>
      <c r="C534" s="76"/>
      <c r="D534" s="76"/>
      <c r="E534" s="77" t="s">
        <v>382</v>
      </c>
      <c r="F534" s="77"/>
    </row>
    <row r="535" spans="1:6" ht="15" customHeight="1">
      <c r="A535" s="76" t="s">
        <v>383</v>
      </c>
      <c r="B535" s="76"/>
      <c r="C535" s="76"/>
      <c r="D535" s="76"/>
      <c r="E535" s="76"/>
      <c r="F535" s="76"/>
    </row>
    <row r="536" spans="1:6" ht="15" customHeight="1">
      <c r="A536" s="1" t="s">
        <v>349</v>
      </c>
      <c r="B536" s="1" t="s">
        <v>384</v>
      </c>
      <c r="C536" s="1" t="s">
        <v>351</v>
      </c>
      <c r="D536" s="1" t="s">
        <v>352</v>
      </c>
      <c r="E536" s="1" t="s">
        <v>353</v>
      </c>
      <c r="F536" s="1" t="s">
        <v>385</v>
      </c>
    </row>
    <row r="537" spans="1:6" ht="15" customHeight="1">
      <c r="A537" s="78" t="s">
        <v>11</v>
      </c>
      <c r="B537" s="78" t="s">
        <v>355</v>
      </c>
      <c r="C537" s="78"/>
      <c r="D537" s="78"/>
      <c r="E537" s="78"/>
      <c r="F537" s="9">
        <f>F538+F545+F546</f>
        <v>387.54856312000004</v>
      </c>
    </row>
    <row r="538" spans="1:6" ht="15" customHeight="1">
      <c r="A538" s="52" t="s">
        <v>386</v>
      </c>
      <c r="B538" s="78" t="s">
        <v>356</v>
      </c>
      <c r="C538" s="78"/>
      <c r="D538" s="78"/>
      <c r="E538" s="78"/>
      <c r="F538" s="9">
        <f>F539+F541</f>
        <v>365.611852</v>
      </c>
    </row>
    <row r="539" spans="1:6" ht="15" customHeight="1">
      <c r="A539" s="52">
        <v>1</v>
      </c>
      <c r="B539" s="78" t="s">
        <v>358</v>
      </c>
      <c r="C539" s="78"/>
      <c r="D539" s="78"/>
      <c r="E539" s="78"/>
      <c r="F539" s="9">
        <f>F540</f>
        <v>138.48</v>
      </c>
    </row>
    <row r="540" spans="1:6" ht="15" customHeight="1">
      <c r="A540" s="78"/>
      <c r="B540" s="78" t="s">
        <v>358</v>
      </c>
      <c r="C540" s="78" t="s">
        <v>359</v>
      </c>
      <c r="D540" s="52">
        <v>24</v>
      </c>
      <c r="E540" s="52">
        <f>E521</f>
        <v>5.77</v>
      </c>
      <c r="F540" s="9">
        <f>D540*E540</f>
        <v>138.48</v>
      </c>
    </row>
    <row r="541" spans="1:6" ht="15" customHeight="1">
      <c r="A541" s="52">
        <v>2</v>
      </c>
      <c r="B541" s="78" t="s">
        <v>361</v>
      </c>
      <c r="C541" s="78"/>
      <c r="D541" s="78"/>
      <c r="E541" s="78"/>
      <c r="F541" s="9">
        <f>F543+F544</f>
        <v>227.131852</v>
      </c>
    </row>
    <row r="542" spans="1:6" ht="15" customHeight="1">
      <c r="A542" s="78"/>
      <c r="B542" s="82" t="s">
        <v>446</v>
      </c>
      <c r="C542" s="78" t="s">
        <v>388</v>
      </c>
      <c r="D542" s="52">
        <v>102</v>
      </c>
      <c r="E542" s="9">
        <f>'主要材料费'!D37</f>
        <v>71.2842</v>
      </c>
      <c r="F542" s="79"/>
    </row>
    <row r="543" spans="1:6" ht="15" customHeight="1">
      <c r="A543" s="78"/>
      <c r="B543" s="78" t="s">
        <v>389</v>
      </c>
      <c r="C543" s="52" t="s">
        <v>49</v>
      </c>
      <c r="D543" s="9">
        <v>2</v>
      </c>
      <c r="E543" s="52">
        <f>E524</f>
        <v>4.37</v>
      </c>
      <c r="F543" s="9">
        <f>D543*E543</f>
        <v>8.74</v>
      </c>
    </row>
    <row r="544" spans="1:6" ht="15" customHeight="1">
      <c r="A544" s="78"/>
      <c r="B544" s="78" t="s">
        <v>390</v>
      </c>
      <c r="C544" s="52" t="s">
        <v>83</v>
      </c>
      <c r="D544" s="52">
        <v>3</v>
      </c>
      <c r="E544" s="9">
        <f>(D542*E542)+F543</f>
        <v>7279.7284</v>
      </c>
      <c r="F544" s="9">
        <f>D544*E544/100</f>
        <v>218.391852</v>
      </c>
    </row>
    <row r="545" spans="1:6" ht="15" customHeight="1">
      <c r="A545" s="52" t="s">
        <v>391</v>
      </c>
      <c r="B545" s="78" t="s">
        <v>368</v>
      </c>
      <c r="C545" s="52" t="s">
        <v>83</v>
      </c>
      <c r="D545" s="52">
        <v>2</v>
      </c>
      <c r="E545" s="78"/>
      <c r="F545" s="9">
        <f>D545*F538/100</f>
        <v>7.31223704</v>
      </c>
    </row>
    <row r="546" spans="1:6" ht="15" customHeight="1">
      <c r="A546" s="52" t="s">
        <v>392</v>
      </c>
      <c r="B546" s="78" t="s">
        <v>369</v>
      </c>
      <c r="C546" s="52" t="s">
        <v>83</v>
      </c>
      <c r="D546" s="52">
        <v>4</v>
      </c>
      <c r="E546" s="78"/>
      <c r="F546" s="9">
        <f>D546*F538/100</f>
        <v>14.62447408</v>
      </c>
    </row>
    <row r="547" spans="1:6" ht="15" customHeight="1">
      <c r="A547" s="78" t="s">
        <v>21</v>
      </c>
      <c r="B547" s="78" t="s">
        <v>370</v>
      </c>
      <c r="C547" s="52" t="s">
        <v>83</v>
      </c>
      <c r="D547" s="52">
        <v>3</v>
      </c>
      <c r="E547" s="78"/>
      <c r="F547" s="9">
        <f>D547*F537/100</f>
        <v>11.626456893600002</v>
      </c>
    </row>
    <row r="548" spans="1:6" ht="15" customHeight="1">
      <c r="A548" s="78" t="s">
        <v>250</v>
      </c>
      <c r="B548" s="78" t="s">
        <v>371</v>
      </c>
      <c r="C548" s="52" t="s">
        <v>83</v>
      </c>
      <c r="D548" s="52">
        <v>5</v>
      </c>
      <c r="E548" s="78"/>
      <c r="F548" s="9">
        <f>D548*(F547+F537)/100</f>
        <v>19.958751000680003</v>
      </c>
    </row>
    <row r="549" spans="1:6" ht="15" customHeight="1">
      <c r="A549" s="78" t="s">
        <v>372</v>
      </c>
      <c r="B549" s="78" t="s">
        <v>373</v>
      </c>
      <c r="C549" s="52" t="s">
        <v>83</v>
      </c>
      <c r="D549" s="52">
        <v>9</v>
      </c>
      <c r="E549" s="78"/>
      <c r="F549" s="9">
        <f>D549*(F537+F547+F548)/100</f>
        <v>37.72203939128521</v>
      </c>
    </row>
    <row r="550" spans="1:6" ht="15" customHeight="1">
      <c r="A550" s="78" t="s">
        <v>393</v>
      </c>
      <c r="B550" s="78"/>
      <c r="C550" s="78"/>
      <c r="D550" s="78"/>
      <c r="E550" s="78"/>
      <c r="F550" s="9">
        <f>F537+F547+F548+F549</f>
        <v>456.85581040556525</v>
      </c>
    </row>
    <row r="551" spans="1:6" ht="15" customHeight="1">
      <c r="A551" s="80"/>
      <c r="B551" s="31"/>
      <c r="C551" s="31"/>
      <c r="D551" s="81"/>
      <c r="E551" s="81"/>
      <c r="F551" s="81"/>
    </row>
    <row r="552" spans="1:6" ht="15" customHeight="1">
      <c r="A552" s="74" t="s">
        <v>447</v>
      </c>
      <c r="B552" s="75"/>
      <c r="C552" s="75"/>
      <c r="D552" s="75"/>
      <c r="E552" s="75"/>
      <c r="F552" s="75"/>
    </row>
    <row r="553" spans="1:6" ht="15" customHeight="1">
      <c r="A553" s="76" t="s">
        <v>399</v>
      </c>
      <c r="B553" s="76"/>
      <c r="C553" s="76"/>
      <c r="D553" s="76"/>
      <c r="E553" s="77" t="s">
        <v>382</v>
      </c>
      <c r="F553" s="77"/>
    </row>
    <row r="554" spans="1:6" ht="15" customHeight="1">
      <c r="A554" s="76" t="s">
        <v>383</v>
      </c>
      <c r="B554" s="76"/>
      <c r="C554" s="76"/>
      <c r="D554" s="76"/>
      <c r="E554" s="76"/>
      <c r="F554" s="76"/>
    </row>
    <row r="555" spans="1:6" ht="15" customHeight="1">
      <c r="A555" s="1" t="s">
        <v>349</v>
      </c>
      <c r="B555" s="1" t="s">
        <v>384</v>
      </c>
      <c r="C555" s="1" t="s">
        <v>351</v>
      </c>
      <c r="D555" s="1" t="s">
        <v>352</v>
      </c>
      <c r="E555" s="1" t="s">
        <v>353</v>
      </c>
      <c r="F555" s="1" t="s">
        <v>385</v>
      </c>
    </row>
    <row r="556" spans="1:6" ht="15" customHeight="1">
      <c r="A556" s="78" t="s">
        <v>11</v>
      </c>
      <c r="B556" s="78" t="s">
        <v>355</v>
      </c>
      <c r="C556" s="78"/>
      <c r="D556" s="78"/>
      <c r="E556" s="78"/>
      <c r="F556" s="9">
        <f>F557+F564+F565</f>
        <v>304.95547888000004</v>
      </c>
    </row>
    <row r="557" spans="1:6" ht="15" customHeight="1">
      <c r="A557" s="52" t="s">
        <v>386</v>
      </c>
      <c r="B557" s="78" t="s">
        <v>356</v>
      </c>
      <c r="C557" s="78"/>
      <c r="D557" s="78"/>
      <c r="E557" s="78"/>
      <c r="F557" s="9">
        <f>F558+F560</f>
        <v>287.693848</v>
      </c>
    </row>
    <row r="558" spans="1:6" ht="15" customHeight="1">
      <c r="A558" s="52">
        <v>1</v>
      </c>
      <c r="B558" s="78" t="s">
        <v>358</v>
      </c>
      <c r="C558" s="78"/>
      <c r="D558" s="78"/>
      <c r="E558" s="78"/>
      <c r="F558" s="9">
        <f>F559</f>
        <v>138.48</v>
      </c>
    </row>
    <row r="559" spans="1:6" ht="15" customHeight="1">
      <c r="A559" s="78"/>
      <c r="B559" s="78" t="s">
        <v>358</v>
      </c>
      <c r="C559" s="78" t="s">
        <v>359</v>
      </c>
      <c r="D559" s="52">
        <v>24</v>
      </c>
      <c r="E559" s="52">
        <f>E540</f>
        <v>5.77</v>
      </c>
      <c r="F559" s="9">
        <f>D559*E559</f>
        <v>138.48</v>
      </c>
    </row>
    <row r="560" spans="1:6" ht="15" customHeight="1">
      <c r="A560" s="52">
        <v>2</v>
      </c>
      <c r="B560" s="78" t="s">
        <v>361</v>
      </c>
      <c r="C560" s="78"/>
      <c r="D560" s="78"/>
      <c r="E560" s="78"/>
      <c r="F560" s="9">
        <f>F562+F563</f>
        <v>149.213848</v>
      </c>
    </row>
    <row r="561" spans="1:6" ht="15" customHeight="1">
      <c r="A561" s="78"/>
      <c r="B561" s="82" t="s">
        <v>448</v>
      </c>
      <c r="C561" s="78" t="s">
        <v>388</v>
      </c>
      <c r="D561" s="52">
        <v>102</v>
      </c>
      <c r="E561" s="9">
        <f>'主要材料费'!D38</f>
        <v>45.8208</v>
      </c>
      <c r="F561" s="79"/>
    </row>
    <row r="562" spans="1:6" ht="15" customHeight="1">
      <c r="A562" s="78"/>
      <c r="B562" s="78" t="s">
        <v>389</v>
      </c>
      <c r="C562" s="52" t="s">
        <v>49</v>
      </c>
      <c r="D562" s="9">
        <v>2</v>
      </c>
      <c r="E562" s="52">
        <f>E543</f>
        <v>4.37</v>
      </c>
      <c r="F562" s="9">
        <f>D562*E562</f>
        <v>8.74</v>
      </c>
    </row>
    <row r="563" spans="1:6" ht="15" customHeight="1">
      <c r="A563" s="78"/>
      <c r="B563" s="78" t="s">
        <v>390</v>
      </c>
      <c r="C563" s="52" t="s">
        <v>83</v>
      </c>
      <c r="D563" s="52">
        <v>3</v>
      </c>
      <c r="E563" s="9">
        <f>(D561*E561)+F562</f>
        <v>4682.4616</v>
      </c>
      <c r="F563" s="9">
        <f>D563*E563/100</f>
        <v>140.473848</v>
      </c>
    </row>
    <row r="564" spans="1:6" ht="15" customHeight="1">
      <c r="A564" s="52" t="s">
        <v>391</v>
      </c>
      <c r="B564" s="78" t="s">
        <v>368</v>
      </c>
      <c r="C564" s="52" t="s">
        <v>83</v>
      </c>
      <c r="D564" s="52">
        <v>2</v>
      </c>
      <c r="E564" s="78"/>
      <c r="F564" s="9">
        <f>D564*F557/100</f>
        <v>5.75387696</v>
      </c>
    </row>
    <row r="565" spans="1:6" ht="15" customHeight="1">
      <c r="A565" s="52" t="s">
        <v>392</v>
      </c>
      <c r="B565" s="78" t="s">
        <v>369</v>
      </c>
      <c r="C565" s="52" t="s">
        <v>83</v>
      </c>
      <c r="D565" s="52">
        <v>4</v>
      </c>
      <c r="E565" s="78"/>
      <c r="F565" s="9">
        <f>D565*F557/100</f>
        <v>11.50775392</v>
      </c>
    </row>
    <row r="566" spans="1:6" ht="15" customHeight="1">
      <c r="A566" s="78" t="s">
        <v>21</v>
      </c>
      <c r="B566" s="78" t="s">
        <v>370</v>
      </c>
      <c r="C566" s="52" t="s">
        <v>83</v>
      </c>
      <c r="D566" s="52">
        <v>3</v>
      </c>
      <c r="E566" s="78"/>
      <c r="F566" s="9">
        <f>D566*F556/100</f>
        <v>9.1486643664</v>
      </c>
    </row>
    <row r="567" spans="1:6" ht="15" customHeight="1">
      <c r="A567" s="78" t="s">
        <v>250</v>
      </c>
      <c r="B567" s="78" t="s">
        <v>371</v>
      </c>
      <c r="C567" s="52" t="s">
        <v>83</v>
      </c>
      <c r="D567" s="52">
        <v>5</v>
      </c>
      <c r="E567" s="78"/>
      <c r="F567" s="9">
        <f>D567*(F566+F556)/100</f>
        <v>15.705207162320002</v>
      </c>
    </row>
    <row r="568" spans="1:6" ht="15" customHeight="1">
      <c r="A568" s="78" t="s">
        <v>372</v>
      </c>
      <c r="B568" s="78" t="s">
        <v>373</v>
      </c>
      <c r="C568" s="52" t="s">
        <v>83</v>
      </c>
      <c r="D568" s="52">
        <v>9</v>
      </c>
      <c r="E568" s="78"/>
      <c r="F568" s="9">
        <f>D568*(F556+F566+F567)/100</f>
        <v>29.682841536784803</v>
      </c>
    </row>
    <row r="569" spans="1:6" ht="15" customHeight="1">
      <c r="A569" s="78" t="s">
        <v>393</v>
      </c>
      <c r="B569" s="78"/>
      <c r="C569" s="78"/>
      <c r="D569" s="78"/>
      <c r="E569" s="78"/>
      <c r="F569" s="9">
        <f>F556+F566+F567+F568</f>
        <v>359.4921919455048</v>
      </c>
    </row>
    <row r="570" spans="1:6" ht="15" customHeight="1">
      <c r="A570" s="80"/>
      <c r="B570" s="31"/>
      <c r="C570" s="31"/>
      <c r="D570" s="81"/>
      <c r="E570" s="81"/>
      <c r="F570" s="81"/>
    </row>
    <row r="571" spans="1:6" ht="15" customHeight="1">
      <c r="A571" s="74" t="s">
        <v>449</v>
      </c>
      <c r="B571" s="75"/>
      <c r="C571" s="75"/>
      <c r="D571" s="75"/>
      <c r="E571" s="75"/>
      <c r="F571" s="75"/>
    </row>
    <row r="572" spans="1:6" ht="15" customHeight="1">
      <c r="A572" s="76" t="s">
        <v>450</v>
      </c>
      <c r="B572" s="76"/>
      <c r="C572" s="76"/>
      <c r="D572" s="76"/>
      <c r="E572" s="77" t="s">
        <v>382</v>
      </c>
      <c r="F572" s="77"/>
    </row>
    <row r="573" spans="1:6" ht="15" customHeight="1">
      <c r="A573" s="76" t="s">
        <v>383</v>
      </c>
      <c r="B573" s="76"/>
      <c r="C573" s="76"/>
      <c r="D573" s="76"/>
      <c r="E573" s="76"/>
      <c r="F573" s="76"/>
    </row>
    <row r="574" spans="1:6" ht="15" customHeight="1">
      <c r="A574" s="1" t="s">
        <v>349</v>
      </c>
      <c r="B574" s="1" t="s">
        <v>384</v>
      </c>
      <c r="C574" s="1" t="s">
        <v>351</v>
      </c>
      <c r="D574" s="1" t="s">
        <v>352</v>
      </c>
      <c r="E574" s="1" t="s">
        <v>353</v>
      </c>
      <c r="F574" s="1" t="s">
        <v>385</v>
      </c>
    </row>
    <row r="575" spans="1:6" ht="15" customHeight="1">
      <c r="A575" s="78" t="s">
        <v>11</v>
      </c>
      <c r="B575" s="78" t="s">
        <v>355</v>
      </c>
      <c r="C575" s="78"/>
      <c r="D575" s="78"/>
      <c r="E575" s="78"/>
      <c r="F575" s="9">
        <f>F576+F583+F584</f>
        <v>239.67434432</v>
      </c>
    </row>
    <row r="576" spans="1:6" ht="15" customHeight="1">
      <c r="A576" s="52" t="s">
        <v>386</v>
      </c>
      <c r="B576" s="78" t="s">
        <v>356</v>
      </c>
      <c r="C576" s="78"/>
      <c r="D576" s="78"/>
      <c r="E576" s="78"/>
      <c r="F576" s="9">
        <f>F577+F579</f>
        <v>226.107872</v>
      </c>
    </row>
    <row r="577" spans="1:6" ht="15" customHeight="1">
      <c r="A577" s="52">
        <v>1</v>
      </c>
      <c r="B577" s="78" t="s">
        <v>358</v>
      </c>
      <c r="C577" s="78"/>
      <c r="D577" s="78"/>
      <c r="E577" s="78"/>
      <c r="F577" s="9">
        <f>F578</f>
        <v>115.39999999999999</v>
      </c>
    </row>
    <row r="578" spans="1:6" ht="15" customHeight="1">
      <c r="A578" s="78"/>
      <c r="B578" s="78" t="s">
        <v>358</v>
      </c>
      <c r="C578" s="78" t="s">
        <v>359</v>
      </c>
      <c r="D578" s="52">
        <v>20</v>
      </c>
      <c r="E578" s="52">
        <f>E559</f>
        <v>5.77</v>
      </c>
      <c r="F578" s="9">
        <f>D578*E578</f>
        <v>115.39999999999999</v>
      </c>
    </row>
    <row r="579" spans="1:6" ht="15" customHeight="1">
      <c r="A579" s="52">
        <v>2</v>
      </c>
      <c r="B579" s="78" t="s">
        <v>361</v>
      </c>
      <c r="C579" s="78"/>
      <c r="D579" s="78"/>
      <c r="E579" s="78"/>
      <c r="F579" s="9">
        <f>F581+F582</f>
        <v>110.70787199999998</v>
      </c>
    </row>
    <row r="580" spans="1:6" ht="15" customHeight="1">
      <c r="A580" s="78"/>
      <c r="B580" s="82" t="s">
        <v>451</v>
      </c>
      <c r="C580" s="78" t="s">
        <v>388</v>
      </c>
      <c r="D580" s="52">
        <v>102</v>
      </c>
      <c r="E580" s="9">
        <f>'主要材料费'!D39</f>
        <v>25.4634</v>
      </c>
      <c r="F580" s="79"/>
    </row>
    <row r="581" spans="1:6" ht="15" customHeight="1">
      <c r="A581" s="78"/>
      <c r="B581" s="78" t="s">
        <v>389</v>
      </c>
      <c r="C581" s="52" t="s">
        <v>49</v>
      </c>
      <c r="D581" s="9">
        <v>1.5</v>
      </c>
      <c r="E581" s="52">
        <f>E562</f>
        <v>4.37</v>
      </c>
      <c r="F581" s="9">
        <f>D581*E581</f>
        <v>6.555</v>
      </c>
    </row>
    <row r="582" spans="1:6" ht="15" customHeight="1">
      <c r="A582" s="78"/>
      <c r="B582" s="78" t="s">
        <v>390</v>
      </c>
      <c r="C582" s="52" t="s">
        <v>83</v>
      </c>
      <c r="D582" s="52">
        <v>4</v>
      </c>
      <c r="E582" s="9">
        <f>(D580*E580)+F581</f>
        <v>2603.8217999999997</v>
      </c>
      <c r="F582" s="9">
        <f>D582*E582/100</f>
        <v>104.15287199999999</v>
      </c>
    </row>
    <row r="583" spans="1:6" ht="15" customHeight="1">
      <c r="A583" s="52" t="s">
        <v>391</v>
      </c>
      <c r="B583" s="78" t="s">
        <v>368</v>
      </c>
      <c r="C583" s="52" t="s">
        <v>83</v>
      </c>
      <c r="D583" s="52">
        <v>2</v>
      </c>
      <c r="E583" s="78"/>
      <c r="F583" s="9">
        <f>D583*F576/100</f>
        <v>4.52215744</v>
      </c>
    </row>
    <row r="584" spans="1:6" ht="15" customHeight="1">
      <c r="A584" s="52" t="s">
        <v>392</v>
      </c>
      <c r="B584" s="78" t="s">
        <v>369</v>
      </c>
      <c r="C584" s="52" t="s">
        <v>83</v>
      </c>
      <c r="D584" s="52">
        <v>4</v>
      </c>
      <c r="E584" s="78"/>
      <c r="F584" s="9">
        <f>D584*F576/100</f>
        <v>9.04431488</v>
      </c>
    </row>
    <row r="585" spans="1:6" ht="15" customHeight="1">
      <c r="A585" s="78" t="s">
        <v>21</v>
      </c>
      <c r="B585" s="78" t="s">
        <v>370</v>
      </c>
      <c r="C585" s="52" t="s">
        <v>83</v>
      </c>
      <c r="D585" s="52">
        <v>3</v>
      </c>
      <c r="E585" s="78"/>
      <c r="F585" s="9">
        <f>D585*F575/100</f>
        <v>7.190230329599999</v>
      </c>
    </row>
    <row r="586" spans="1:6" ht="15" customHeight="1">
      <c r="A586" s="78" t="s">
        <v>250</v>
      </c>
      <c r="B586" s="78" t="s">
        <v>371</v>
      </c>
      <c r="C586" s="52" t="s">
        <v>83</v>
      </c>
      <c r="D586" s="52">
        <v>5</v>
      </c>
      <c r="E586" s="78"/>
      <c r="F586" s="9">
        <f>D586*(F585+F575)/100</f>
        <v>12.34322873248</v>
      </c>
    </row>
    <row r="587" spans="1:6" ht="15" customHeight="1">
      <c r="A587" s="78" t="s">
        <v>372</v>
      </c>
      <c r="B587" s="78" t="s">
        <v>373</v>
      </c>
      <c r="C587" s="52" t="s">
        <v>83</v>
      </c>
      <c r="D587" s="52">
        <v>9</v>
      </c>
      <c r="E587" s="78"/>
      <c r="F587" s="9">
        <f>D587*(F575+F585+F586)/100</f>
        <v>23.328702304387196</v>
      </c>
    </row>
    <row r="588" spans="1:6" ht="15" customHeight="1">
      <c r="A588" s="78" t="s">
        <v>393</v>
      </c>
      <c r="B588" s="78"/>
      <c r="C588" s="78"/>
      <c r="D588" s="78"/>
      <c r="E588" s="78"/>
      <c r="F588" s="9">
        <f>F575+F585+F586+F587</f>
        <v>282.5365056864672</v>
      </c>
    </row>
    <row r="589" spans="1:6" ht="15" customHeight="1">
      <c r="A589" s="80"/>
      <c r="B589" s="31"/>
      <c r="C589" s="31"/>
      <c r="D589" s="81"/>
      <c r="E589" s="81"/>
      <c r="F589" s="81"/>
    </row>
    <row r="590" spans="1:6" ht="15" customHeight="1">
      <c r="A590" s="74" t="s">
        <v>452</v>
      </c>
      <c r="B590" s="75"/>
      <c r="C590" s="75"/>
      <c r="D590" s="75"/>
      <c r="E590" s="75"/>
      <c r="F590" s="75"/>
    </row>
    <row r="591" spans="1:6" ht="15" customHeight="1">
      <c r="A591" s="76" t="s">
        <v>450</v>
      </c>
      <c r="B591" s="76"/>
      <c r="C591" s="76"/>
      <c r="D591" s="76"/>
      <c r="E591" s="77" t="s">
        <v>382</v>
      </c>
      <c r="F591" s="77"/>
    </row>
    <row r="592" spans="1:6" ht="15" customHeight="1">
      <c r="A592" s="76" t="s">
        <v>383</v>
      </c>
      <c r="B592" s="76"/>
      <c r="C592" s="76"/>
      <c r="D592" s="76"/>
      <c r="E592" s="76"/>
      <c r="F592" s="76"/>
    </row>
    <row r="593" spans="1:6" ht="15" customHeight="1">
      <c r="A593" s="1" t="s">
        <v>349</v>
      </c>
      <c r="B593" s="1" t="s">
        <v>384</v>
      </c>
      <c r="C593" s="1" t="s">
        <v>351</v>
      </c>
      <c r="D593" s="1" t="s">
        <v>352</v>
      </c>
      <c r="E593" s="1" t="s">
        <v>353</v>
      </c>
      <c r="F593" s="1" t="s">
        <v>385</v>
      </c>
    </row>
    <row r="594" spans="1:6" ht="15" customHeight="1">
      <c r="A594" s="78" t="s">
        <v>11</v>
      </c>
      <c r="B594" s="78" t="s">
        <v>355</v>
      </c>
      <c r="C594" s="78"/>
      <c r="D594" s="78"/>
      <c r="E594" s="78"/>
      <c r="F594" s="9">
        <f>F595+F602+F603</f>
        <v>195.60549727999998</v>
      </c>
    </row>
    <row r="595" spans="1:6" ht="15" customHeight="1">
      <c r="A595" s="52" t="s">
        <v>386</v>
      </c>
      <c r="B595" s="78" t="s">
        <v>356</v>
      </c>
      <c r="C595" s="78"/>
      <c r="D595" s="78"/>
      <c r="E595" s="78"/>
      <c r="F595" s="9">
        <f>F596+F598</f>
        <v>184.53348799999998</v>
      </c>
    </row>
    <row r="596" spans="1:6" ht="15" customHeight="1">
      <c r="A596" s="52">
        <v>1</v>
      </c>
      <c r="B596" s="78" t="s">
        <v>358</v>
      </c>
      <c r="C596" s="78"/>
      <c r="D596" s="78"/>
      <c r="E596" s="78"/>
      <c r="F596" s="9">
        <f>F597</f>
        <v>115.39999999999999</v>
      </c>
    </row>
    <row r="597" spans="1:6" ht="15" customHeight="1">
      <c r="A597" s="78"/>
      <c r="B597" s="78" t="s">
        <v>358</v>
      </c>
      <c r="C597" s="78" t="s">
        <v>359</v>
      </c>
      <c r="D597" s="52">
        <v>20</v>
      </c>
      <c r="E597" s="52">
        <f>E578</f>
        <v>5.77</v>
      </c>
      <c r="F597" s="9">
        <f>D597*E597</f>
        <v>115.39999999999999</v>
      </c>
    </row>
    <row r="598" spans="1:6" ht="15" customHeight="1">
      <c r="A598" s="52">
        <v>2</v>
      </c>
      <c r="B598" s="78" t="s">
        <v>361</v>
      </c>
      <c r="C598" s="78"/>
      <c r="D598" s="78"/>
      <c r="E598" s="78"/>
      <c r="F598" s="9">
        <f>F600+F601</f>
        <v>69.133488</v>
      </c>
    </row>
    <row r="599" spans="1:6" ht="15" customHeight="1">
      <c r="A599" s="78"/>
      <c r="B599" s="82" t="s">
        <v>453</v>
      </c>
      <c r="C599" s="78" t="s">
        <v>388</v>
      </c>
      <c r="D599" s="52">
        <v>102</v>
      </c>
      <c r="E599" s="9">
        <f>'主要材料费'!D40</f>
        <v>15.2736</v>
      </c>
      <c r="F599" s="79"/>
    </row>
    <row r="600" spans="1:6" ht="15" customHeight="1">
      <c r="A600" s="78"/>
      <c r="B600" s="78" t="s">
        <v>389</v>
      </c>
      <c r="C600" s="52" t="s">
        <v>49</v>
      </c>
      <c r="D600" s="9">
        <v>1.5</v>
      </c>
      <c r="E600" s="52">
        <f>E581</f>
        <v>4.37</v>
      </c>
      <c r="F600" s="9">
        <f>D600*E600</f>
        <v>6.555</v>
      </c>
    </row>
    <row r="601" spans="1:6" ht="15" customHeight="1">
      <c r="A601" s="78"/>
      <c r="B601" s="78" t="s">
        <v>390</v>
      </c>
      <c r="C601" s="52" t="s">
        <v>83</v>
      </c>
      <c r="D601" s="52">
        <v>4</v>
      </c>
      <c r="E601" s="9">
        <f>(D599*E599)+F600</f>
        <v>1564.4622000000002</v>
      </c>
      <c r="F601" s="9">
        <f>D601*E601/100</f>
        <v>62.57848800000001</v>
      </c>
    </row>
    <row r="602" spans="1:6" ht="15" customHeight="1">
      <c r="A602" s="52" t="s">
        <v>391</v>
      </c>
      <c r="B602" s="78" t="s">
        <v>368</v>
      </c>
      <c r="C602" s="52" t="s">
        <v>83</v>
      </c>
      <c r="D602" s="52">
        <v>2</v>
      </c>
      <c r="E602" s="78"/>
      <c r="F602" s="9">
        <f>D602*F595/100</f>
        <v>3.6906697599999996</v>
      </c>
    </row>
    <row r="603" spans="1:6" ht="15" customHeight="1">
      <c r="A603" s="52" t="s">
        <v>392</v>
      </c>
      <c r="B603" s="78" t="s">
        <v>369</v>
      </c>
      <c r="C603" s="52" t="s">
        <v>83</v>
      </c>
      <c r="D603" s="52">
        <v>4</v>
      </c>
      <c r="E603" s="78"/>
      <c r="F603" s="9">
        <f>D603*F595/100</f>
        <v>7.381339519999999</v>
      </c>
    </row>
    <row r="604" spans="1:6" ht="15" customHeight="1">
      <c r="A604" s="78" t="s">
        <v>21</v>
      </c>
      <c r="B604" s="78" t="s">
        <v>370</v>
      </c>
      <c r="C604" s="52" t="s">
        <v>83</v>
      </c>
      <c r="D604" s="52">
        <v>3</v>
      </c>
      <c r="E604" s="78"/>
      <c r="F604" s="9">
        <f>D604*F594/100</f>
        <v>5.868164918399999</v>
      </c>
    </row>
    <row r="605" spans="1:6" ht="15" customHeight="1">
      <c r="A605" s="78" t="s">
        <v>250</v>
      </c>
      <c r="B605" s="78" t="s">
        <v>371</v>
      </c>
      <c r="C605" s="52" t="s">
        <v>83</v>
      </c>
      <c r="D605" s="52">
        <v>5</v>
      </c>
      <c r="E605" s="78"/>
      <c r="F605" s="9">
        <f>D605*(F604+F594)/100</f>
        <v>10.07368310992</v>
      </c>
    </row>
    <row r="606" spans="1:6" ht="15" customHeight="1">
      <c r="A606" s="78" t="s">
        <v>372</v>
      </c>
      <c r="B606" s="78" t="s">
        <v>373</v>
      </c>
      <c r="C606" s="52" t="s">
        <v>83</v>
      </c>
      <c r="D606" s="52">
        <v>9</v>
      </c>
      <c r="E606" s="78"/>
      <c r="F606" s="9">
        <f>D606*(F594+F604+F605)/100</f>
        <v>19.0392610777488</v>
      </c>
    </row>
    <row r="607" spans="1:6" ht="15" customHeight="1">
      <c r="A607" s="78" t="s">
        <v>393</v>
      </c>
      <c r="B607" s="78"/>
      <c r="C607" s="78"/>
      <c r="D607" s="78"/>
      <c r="E607" s="78"/>
      <c r="F607" s="9">
        <f>F594+F604+F605+F606</f>
        <v>230.58660638606878</v>
      </c>
    </row>
    <row r="608" spans="1:6" ht="15" customHeight="1">
      <c r="A608" s="80"/>
      <c r="B608" s="31"/>
      <c r="C608" s="31"/>
      <c r="D608" s="81"/>
      <c r="E608" s="81"/>
      <c r="F608" s="81"/>
    </row>
    <row r="609" spans="1:6" ht="15" customHeight="1">
      <c r="A609" s="74" t="s">
        <v>454</v>
      </c>
      <c r="B609" s="75"/>
      <c r="C609" s="75"/>
      <c r="D609" s="75"/>
      <c r="E609" s="75"/>
      <c r="F609" s="75"/>
    </row>
    <row r="610" spans="1:6" ht="15" customHeight="1">
      <c r="A610" s="76" t="s">
        <v>450</v>
      </c>
      <c r="B610" s="76"/>
      <c r="C610" s="76"/>
      <c r="D610" s="76"/>
      <c r="E610" s="77" t="s">
        <v>382</v>
      </c>
      <c r="F610" s="77"/>
    </row>
    <row r="611" spans="1:6" ht="15" customHeight="1">
      <c r="A611" s="76" t="s">
        <v>383</v>
      </c>
      <c r="B611" s="76"/>
      <c r="C611" s="76"/>
      <c r="D611" s="76"/>
      <c r="E611" s="76"/>
      <c r="F611" s="76"/>
    </row>
    <row r="612" spans="1:6" ht="15" customHeight="1">
      <c r="A612" s="1" t="s">
        <v>349</v>
      </c>
      <c r="B612" s="1" t="s">
        <v>384</v>
      </c>
      <c r="C612" s="1" t="s">
        <v>351</v>
      </c>
      <c r="D612" s="1" t="s">
        <v>352</v>
      </c>
      <c r="E612" s="1" t="s">
        <v>353</v>
      </c>
      <c r="F612" s="1" t="s">
        <v>385</v>
      </c>
    </row>
    <row r="613" spans="1:6" ht="15" customHeight="1">
      <c r="A613" s="78" t="s">
        <v>11</v>
      </c>
      <c r="B613" s="78" t="s">
        <v>355</v>
      </c>
      <c r="C613" s="78"/>
      <c r="D613" s="78"/>
      <c r="E613" s="78"/>
      <c r="F613" s="9">
        <f>F614+F621+F622</f>
        <v>144.95992687999998</v>
      </c>
    </row>
    <row r="614" spans="1:6" ht="15" customHeight="1">
      <c r="A614" s="52" t="s">
        <v>386</v>
      </c>
      <c r="B614" s="78" t="s">
        <v>356</v>
      </c>
      <c r="C614" s="78"/>
      <c r="D614" s="78"/>
      <c r="E614" s="78"/>
      <c r="F614" s="9">
        <f>F615+F617</f>
        <v>136.75464799999997</v>
      </c>
    </row>
    <row r="615" spans="1:6" ht="15" customHeight="1">
      <c r="A615" s="52">
        <v>1</v>
      </c>
      <c r="B615" s="78" t="s">
        <v>358</v>
      </c>
      <c r="C615" s="78"/>
      <c r="D615" s="78"/>
      <c r="E615" s="78"/>
      <c r="F615" s="9">
        <f>F616</f>
        <v>115.39999999999999</v>
      </c>
    </row>
    <row r="616" spans="1:6" ht="15" customHeight="1">
      <c r="A616" s="78"/>
      <c r="B616" s="78" t="s">
        <v>358</v>
      </c>
      <c r="C616" s="78" t="s">
        <v>359</v>
      </c>
      <c r="D616" s="52">
        <v>20</v>
      </c>
      <c r="E616" s="52">
        <f>E597</f>
        <v>5.77</v>
      </c>
      <c r="F616" s="9">
        <f>D616*E616</f>
        <v>115.39999999999999</v>
      </c>
    </row>
    <row r="617" spans="1:6" ht="15" customHeight="1">
      <c r="A617" s="52">
        <v>2</v>
      </c>
      <c r="B617" s="78" t="s">
        <v>361</v>
      </c>
      <c r="C617" s="78"/>
      <c r="D617" s="78"/>
      <c r="E617" s="78"/>
      <c r="F617" s="9">
        <f>F619+F620</f>
        <v>21.354647999999997</v>
      </c>
    </row>
    <row r="618" spans="1:6" ht="15" customHeight="1">
      <c r="A618" s="78"/>
      <c r="B618" s="82" t="s">
        <v>455</v>
      </c>
      <c r="C618" s="78" t="s">
        <v>388</v>
      </c>
      <c r="D618" s="52">
        <v>102</v>
      </c>
      <c r="E618" s="9">
        <f>'主要材料费'!D41</f>
        <v>3.5631</v>
      </c>
      <c r="F618" s="79"/>
    </row>
    <row r="619" spans="1:6" ht="15" customHeight="1">
      <c r="A619" s="78"/>
      <c r="B619" s="78" t="s">
        <v>389</v>
      </c>
      <c r="C619" s="52" t="s">
        <v>49</v>
      </c>
      <c r="D619" s="9">
        <v>1.5</v>
      </c>
      <c r="E619" s="52">
        <f>E600</f>
        <v>4.37</v>
      </c>
      <c r="F619" s="9">
        <f>D619*E619</f>
        <v>6.555</v>
      </c>
    </row>
    <row r="620" spans="1:6" ht="15" customHeight="1">
      <c r="A620" s="78"/>
      <c r="B620" s="78" t="s">
        <v>390</v>
      </c>
      <c r="C620" s="52" t="s">
        <v>83</v>
      </c>
      <c r="D620" s="52">
        <v>4</v>
      </c>
      <c r="E620" s="9">
        <f>(D618*E618)+F619</f>
        <v>369.9912</v>
      </c>
      <c r="F620" s="9">
        <f>D620*E620/100</f>
        <v>14.799648</v>
      </c>
    </row>
    <row r="621" spans="1:6" ht="15" customHeight="1">
      <c r="A621" s="52" t="s">
        <v>391</v>
      </c>
      <c r="B621" s="78" t="s">
        <v>368</v>
      </c>
      <c r="C621" s="52" t="s">
        <v>83</v>
      </c>
      <c r="D621" s="52">
        <v>2</v>
      </c>
      <c r="E621" s="78"/>
      <c r="F621" s="9">
        <f>D621*F614/100</f>
        <v>2.7350929599999994</v>
      </c>
    </row>
    <row r="622" spans="1:6" ht="15" customHeight="1">
      <c r="A622" s="52" t="s">
        <v>392</v>
      </c>
      <c r="B622" s="78" t="s">
        <v>369</v>
      </c>
      <c r="C622" s="52" t="s">
        <v>83</v>
      </c>
      <c r="D622" s="52">
        <v>4</v>
      </c>
      <c r="E622" s="78"/>
      <c r="F622" s="9">
        <f>D622*F614/100</f>
        <v>5.470185919999999</v>
      </c>
    </row>
    <row r="623" spans="1:6" ht="15" customHeight="1">
      <c r="A623" s="78" t="s">
        <v>21</v>
      </c>
      <c r="B623" s="78" t="s">
        <v>370</v>
      </c>
      <c r="C623" s="52" t="s">
        <v>83</v>
      </c>
      <c r="D623" s="52">
        <v>3</v>
      </c>
      <c r="E623" s="78"/>
      <c r="F623" s="9">
        <f>D623*F613/100</f>
        <v>4.3487978063999995</v>
      </c>
    </row>
    <row r="624" spans="1:6" ht="15" customHeight="1">
      <c r="A624" s="78" t="s">
        <v>250</v>
      </c>
      <c r="B624" s="78" t="s">
        <v>371</v>
      </c>
      <c r="C624" s="52" t="s">
        <v>83</v>
      </c>
      <c r="D624" s="52">
        <v>5</v>
      </c>
      <c r="E624" s="78"/>
      <c r="F624" s="9">
        <f>D624*(F623+F613)/100</f>
        <v>7.4654362343199985</v>
      </c>
    </row>
    <row r="625" spans="1:6" ht="15" customHeight="1">
      <c r="A625" s="78" t="s">
        <v>372</v>
      </c>
      <c r="B625" s="78" t="s">
        <v>373</v>
      </c>
      <c r="C625" s="52" t="s">
        <v>83</v>
      </c>
      <c r="D625" s="52">
        <v>9</v>
      </c>
      <c r="E625" s="78"/>
      <c r="F625" s="9">
        <f>D625*(F613+F623+F624)/100</f>
        <v>14.1096744828648</v>
      </c>
    </row>
    <row r="626" spans="1:6" ht="15" customHeight="1">
      <c r="A626" s="78" t="s">
        <v>393</v>
      </c>
      <c r="B626" s="78"/>
      <c r="C626" s="78"/>
      <c r="D626" s="78"/>
      <c r="E626" s="78"/>
      <c r="F626" s="9">
        <f>F613+F623+F624+F625</f>
        <v>170.88383540358478</v>
      </c>
    </row>
    <row r="627" spans="1:6" ht="15" customHeight="1">
      <c r="A627" s="80"/>
      <c r="B627" s="31"/>
      <c r="C627" s="31"/>
      <c r="D627" s="81"/>
      <c r="E627" s="81"/>
      <c r="F627" s="81"/>
    </row>
    <row r="628" spans="1:6" ht="15" customHeight="1">
      <c r="A628" s="74" t="s">
        <v>456</v>
      </c>
      <c r="B628" s="75"/>
      <c r="C628" s="75"/>
      <c r="D628" s="75"/>
      <c r="E628" s="75"/>
      <c r="F628" s="75"/>
    </row>
    <row r="629" spans="1:6" ht="15" customHeight="1">
      <c r="A629" s="76" t="s">
        <v>450</v>
      </c>
      <c r="B629" s="76"/>
      <c r="C629" s="76"/>
      <c r="D629" s="76"/>
      <c r="E629" s="77" t="s">
        <v>382</v>
      </c>
      <c r="F629" s="77"/>
    </row>
    <row r="630" spans="1:6" ht="15" customHeight="1">
      <c r="A630" s="76" t="s">
        <v>383</v>
      </c>
      <c r="B630" s="76"/>
      <c r="C630" s="76"/>
      <c r="D630" s="76"/>
      <c r="E630" s="76"/>
      <c r="F630" s="76"/>
    </row>
    <row r="631" spans="1:6" ht="15" customHeight="1">
      <c r="A631" s="1" t="s">
        <v>349</v>
      </c>
      <c r="B631" s="1" t="s">
        <v>384</v>
      </c>
      <c r="C631" s="1" t="s">
        <v>351</v>
      </c>
      <c r="D631" s="1" t="s">
        <v>352</v>
      </c>
      <c r="E631" s="1" t="s">
        <v>353</v>
      </c>
      <c r="F631" s="1" t="s">
        <v>385</v>
      </c>
    </row>
    <row r="632" spans="1:6" ht="15" customHeight="1">
      <c r="A632" s="78" t="s">
        <v>11</v>
      </c>
      <c r="B632" s="78" t="s">
        <v>355</v>
      </c>
      <c r="C632" s="78"/>
      <c r="D632" s="78"/>
      <c r="E632" s="78"/>
      <c r="F632" s="9">
        <f>F633+F640+F641</f>
        <v>133.77469664</v>
      </c>
    </row>
    <row r="633" spans="1:6" ht="15" customHeight="1">
      <c r="A633" s="52" t="s">
        <v>386</v>
      </c>
      <c r="B633" s="78" t="s">
        <v>356</v>
      </c>
      <c r="C633" s="78"/>
      <c r="D633" s="78"/>
      <c r="E633" s="78"/>
      <c r="F633" s="9">
        <f>F634+F636</f>
        <v>126.20254399999999</v>
      </c>
    </row>
    <row r="634" spans="1:6" ht="15" customHeight="1">
      <c r="A634" s="52">
        <v>1</v>
      </c>
      <c r="B634" s="78" t="s">
        <v>358</v>
      </c>
      <c r="C634" s="78"/>
      <c r="D634" s="78"/>
      <c r="E634" s="78"/>
      <c r="F634" s="9">
        <f>F635</f>
        <v>115.39999999999999</v>
      </c>
    </row>
    <row r="635" spans="1:6" ht="15" customHeight="1">
      <c r="A635" s="78"/>
      <c r="B635" s="78" t="s">
        <v>358</v>
      </c>
      <c r="C635" s="78" t="s">
        <v>359</v>
      </c>
      <c r="D635" s="52">
        <v>20</v>
      </c>
      <c r="E635" s="52">
        <f>E616</f>
        <v>5.77</v>
      </c>
      <c r="F635" s="9">
        <f>D635*E635</f>
        <v>115.39999999999999</v>
      </c>
    </row>
    <row r="636" spans="1:6" ht="15" customHeight="1">
      <c r="A636" s="52">
        <v>2</v>
      </c>
      <c r="B636" s="78" t="s">
        <v>361</v>
      </c>
      <c r="C636" s="78"/>
      <c r="D636" s="78"/>
      <c r="E636" s="78"/>
      <c r="F636" s="9">
        <f>F638+F639</f>
        <v>10.802544000000001</v>
      </c>
    </row>
    <row r="637" spans="1:6" ht="15" customHeight="1">
      <c r="A637" s="78"/>
      <c r="B637" s="82" t="s">
        <v>457</v>
      </c>
      <c r="C637" s="78" t="s">
        <v>388</v>
      </c>
      <c r="D637" s="52">
        <v>102</v>
      </c>
      <c r="E637" s="9">
        <f>'主要材料费'!D42</f>
        <v>0.9768</v>
      </c>
      <c r="F637" s="79"/>
    </row>
    <row r="638" spans="1:6" ht="15" customHeight="1">
      <c r="A638" s="78"/>
      <c r="B638" s="78" t="s">
        <v>389</v>
      </c>
      <c r="C638" s="52" t="s">
        <v>49</v>
      </c>
      <c r="D638" s="9">
        <v>1.5</v>
      </c>
      <c r="E638" s="52">
        <f>E619</f>
        <v>4.37</v>
      </c>
      <c r="F638" s="9">
        <f>D638*E638</f>
        <v>6.555</v>
      </c>
    </row>
    <row r="639" spans="1:6" ht="15" customHeight="1">
      <c r="A639" s="78"/>
      <c r="B639" s="78" t="s">
        <v>390</v>
      </c>
      <c r="C639" s="52" t="s">
        <v>83</v>
      </c>
      <c r="D639" s="52">
        <v>4</v>
      </c>
      <c r="E639" s="9">
        <f>(D637*E637)+F638</f>
        <v>106.18860000000001</v>
      </c>
      <c r="F639" s="9">
        <f>D639*E639/100</f>
        <v>4.247544</v>
      </c>
    </row>
    <row r="640" spans="1:6" ht="15" customHeight="1">
      <c r="A640" s="52" t="s">
        <v>391</v>
      </c>
      <c r="B640" s="78" t="s">
        <v>368</v>
      </c>
      <c r="C640" s="52" t="s">
        <v>83</v>
      </c>
      <c r="D640" s="52">
        <v>2</v>
      </c>
      <c r="E640" s="78"/>
      <c r="F640" s="9">
        <f>D640*F633/100</f>
        <v>2.52405088</v>
      </c>
    </row>
    <row r="641" spans="1:6" ht="15" customHeight="1">
      <c r="A641" s="52" t="s">
        <v>392</v>
      </c>
      <c r="B641" s="78" t="s">
        <v>369</v>
      </c>
      <c r="C641" s="52" t="s">
        <v>83</v>
      </c>
      <c r="D641" s="52">
        <v>4</v>
      </c>
      <c r="E641" s="78"/>
      <c r="F641" s="9">
        <f>D641*F633/100</f>
        <v>5.04810176</v>
      </c>
    </row>
    <row r="642" spans="1:6" ht="15" customHeight="1">
      <c r="A642" s="78" t="s">
        <v>21</v>
      </c>
      <c r="B642" s="78" t="s">
        <v>370</v>
      </c>
      <c r="C642" s="52" t="s">
        <v>83</v>
      </c>
      <c r="D642" s="52">
        <v>3</v>
      </c>
      <c r="E642" s="78"/>
      <c r="F642" s="9">
        <f>D642*F632/100</f>
        <v>4.0132408992</v>
      </c>
    </row>
    <row r="643" spans="1:6" ht="15" customHeight="1">
      <c r="A643" s="78" t="s">
        <v>250</v>
      </c>
      <c r="B643" s="78" t="s">
        <v>371</v>
      </c>
      <c r="C643" s="52" t="s">
        <v>83</v>
      </c>
      <c r="D643" s="52">
        <v>5</v>
      </c>
      <c r="E643" s="78"/>
      <c r="F643" s="9">
        <f>D643*(F642+F632)/100</f>
        <v>6.889396876960001</v>
      </c>
    </row>
    <row r="644" spans="1:6" ht="15" customHeight="1">
      <c r="A644" s="78" t="s">
        <v>372</v>
      </c>
      <c r="B644" s="78" t="s">
        <v>373</v>
      </c>
      <c r="C644" s="52" t="s">
        <v>83</v>
      </c>
      <c r="D644" s="52">
        <v>9</v>
      </c>
      <c r="E644" s="78"/>
      <c r="F644" s="9">
        <f>D644*(F632+F642+F643)/100</f>
        <v>13.0209600974544</v>
      </c>
    </row>
    <row r="645" spans="1:6" ht="15" customHeight="1">
      <c r="A645" s="78" t="s">
        <v>393</v>
      </c>
      <c r="B645" s="78"/>
      <c r="C645" s="78"/>
      <c r="D645" s="78"/>
      <c r="E645" s="78"/>
      <c r="F645" s="9">
        <f>F632+F642+F643+F644</f>
        <v>157.69829451361443</v>
      </c>
    </row>
    <row r="646" spans="1:6" ht="15" customHeight="1">
      <c r="A646" s="80"/>
      <c r="B646" s="31"/>
      <c r="C646" s="31"/>
      <c r="D646" s="81"/>
      <c r="E646" s="81"/>
      <c r="F646" s="81"/>
    </row>
    <row r="647" spans="1:6" ht="15" customHeight="1">
      <c r="A647" s="74" t="s">
        <v>458</v>
      </c>
      <c r="B647" s="75"/>
      <c r="C647" s="75"/>
      <c r="D647" s="75"/>
      <c r="E647" s="75"/>
      <c r="F647" s="75"/>
    </row>
    <row r="648" spans="1:6" ht="15" customHeight="1">
      <c r="A648" s="76" t="s">
        <v>450</v>
      </c>
      <c r="B648" s="76"/>
      <c r="C648" s="76"/>
      <c r="D648" s="76"/>
      <c r="E648" s="77" t="s">
        <v>382</v>
      </c>
      <c r="F648" s="77"/>
    </row>
    <row r="649" spans="1:6" ht="15" customHeight="1">
      <c r="A649" s="76" t="s">
        <v>383</v>
      </c>
      <c r="B649" s="76"/>
      <c r="C649" s="76"/>
      <c r="D649" s="76"/>
      <c r="E649" s="76"/>
      <c r="F649" s="76"/>
    </row>
    <row r="650" spans="1:6" ht="15" customHeight="1">
      <c r="A650" s="1" t="s">
        <v>349</v>
      </c>
      <c r="B650" s="1" t="s">
        <v>384</v>
      </c>
      <c r="C650" s="1" t="s">
        <v>351</v>
      </c>
      <c r="D650" s="1" t="s">
        <v>352</v>
      </c>
      <c r="E650" s="1" t="s">
        <v>353</v>
      </c>
      <c r="F650" s="1" t="s">
        <v>385</v>
      </c>
    </row>
    <row r="651" spans="1:6" ht="15" customHeight="1">
      <c r="A651" s="78" t="s">
        <v>11</v>
      </c>
      <c r="B651" s="78" t="s">
        <v>355</v>
      </c>
      <c r="C651" s="78"/>
      <c r="D651" s="78"/>
      <c r="E651" s="78"/>
      <c r="F651" s="9">
        <f>F652+F659+F660</f>
        <v>132.1905224</v>
      </c>
    </row>
    <row r="652" spans="1:6" ht="15" customHeight="1">
      <c r="A652" s="52" t="s">
        <v>386</v>
      </c>
      <c r="B652" s="78" t="s">
        <v>356</v>
      </c>
      <c r="C652" s="78"/>
      <c r="D652" s="78"/>
      <c r="E652" s="78"/>
      <c r="F652" s="9">
        <f>F653+F655</f>
        <v>124.70804</v>
      </c>
    </row>
    <row r="653" spans="1:6" ht="15" customHeight="1">
      <c r="A653" s="52">
        <v>1</v>
      </c>
      <c r="B653" s="78" t="s">
        <v>358</v>
      </c>
      <c r="C653" s="78"/>
      <c r="D653" s="78"/>
      <c r="E653" s="78"/>
      <c r="F653" s="9">
        <f>F654</f>
        <v>115.39999999999999</v>
      </c>
    </row>
    <row r="654" spans="1:6" ht="15" customHeight="1">
      <c r="A654" s="78"/>
      <c r="B654" s="78" t="s">
        <v>358</v>
      </c>
      <c r="C654" s="78" t="s">
        <v>359</v>
      </c>
      <c r="D654" s="52">
        <v>20</v>
      </c>
      <c r="E654" s="52">
        <f>E635</f>
        <v>5.77</v>
      </c>
      <c r="F654" s="9">
        <f>D654*E654</f>
        <v>115.39999999999999</v>
      </c>
    </row>
    <row r="655" spans="1:6" ht="15" customHeight="1">
      <c r="A655" s="52">
        <v>2</v>
      </c>
      <c r="B655" s="78" t="s">
        <v>361</v>
      </c>
      <c r="C655" s="78"/>
      <c r="D655" s="78"/>
      <c r="E655" s="78"/>
      <c r="F655" s="9">
        <f>F657+F658</f>
        <v>9.30804</v>
      </c>
    </row>
    <row r="656" spans="1:6" ht="15" customHeight="1">
      <c r="A656" s="78"/>
      <c r="B656" s="82" t="s">
        <v>459</v>
      </c>
      <c r="C656" s="78" t="s">
        <v>388</v>
      </c>
      <c r="D656" s="52">
        <v>102</v>
      </c>
      <c r="E656" s="9">
        <f>'主要材料费'!D43</f>
        <v>0.6105</v>
      </c>
      <c r="F656" s="79"/>
    </row>
    <row r="657" spans="1:6" ht="15" customHeight="1">
      <c r="A657" s="78"/>
      <c r="B657" s="78" t="s">
        <v>389</v>
      </c>
      <c r="C657" s="52" t="s">
        <v>49</v>
      </c>
      <c r="D657" s="9">
        <v>1.5</v>
      </c>
      <c r="E657" s="52">
        <f>E638</f>
        <v>4.37</v>
      </c>
      <c r="F657" s="9">
        <f>D657*E657</f>
        <v>6.555</v>
      </c>
    </row>
    <row r="658" spans="1:6" ht="15" customHeight="1">
      <c r="A658" s="78"/>
      <c r="B658" s="78" t="s">
        <v>390</v>
      </c>
      <c r="C658" s="52" t="s">
        <v>83</v>
      </c>
      <c r="D658" s="52">
        <v>4</v>
      </c>
      <c r="E658" s="9">
        <f>(D656*E656)+F657</f>
        <v>68.826</v>
      </c>
      <c r="F658" s="9">
        <f>D658*E658/100</f>
        <v>2.75304</v>
      </c>
    </row>
    <row r="659" spans="1:6" ht="15" customHeight="1">
      <c r="A659" s="52" t="s">
        <v>391</v>
      </c>
      <c r="B659" s="78" t="s">
        <v>368</v>
      </c>
      <c r="C659" s="52" t="s">
        <v>83</v>
      </c>
      <c r="D659" s="52">
        <v>2</v>
      </c>
      <c r="E659" s="78"/>
      <c r="F659" s="9">
        <f>D659*F652/100</f>
        <v>2.4941608</v>
      </c>
    </row>
    <row r="660" spans="1:6" ht="15" customHeight="1">
      <c r="A660" s="52" t="s">
        <v>392</v>
      </c>
      <c r="B660" s="78" t="s">
        <v>369</v>
      </c>
      <c r="C660" s="52" t="s">
        <v>83</v>
      </c>
      <c r="D660" s="52">
        <v>4</v>
      </c>
      <c r="E660" s="78"/>
      <c r="F660" s="9">
        <f>D660*F652/100</f>
        <v>4.9883216</v>
      </c>
    </row>
    <row r="661" spans="1:6" ht="15" customHeight="1">
      <c r="A661" s="78" t="s">
        <v>21</v>
      </c>
      <c r="B661" s="78" t="s">
        <v>370</v>
      </c>
      <c r="C661" s="52" t="s">
        <v>83</v>
      </c>
      <c r="D661" s="52">
        <v>3</v>
      </c>
      <c r="E661" s="78"/>
      <c r="F661" s="9">
        <f>D661*F651/100</f>
        <v>3.965715672</v>
      </c>
    </row>
    <row r="662" spans="1:6" ht="15" customHeight="1">
      <c r="A662" s="78" t="s">
        <v>250</v>
      </c>
      <c r="B662" s="78" t="s">
        <v>371</v>
      </c>
      <c r="C662" s="52" t="s">
        <v>83</v>
      </c>
      <c r="D662" s="52">
        <v>5</v>
      </c>
      <c r="E662" s="78"/>
      <c r="F662" s="9">
        <f>D662*(F661+F651)/100</f>
        <v>6.807811903599998</v>
      </c>
    </row>
    <row r="663" spans="1:6" ht="15" customHeight="1">
      <c r="A663" s="78" t="s">
        <v>372</v>
      </c>
      <c r="B663" s="78" t="s">
        <v>373</v>
      </c>
      <c r="C663" s="52" t="s">
        <v>83</v>
      </c>
      <c r="D663" s="52">
        <v>9</v>
      </c>
      <c r="E663" s="78"/>
      <c r="F663" s="9">
        <f>D663*(F651+F661+F662)/100</f>
        <v>12.866764497803997</v>
      </c>
    </row>
    <row r="664" spans="1:6" ht="15" customHeight="1">
      <c r="A664" s="78" t="s">
        <v>393</v>
      </c>
      <c r="B664" s="78"/>
      <c r="C664" s="78"/>
      <c r="D664" s="78"/>
      <c r="E664" s="78"/>
      <c r="F664" s="9">
        <f>F651+F661+F662+F663</f>
        <v>155.83081447340396</v>
      </c>
    </row>
    <row r="665" spans="1:6" ht="15" customHeight="1">
      <c r="A665" s="80"/>
      <c r="B665" s="31"/>
      <c r="C665" s="31"/>
      <c r="D665" s="81"/>
      <c r="E665" s="81"/>
      <c r="F665" s="81"/>
    </row>
    <row r="666" spans="1:6" ht="15" customHeight="1">
      <c r="A666" s="74" t="s">
        <v>460</v>
      </c>
      <c r="B666" s="75"/>
      <c r="C666" s="75"/>
      <c r="D666" s="75"/>
      <c r="E666" s="75"/>
      <c r="F666" s="75"/>
    </row>
    <row r="667" spans="1:6" ht="15" customHeight="1">
      <c r="A667" s="76" t="s">
        <v>450</v>
      </c>
      <c r="B667" s="76"/>
      <c r="C667" s="76"/>
      <c r="D667" s="76"/>
      <c r="E667" s="77" t="s">
        <v>382</v>
      </c>
      <c r="F667" s="77"/>
    </row>
    <row r="668" spans="1:6" ht="15" customHeight="1">
      <c r="A668" s="76" t="s">
        <v>383</v>
      </c>
      <c r="B668" s="76"/>
      <c r="C668" s="76"/>
      <c r="D668" s="76"/>
      <c r="E668" s="76"/>
      <c r="F668" s="76"/>
    </row>
    <row r="669" spans="1:6" ht="15" customHeight="1">
      <c r="A669" s="1" t="s">
        <v>349</v>
      </c>
      <c r="B669" s="1" t="s">
        <v>384</v>
      </c>
      <c r="C669" s="1" t="s">
        <v>351</v>
      </c>
      <c r="D669" s="1" t="s">
        <v>352</v>
      </c>
      <c r="E669" s="1" t="s">
        <v>353</v>
      </c>
      <c r="F669" s="1" t="s">
        <v>385</v>
      </c>
    </row>
    <row r="670" spans="1:6" ht="15" customHeight="1">
      <c r="A670" s="78" t="s">
        <v>11</v>
      </c>
      <c r="B670" s="78" t="s">
        <v>355</v>
      </c>
      <c r="C670" s="78"/>
      <c r="D670" s="78"/>
      <c r="E670" s="78"/>
      <c r="F670" s="9">
        <f>F671+F678+F679</f>
        <v>252.87579632</v>
      </c>
    </row>
    <row r="671" spans="1:6" ht="15" customHeight="1">
      <c r="A671" s="52" t="s">
        <v>386</v>
      </c>
      <c r="B671" s="78" t="s">
        <v>356</v>
      </c>
      <c r="C671" s="78"/>
      <c r="D671" s="78"/>
      <c r="E671" s="78"/>
      <c r="F671" s="9">
        <f>F672+F674</f>
        <v>238.562072</v>
      </c>
    </row>
    <row r="672" spans="1:6" ht="15" customHeight="1">
      <c r="A672" s="52">
        <v>1</v>
      </c>
      <c r="B672" s="78" t="s">
        <v>358</v>
      </c>
      <c r="C672" s="78"/>
      <c r="D672" s="78"/>
      <c r="E672" s="78"/>
      <c r="F672" s="9">
        <f>F673</f>
        <v>115.39999999999999</v>
      </c>
    </row>
    <row r="673" spans="1:6" ht="15" customHeight="1">
      <c r="A673" s="78"/>
      <c r="B673" s="78" t="s">
        <v>358</v>
      </c>
      <c r="C673" s="78" t="s">
        <v>359</v>
      </c>
      <c r="D673" s="52">
        <v>20</v>
      </c>
      <c r="E673" s="52">
        <f>E654</f>
        <v>5.77</v>
      </c>
      <c r="F673" s="9">
        <f>D673*E673</f>
        <v>115.39999999999999</v>
      </c>
    </row>
    <row r="674" spans="1:6" ht="15" customHeight="1">
      <c r="A674" s="52">
        <v>2</v>
      </c>
      <c r="B674" s="78" t="s">
        <v>361</v>
      </c>
      <c r="C674" s="78"/>
      <c r="D674" s="78"/>
      <c r="E674" s="78"/>
      <c r="F674" s="9">
        <f>F676+F677</f>
        <v>123.162072</v>
      </c>
    </row>
    <row r="675" spans="1:6" ht="15" customHeight="1">
      <c r="A675" s="78"/>
      <c r="B675" s="82" t="s">
        <v>461</v>
      </c>
      <c r="C675" s="78" t="s">
        <v>388</v>
      </c>
      <c r="D675" s="52">
        <v>102</v>
      </c>
      <c r="E675" s="9">
        <f>'主要材料费'!D44</f>
        <v>28.515900000000002</v>
      </c>
      <c r="F675" s="79"/>
    </row>
    <row r="676" spans="1:6" ht="15" customHeight="1">
      <c r="A676" s="78"/>
      <c r="B676" s="78" t="s">
        <v>389</v>
      </c>
      <c r="C676" s="52" t="s">
        <v>49</v>
      </c>
      <c r="D676" s="9">
        <v>1.5</v>
      </c>
      <c r="E676" s="52">
        <f>E657</f>
        <v>4.37</v>
      </c>
      <c r="F676" s="9">
        <f>D676*E676</f>
        <v>6.555</v>
      </c>
    </row>
    <row r="677" spans="1:6" ht="15" customHeight="1">
      <c r="A677" s="78"/>
      <c r="B677" s="78" t="s">
        <v>390</v>
      </c>
      <c r="C677" s="52" t="s">
        <v>83</v>
      </c>
      <c r="D677" s="52">
        <v>4</v>
      </c>
      <c r="E677" s="9">
        <f>(D675*E675)+F676</f>
        <v>2915.1768</v>
      </c>
      <c r="F677" s="9">
        <f>D677*E677/100</f>
        <v>116.607072</v>
      </c>
    </row>
    <row r="678" spans="1:6" ht="15" customHeight="1">
      <c r="A678" s="52" t="s">
        <v>391</v>
      </c>
      <c r="B678" s="78" t="s">
        <v>368</v>
      </c>
      <c r="C678" s="52" t="s">
        <v>83</v>
      </c>
      <c r="D678" s="52">
        <v>2</v>
      </c>
      <c r="E678" s="78"/>
      <c r="F678" s="9">
        <f>D678*F671/100</f>
        <v>4.77124144</v>
      </c>
    </row>
    <row r="679" spans="1:6" ht="15" customHeight="1">
      <c r="A679" s="52" t="s">
        <v>392</v>
      </c>
      <c r="B679" s="78" t="s">
        <v>369</v>
      </c>
      <c r="C679" s="52" t="s">
        <v>83</v>
      </c>
      <c r="D679" s="52">
        <v>4</v>
      </c>
      <c r="E679" s="78"/>
      <c r="F679" s="9">
        <f>D679*F671/100</f>
        <v>9.54248288</v>
      </c>
    </row>
    <row r="680" spans="1:6" ht="15" customHeight="1">
      <c r="A680" s="78" t="s">
        <v>21</v>
      </c>
      <c r="B680" s="78" t="s">
        <v>370</v>
      </c>
      <c r="C680" s="52" t="s">
        <v>83</v>
      </c>
      <c r="D680" s="52">
        <v>3</v>
      </c>
      <c r="E680" s="78"/>
      <c r="F680" s="9">
        <f>D680*F670/100</f>
        <v>7.586273889599999</v>
      </c>
    </row>
    <row r="681" spans="1:6" ht="15" customHeight="1">
      <c r="A681" s="78" t="s">
        <v>250</v>
      </c>
      <c r="B681" s="78" t="s">
        <v>371</v>
      </c>
      <c r="C681" s="52" t="s">
        <v>83</v>
      </c>
      <c r="D681" s="52">
        <v>5</v>
      </c>
      <c r="E681" s="78"/>
      <c r="F681" s="9">
        <f>D681*(F680+F670)/100</f>
        <v>13.02310351048</v>
      </c>
    </row>
    <row r="682" spans="1:6" ht="15" customHeight="1">
      <c r="A682" s="78" t="s">
        <v>372</v>
      </c>
      <c r="B682" s="78" t="s">
        <v>373</v>
      </c>
      <c r="C682" s="52" t="s">
        <v>83</v>
      </c>
      <c r="D682" s="52">
        <v>9</v>
      </c>
      <c r="E682" s="78"/>
      <c r="F682" s="9">
        <f>D682*(F670+F680+F681)/100</f>
        <v>24.6136656348072</v>
      </c>
    </row>
    <row r="683" spans="1:6" ht="15" customHeight="1">
      <c r="A683" s="78" t="s">
        <v>393</v>
      </c>
      <c r="B683" s="78"/>
      <c r="C683" s="78"/>
      <c r="D683" s="78"/>
      <c r="E683" s="78"/>
      <c r="F683" s="9">
        <f>F670+F680+F681+F682</f>
        <v>298.0988393548872</v>
      </c>
    </row>
    <row r="684" spans="1:6" ht="15" customHeight="1">
      <c r="A684" s="80"/>
      <c r="B684" s="31"/>
      <c r="C684" s="31"/>
      <c r="D684" s="81"/>
      <c r="E684" s="81"/>
      <c r="F684" s="81"/>
    </row>
    <row r="685" spans="1:6" ht="15" customHeight="1">
      <c r="A685" s="74" t="s">
        <v>462</v>
      </c>
      <c r="B685" s="75"/>
      <c r="C685" s="75"/>
      <c r="D685" s="75"/>
      <c r="E685" s="75"/>
      <c r="F685" s="75"/>
    </row>
    <row r="686" spans="1:6" ht="15" customHeight="1">
      <c r="A686" s="76" t="s">
        <v>450</v>
      </c>
      <c r="B686" s="76"/>
      <c r="C686" s="76"/>
      <c r="D686" s="76"/>
      <c r="E686" s="77" t="s">
        <v>382</v>
      </c>
      <c r="F686" s="77"/>
    </row>
    <row r="687" spans="1:6" ht="15" customHeight="1">
      <c r="A687" s="76" t="s">
        <v>383</v>
      </c>
      <c r="B687" s="76"/>
      <c r="C687" s="76"/>
      <c r="D687" s="76"/>
      <c r="E687" s="76"/>
      <c r="F687" s="76"/>
    </row>
    <row r="688" spans="1:6" ht="15" customHeight="1">
      <c r="A688" s="1" t="s">
        <v>349</v>
      </c>
      <c r="B688" s="1" t="s">
        <v>384</v>
      </c>
      <c r="C688" s="1" t="s">
        <v>351</v>
      </c>
      <c r="D688" s="1" t="s">
        <v>352</v>
      </c>
      <c r="E688" s="1" t="s">
        <v>353</v>
      </c>
      <c r="F688" s="1" t="s">
        <v>385</v>
      </c>
    </row>
    <row r="689" spans="1:6" ht="15" customHeight="1">
      <c r="A689" s="78" t="s">
        <v>11</v>
      </c>
      <c r="B689" s="78" t="s">
        <v>355</v>
      </c>
      <c r="C689" s="78"/>
      <c r="D689" s="78"/>
      <c r="E689" s="78"/>
      <c r="F689" s="9">
        <f>F690+F697+F698</f>
        <v>283.6951860799999</v>
      </c>
    </row>
    <row r="690" spans="1:6" ht="15" customHeight="1">
      <c r="A690" s="52" t="s">
        <v>386</v>
      </c>
      <c r="B690" s="78" t="s">
        <v>356</v>
      </c>
      <c r="C690" s="78"/>
      <c r="D690" s="78"/>
      <c r="E690" s="78"/>
      <c r="F690" s="9">
        <f>F691+F693</f>
        <v>267.63696799999997</v>
      </c>
    </row>
    <row r="691" spans="1:6" ht="15" customHeight="1">
      <c r="A691" s="52">
        <v>1</v>
      </c>
      <c r="B691" s="78" t="s">
        <v>358</v>
      </c>
      <c r="C691" s="78"/>
      <c r="D691" s="78"/>
      <c r="E691" s="78"/>
      <c r="F691" s="9">
        <f>F692</f>
        <v>115.39999999999999</v>
      </c>
    </row>
    <row r="692" spans="1:6" ht="15" customHeight="1">
      <c r="A692" s="78"/>
      <c r="B692" s="78" t="s">
        <v>358</v>
      </c>
      <c r="C692" s="78" t="s">
        <v>359</v>
      </c>
      <c r="D692" s="52">
        <v>20</v>
      </c>
      <c r="E692" s="52">
        <f>E673</f>
        <v>5.77</v>
      </c>
      <c r="F692" s="9">
        <f>D692*E692</f>
        <v>115.39999999999999</v>
      </c>
    </row>
    <row r="693" spans="1:6" ht="15" customHeight="1">
      <c r="A693" s="52">
        <v>2</v>
      </c>
      <c r="B693" s="78" t="s">
        <v>361</v>
      </c>
      <c r="C693" s="78"/>
      <c r="D693" s="78"/>
      <c r="E693" s="78"/>
      <c r="F693" s="9">
        <f>F695+F696</f>
        <v>152.236968</v>
      </c>
    </row>
    <row r="694" spans="1:6" ht="15" customHeight="1">
      <c r="A694" s="78"/>
      <c r="B694" s="82" t="s">
        <v>463</v>
      </c>
      <c r="C694" s="78" t="s">
        <v>388</v>
      </c>
      <c r="D694" s="52">
        <v>102</v>
      </c>
      <c r="E694" s="9">
        <f>'主要材料费'!D45</f>
        <v>35.6421</v>
      </c>
      <c r="F694" s="79"/>
    </row>
    <row r="695" spans="1:6" ht="15" customHeight="1">
      <c r="A695" s="78"/>
      <c r="B695" s="78" t="s">
        <v>389</v>
      </c>
      <c r="C695" s="52" t="s">
        <v>49</v>
      </c>
      <c r="D695" s="9">
        <v>1.5</v>
      </c>
      <c r="E695" s="52">
        <f>E676</f>
        <v>4.37</v>
      </c>
      <c r="F695" s="9">
        <f>D695*E695</f>
        <v>6.555</v>
      </c>
    </row>
    <row r="696" spans="1:6" ht="15" customHeight="1">
      <c r="A696" s="78"/>
      <c r="B696" s="78" t="s">
        <v>390</v>
      </c>
      <c r="C696" s="52" t="s">
        <v>83</v>
      </c>
      <c r="D696" s="52">
        <v>4</v>
      </c>
      <c r="E696" s="9">
        <f>(D694*E694)+F695</f>
        <v>3642.0492</v>
      </c>
      <c r="F696" s="9">
        <f>D696*E696/100</f>
        <v>145.68196799999998</v>
      </c>
    </row>
    <row r="697" spans="1:6" ht="15" customHeight="1">
      <c r="A697" s="52" t="s">
        <v>391</v>
      </c>
      <c r="B697" s="78" t="s">
        <v>368</v>
      </c>
      <c r="C697" s="52" t="s">
        <v>83</v>
      </c>
      <c r="D697" s="52">
        <v>2</v>
      </c>
      <c r="E697" s="78"/>
      <c r="F697" s="9">
        <f>D697*F690/100</f>
        <v>5.352739359999999</v>
      </c>
    </row>
    <row r="698" spans="1:6" ht="15" customHeight="1">
      <c r="A698" s="52" t="s">
        <v>392</v>
      </c>
      <c r="B698" s="78" t="s">
        <v>369</v>
      </c>
      <c r="C698" s="52" t="s">
        <v>83</v>
      </c>
      <c r="D698" s="52">
        <v>4</v>
      </c>
      <c r="E698" s="78"/>
      <c r="F698" s="9">
        <f>D698*F690/100</f>
        <v>10.705478719999999</v>
      </c>
    </row>
    <row r="699" spans="1:6" ht="15" customHeight="1">
      <c r="A699" s="78" t="s">
        <v>21</v>
      </c>
      <c r="B699" s="78" t="s">
        <v>370</v>
      </c>
      <c r="C699" s="52" t="s">
        <v>83</v>
      </c>
      <c r="D699" s="52">
        <v>3</v>
      </c>
      <c r="E699" s="78"/>
      <c r="F699" s="9">
        <f>D699*F689/100</f>
        <v>8.510855582399998</v>
      </c>
    </row>
    <row r="700" spans="1:6" ht="15" customHeight="1">
      <c r="A700" s="78" t="s">
        <v>250</v>
      </c>
      <c r="B700" s="78" t="s">
        <v>371</v>
      </c>
      <c r="C700" s="52" t="s">
        <v>83</v>
      </c>
      <c r="D700" s="52">
        <v>5</v>
      </c>
      <c r="E700" s="78"/>
      <c r="F700" s="9">
        <f>D700*(F699+F689)/100</f>
        <v>14.610302083119995</v>
      </c>
    </row>
    <row r="701" spans="1:6" ht="15" customHeight="1">
      <c r="A701" s="78" t="s">
        <v>372</v>
      </c>
      <c r="B701" s="78" t="s">
        <v>373</v>
      </c>
      <c r="C701" s="52" t="s">
        <v>83</v>
      </c>
      <c r="D701" s="52">
        <v>9</v>
      </c>
      <c r="E701" s="78"/>
      <c r="F701" s="9">
        <f>D701*(F689+F699+F700)/100</f>
        <v>27.613470937096796</v>
      </c>
    </row>
    <row r="702" spans="1:6" ht="15" customHeight="1">
      <c r="A702" s="78" t="s">
        <v>393</v>
      </c>
      <c r="B702" s="78"/>
      <c r="C702" s="78"/>
      <c r="D702" s="78"/>
      <c r="E702" s="78"/>
      <c r="F702" s="9">
        <f>F689+F699+F700+F701</f>
        <v>334.4298146826167</v>
      </c>
    </row>
    <row r="703" spans="1:6" ht="15" customHeight="1">
      <c r="A703" s="80"/>
      <c r="B703" s="31"/>
      <c r="C703" s="31"/>
      <c r="D703" s="81"/>
      <c r="E703" s="81"/>
      <c r="F703" s="81"/>
    </row>
    <row r="704" spans="1:6" ht="15" customHeight="1">
      <c r="A704" s="74" t="s">
        <v>464</v>
      </c>
      <c r="B704" s="75"/>
      <c r="C704" s="75"/>
      <c r="D704" s="75"/>
      <c r="E704" s="75"/>
      <c r="F704" s="75"/>
    </row>
    <row r="705" spans="1:6" ht="15" customHeight="1">
      <c r="A705" s="76" t="s">
        <v>450</v>
      </c>
      <c r="B705" s="76"/>
      <c r="C705" s="76"/>
      <c r="D705" s="76"/>
      <c r="E705" s="77" t="s">
        <v>382</v>
      </c>
      <c r="F705" s="77"/>
    </row>
    <row r="706" spans="1:6" ht="15" customHeight="1">
      <c r="A706" s="76" t="s">
        <v>383</v>
      </c>
      <c r="B706" s="76"/>
      <c r="C706" s="76"/>
      <c r="D706" s="76"/>
      <c r="E706" s="76"/>
      <c r="F706" s="76"/>
    </row>
    <row r="707" spans="1:6" ht="15" customHeight="1">
      <c r="A707" s="1" t="s">
        <v>349</v>
      </c>
      <c r="B707" s="1" t="s">
        <v>384</v>
      </c>
      <c r="C707" s="1" t="s">
        <v>351</v>
      </c>
      <c r="D707" s="1" t="s">
        <v>352</v>
      </c>
      <c r="E707" s="1" t="s">
        <v>353</v>
      </c>
      <c r="F707" s="1" t="s">
        <v>385</v>
      </c>
    </row>
    <row r="708" spans="1:6" ht="15" customHeight="1">
      <c r="A708" s="78" t="s">
        <v>11</v>
      </c>
      <c r="B708" s="78" t="s">
        <v>355</v>
      </c>
      <c r="C708" s="78"/>
      <c r="D708" s="78"/>
      <c r="E708" s="78"/>
      <c r="F708" s="9">
        <f>F709+F716+F717</f>
        <v>283.6951860799999</v>
      </c>
    </row>
    <row r="709" spans="1:6" ht="15" customHeight="1">
      <c r="A709" s="52" t="s">
        <v>386</v>
      </c>
      <c r="B709" s="78" t="s">
        <v>356</v>
      </c>
      <c r="C709" s="78"/>
      <c r="D709" s="78"/>
      <c r="E709" s="78"/>
      <c r="F709" s="9">
        <f>F710+F712</f>
        <v>267.63696799999997</v>
      </c>
    </row>
    <row r="710" spans="1:6" ht="15" customHeight="1">
      <c r="A710" s="52">
        <v>1</v>
      </c>
      <c r="B710" s="78" t="s">
        <v>358</v>
      </c>
      <c r="C710" s="78"/>
      <c r="D710" s="78"/>
      <c r="E710" s="78"/>
      <c r="F710" s="9">
        <f>F711</f>
        <v>115.39999999999999</v>
      </c>
    </row>
    <row r="711" spans="1:6" ht="15" customHeight="1">
      <c r="A711" s="78"/>
      <c r="B711" s="78" t="s">
        <v>358</v>
      </c>
      <c r="C711" s="78" t="s">
        <v>359</v>
      </c>
      <c r="D711" s="52">
        <v>20</v>
      </c>
      <c r="E711" s="52">
        <f>E692</f>
        <v>5.77</v>
      </c>
      <c r="F711" s="9">
        <f>D711*E711</f>
        <v>115.39999999999999</v>
      </c>
    </row>
    <row r="712" spans="1:6" ht="15" customHeight="1">
      <c r="A712" s="52">
        <v>2</v>
      </c>
      <c r="B712" s="78" t="s">
        <v>361</v>
      </c>
      <c r="C712" s="78"/>
      <c r="D712" s="78"/>
      <c r="E712" s="78"/>
      <c r="F712" s="9">
        <f>F714+F715</f>
        <v>152.236968</v>
      </c>
    </row>
    <row r="713" spans="1:6" ht="15" customHeight="1">
      <c r="A713" s="78"/>
      <c r="B713" s="82" t="s">
        <v>465</v>
      </c>
      <c r="C713" s="78" t="s">
        <v>388</v>
      </c>
      <c r="D713" s="52">
        <v>102</v>
      </c>
      <c r="E713" s="9">
        <f>'主要材料费'!D46</f>
        <v>35.6421</v>
      </c>
      <c r="F713" s="79"/>
    </row>
    <row r="714" spans="1:6" ht="15" customHeight="1">
      <c r="A714" s="78"/>
      <c r="B714" s="78" t="s">
        <v>389</v>
      </c>
      <c r="C714" s="52" t="s">
        <v>49</v>
      </c>
      <c r="D714" s="9">
        <v>1.5</v>
      </c>
      <c r="E714" s="52">
        <f>E695</f>
        <v>4.37</v>
      </c>
      <c r="F714" s="9">
        <f>D714*E714</f>
        <v>6.555</v>
      </c>
    </row>
    <row r="715" spans="1:6" ht="15" customHeight="1">
      <c r="A715" s="78"/>
      <c r="B715" s="78" t="s">
        <v>390</v>
      </c>
      <c r="C715" s="52" t="s">
        <v>83</v>
      </c>
      <c r="D715" s="52">
        <v>4</v>
      </c>
      <c r="E715" s="9">
        <f>(D713*E713)+F714</f>
        <v>3642.0492</v>
      </c>
      <c r="F715" s="9">
        <f>D715*E715/100</f>
        <v>145.68196799999998</v>
      </c>
    </row>
    <row r="716" spans="1:6" ht="15" customHeight="1">
      <c r="A716" s="52" t="s">
        <v>391</v>
      </c>
      <c r="B716" s="78" t="s">
        <v>368</v>
      </c>
      <c r="C716" s="52" t="s">
        <v>83</v>
      </c>
      <c r="D716" s="52">
        <v>2</v>
      </c>
      <c r="E716" s="78"/>
      <c r="F716" s="9">
        <f>D716*F709/100</f>
        <v>5.352739359999999</v>
      </c>
    </row>
    <row r="717" spans="1:6" ht="15" customHeight="1">
      <c r="A717" s="52" t="s">
        <v>392</v>
      </c>
      <c r="B717" s="78" t="s">
        <v>369</v>
      </c>
      <c r="C717" s="52" t="s">
        <v>83</v>
      </c>
      <c r="D717" s="52">
        <v>4</v>
      </c>
      <c r="E717" s="78"/>
      <c r="F717" s="9">
        <f>D717*F709/100</f>
        <v>10.705478719999999</v>
      </c>
    </row>
    <row r="718" spans="1:6" ht="15" customHeight="1">
      <c r="A718" s="78" t="s">
        <v>21</v>
      </c>
      <c r="B718" s="78" t="s">
        <v>370</v>
      </c>
      <c r="C718" s="52" t="s">
        <v>83</v>
      </c>
      <c r="D718" s="52">
        <v>3</v>
      </c>
      <c r="E718" s="78"/>
      <c r="F718" s="9">
        <f>D718*F708/100</f>
        <v>8.510855582399998</v>
      </c>
    </row>
    <row r="719" spans="1:6" ht="15" customHeight="1">
      <c r="A719" s="78" t="s">
        <v>250</v>
      </c>
      <c r="B719" s="78" t="s">
        <v>371</v>
      </c>
      <c r="C719" s="52" t="s">
        <v>83</v>
      </c>
      <c r="D719" s="52">
        <v>5</v>
      </c>
      <c r="E719" s="78"/>
      <c r="F719" s="9">
        <f>D719*(F718+F708)/100</f>
        <v>14.610302083119995</v>
      </c>
    </row>
    <row r="720" spans="1:6" ht="15" customHeight="1">
      <c r="A720" s="78" t="s">
        <v>372</v>
      </c>
      <c r="B720" s="78" t="s">
        <v>373</v>
      </c>
      <c r="C720" s="52" t="s">
        <v>83</v>
      </c>
      <c r="D720" s="52">
        <v>9</v>
      </c>
      <c r="E720" s="78"/>
      <c r="F720" s="9">
        <f>D720*(F708+F718+F719)/100</f>
        <v>27.613470937096796</v>
      </c>
    </row>
    <row r="721" spans="1:6" ht="15" customHeight="1">
      <c r="A721" s="78" t="s">
        <v>393</v>
      </c>
      <c r="B721" s="78"/>
      <c r="C721" s="78"/>
      <c r="D721" s="78"/>
      <c r="E721" s="78"/>
      <c r="F721" s="9">
        <f>F708+F718+F719+F720</f>
        <v>334.4298146826167</v>
      </c>
    </row>
    <row r="722" spans="1:6" ht="15" customHeight="1">
      <c r="A722" s="80"/>
      <c r="B722" s="31"/>
      <c r="C722" s="31"/>
      <c r="D722" s="81"/>
      <c r="E722" s="81"/>
      <c r="F722" s="81"/>
    </row>
    <row r="723" spans="1:6" ht="15" customHeight="1">
      <c r="A723" s="74" t="s">
        <v>466</v>
      </c>
      <c r="B723" s="75"/>
      <c r="C723" s="75"/>
      <c r="D723" s="75"/>
      <c r="E723" s="75"/>
      <c r="F723" s="75"/>
    </row>
    <row r="724" spans="1:6" ht="15" customHeight="1">
      <c r="A724" s="76" t="s">
        <v>450</v>
      </c>
      <c r="B724" s="76"/>
      <c r="C724" s="76"/>
      <c r="D724" s="76"/>
      <c r="E724" s="77" t="s">
        <v>382</v>
      </c>
      <c r="F724" s="77"/>
    </row>
    <row r="725" spans="1:6" ht="15" customHeight="1">
      <c r="A725" s="76" t="s">
        <v>383</v>
      </c>
      <c r="B725" s="76"/>
      <c r="C725" s="76"/>
      <c r="D725" s="76"/>
      <c r="E725" s="76"/>
      <c r="F725" s="76"/>
    </row>
    <row r="726" spans="1:6" ht="15" customHeight="1">
      <c r="A726" s="1" t="s">
        <v>349</v>
      </c>
      <c r="B726" s="1" t="s">
        <v>384</v>
      </c>
      <c r="C726" s="1" t="s">
        <v>351</v>
      </c>
      <c r="D726" s="1" t="s">
        <v>352</v>
      </c>
      <c r="E726" s="1" t="s">
        <v>353</v>
      </c>
      <c r="F726" s="1" t="s">
        <v>385</v>
      </c>
    </row>
    <row r="727" spans="1:6" ht="15" customHeight="1">
      <c r="A727" s="78" t="s">
        <v>11</v>
      </c>
      <c r="B727" s="78" t="s">
        <v>355</v>
      </c>
      <c r="C727" s="78"/>
      <c r="D727" s="78"/>
      <c r="E727" s="78"/>
      <c r="F727" s="9">
        <f>F728+F735+F736</f>
        <v>226.42488704</v>
      </c>
    </row>
    <row r="728" spans="1:6" ht="15" customHeight="1">
      <c r="A728" s="52" t="s">
        <v>386</v>
      </c>
      <c r="B728" s="78" t="s">
        <v>356</v>
      </c>
      <c r="C728" s="78"/>
      <c r="D728" s="78"/>
      <c r="E728" s="78"/>
      <c r="F728" s="9">
        <f>F729+F731</f>
        <v>213.608384</v>
      </c>
    </row>
    <row r="729" spans="1:6" ht="15" customHeight="1">
      <c r="A729" s="52">
        <v>1</v>
      </c>
      <c r="B729" s="78" t="s">
        <v>358</v>
      </c>
      <c r="C729" s="78"/>
      <c r="D729" s="78"/>
      <c r="E729" s="78"/>
      <c r="F729" s="9">
        <f>F730</f>
        <v>115.39999999999999</v>
      </c>
    </row>
    <row r="730" spans="1:6" ht="15" customHeight="1">
      <c r="A730" s="78"/>
      <c r="B730" s="78" t="s">
        <v>358</v>
      </c>
      <c r="C730" s="78" t="s">
        <v>359</v>
      </c>
      <c r="D730" s="52">
        <v>20</v>
      </c>
      <c r="E730" s="52">
        <f>E711</f>
        <v>5.77</v>
      </c>
      <c r="F730" s="9">
        <f>D730*E730</f>
        <v>115.39999999999999</v>
      </c>
    </row>
    <row r="731" spans="1:6" ht="15" customHeight="1">
      <c r="A731" s="52">
        <v>2</v>
      </c>
      <c r="B731" s="78" t="s">
        <v>361</v>
      </c>
      <c r="C731" s="78"/>
      <c r="D731" s="78"/>
      <c r="E731" s="78"/>
      <c r="F731" s="9">
        <f>F733+F734</f>
        <v>98.208384</v>
      </c>
    </row>
    <row r="732" spans="1:6" ht="15" customHeight="1">
      <c r="A732" s="78"/>
      <c r="B732" s="82" t="s">
        <v>467</v>
      </c>
      <c r="C732" s="78" t="s">
        <v>388</v>
      </c>
      <c r="D732" s="52">
        <v>102</v>
      </c>
      <c r="E732" s="9">
        <f>'主要材料费'!D47</f>
        <v>22.3998</v>
      </c>
      <c r="F732" s="79"/>
    </row>
    <row r="733" spans="1:6" ht="15" customHeight="1">
      <c r="A733" s="78"/>
      <c r="B733" s="78" t="s">
        <v>389</v>
      </c>
      <c r="C733" s="52" t="s">
        <v>49</v>
      </c>
      <c r="D733" s="9">
        <v>1.5</v>
      </c>
      <c r="E733" s="52">
        <f>E714</f>
        <v>4.37</v>
      </c>
      <c r="F733" s="9">
        <f>D733*E733</f>
        <v>6.555</v>
      </c>
    </row>
    <row r="734" spans="1:6" ht="15" customHeight="1">
      <c r="A734" s="78"/>
      <c r="B734" s="78" t="s">
        <v>390</v>
      </c>
      <c r="C734" s="52" t="s">
        <v>83</v>
      </c>
      <c r="D734" s="52">
        <v>4</v>
      </c>
      <c r="E734" s="9">
        <f>(D732*E732)+F733</f>
        <v>2291.3345999999997</v>
      </c>
      <c r="F734" s="9">
        <f>D734*E734/100</f>
        <v>91.65338399999999</v>
      </c>
    </row>
    <row r="735" spans="1:6" ht="15" customHeight="1">
      <c r="A735" s="52" t="s">
        <v>391</v>
      </c>
      <c r="B735" s="78" t="s">
        <v>368</v>
      </c>
      <c r="C735" s="52" t="s">
        <v>83</v>
      </c>
      <c r="D735" s="52">
        <v>2</v>
      </c>
      <c r="E735" s="78"/>
      <c r="F735" s="9">
        <f>D735*F728/100</f>
        <v>4.27216768</v>
      </c>
    </row>
    <row r="736" spans="1:6" ht="15" customHeight="1">
      <c r="A736" s="52" t="s">
        <v>392</v>
      </c>
      <c r="B736" s="78" t="s">
        <v>369</v>
      </c>
      <c r="C736" s="52" t="s">
        <v>83</v>
      </c>
      <c r="D736" s="52">
        <v>4</v>
      </c>
      <c r="E736" s="78"/>
      <c r="F736" s="9">
        <f>D736*F728/100</f>
        <v>8.54433536</v>
      </c>
    </row>
    <row r="737" spans="1:6" ht="15" customHeight="1">
      <c r="A737" s="78" t="s">
        <v>21</v>
      </c>
      <c r="B737" s="78" t="s">
        <v>370</v>
      </c>
      <c r="C737" s="52" t="s">
        <v>83</v>
      </c>
      <c r="D737" s="52">
        <v>3</v>
      </c>
      <c r="E737" s="78"/>
      <c r="F737" s="9">
        <f>D737*F727/100</f>
        <v>6.7927466112</v>
      </c>
    </row>
    <row r="738" spans="1:6" ht="15" customHeight="1">
      <c r="A738" s="78" t="s">
        <v>250</v>
      </c>
      <c r="B738" s="78" t="s">
        <v>371</v>
      </c>
      <c r="C738" s="52" t="s">
        <v>83</v>
      </c>
      <c r="D738" s="52">
        <v>5</v>
      </c>
      <c r="E738" s="78"/>
      <c r="F738" s="9">
        <f>D738*(F737+F727)/100</f>
        <v>11.660881682559998</v>
      </c>
    </row>
    <row r="739" spans="1:6" ht="15" customHeight="1">
      <c r="A739" s="78" t="s">
        <v>372</v>
      </c>
      <c r="B739" s="78" t="s">
        <v>373</v>
      </c>
      <c r="C739" s="52" t="s">
        <v>83</v>
      </c>
      <c r="D739" s="52">
        <v>9</v>
      </c>
      <c r="E739" s="78"/>
      <c r="F739" s="9">
        <f>D739*(F727+F737+F738)/100</f>
        <v>22.0390663800384</v>
      </c>
    </row>
    <row r="740" spans="1:6" ht="15" customHeight="1">
      <c r="A740" s="78" t="s">
        <v>393</v>
      </c>
      <c r="B740" s="78"/>
      <c r="C740" s="78"/>
      <c r="D740" s="78"/>
      <c r="E740" s="78"/>
      <c r="F740" s="9">
        <f>F727+F737+F738+F739</f>
        <v>266.91758171379837</v>
      </c>
    </row>
    <row r="741" spans="1:6" ht="15" customHeight="1">
      <c r="A741" s="80"/>
      <c r="B741" s="31"/>
      <c r="C741" s="31"/>
      <c r="D741" s="81"/>
      <c r="E741" s="81"/>
      <c r="F741" s="81"/>
    </row>
    <row r="742" spans="1:6" ht="15" customHeight="1">
      <c r="A742" s="74" t="s">
        <v>468</v>
      </c>
      <c r="B742" s="75"/>
      <c r="C742" s="75"/>
      <c r="D742" s="75"/>
      <c r="E742" s="75"/>
      <c r="F742" s="75"/>
    </row>
    <row r="743" spans="1:6" ht="15" customHeight="1">
      <c r="A743" s="76" t="s">
        <v>450</v>
      </c>
      <c r="B743" s="76"/>
      <c r="C743" s="76"/>
      <c r="D743" s="76"/>
      <c r="E743" s="77" t="s">
        <v>382</v>
      </c>
      <c r="F743" s="77"/>
    </row>
    <row r="744" spans="1:6" ht="15" customHeight="1">
      <c r="A744" s="76" t="s">
        <v>383</v>
      </c>
      <c r="B744" s="76"/>
      <c r="C744" s="76"/>
      <c r="D744" s="76"/>
      <c r="E744" s="76"/>
      <c r="F744" s="76"/>
    </row>
    <row r="745" spans="1:6" ht="15" customHeight="1">
      <c r="A745" s="1" t="s">
        <v>349</v>
      </c>
      <c r="B745" s="1" t="s">
        <v>384</v>
      </c>
      <c r="C745" s="1" t="s">
        <v>351</v>
      </c>
      <c r="D745" s="1" t="s">
        <v>352</v>
      </c>
      <c r="E745" s="1" t="s">
        <v>353</v>
      </c>
      <c r="F745" s="1" t="s">
        <v>385</v>
      </c>
    </row>
    <row r="746" spans="1:6" ht="15" customHeight="1">
      <c r="A746" s="78" t="s">
        <v>11</v>
      </c>
      <c r="B746" s="78" t="s">
        <v>355</v>
      </c>
      <c r="C746" s="78"/>
      <c r="D746" s="78"/>
      <c r="E746" s="78"/>
      <c r="F746" s="9">
        <f>F747+F754+F755</f>
        <v>261.66076256</v>
      </c>
    </row>
    <row r="747" spans="1:6" ht="15" customHeight="1">
      <c r="A747" s="52" t="s">
        <v>386</v>
      </c>
      <c r="B747" s="78" t="s">
        <v>356</v>
      </c>
      <c r="C747" s="78"/>
      <c r="D747" s="78"/>
      <c r="E747" s="78"/>
      <c r="F747" s="9">
        <f>F748+F750</f>
        <v>246.84977600000002</v>
      </c>
    </row>
    <row r="748" spans="1:6" ht="15" customHeight="1">
      <c r="A748" s="52">
        <v>1</v>
      </c>
      <c r="B748" s="78" t="s">
        <v>358</v>
      </c>
      <c r="C748" s="78"/>
      <c r="D748" s="78"/>
      <c r="E748" s="78"/>
      <c r="F748" s="9">
        <f>F749</f>
        <v>115.39999999999999</v>
      </c>
    </row>
    <row r="749" spans="1:6" ht="15" customHeight="1">
      <c r="A749" s="78"/>
      <c r="B749" s="78" t="s">
        <v>358</v>
      </c>
      <c r="C749" s="78" t="s">
        <v>359</v>
      </c>
      <c r="D749" s="52">
        <v>20</v>
      </c>
      <c r="E749" s="52">
        <f>E730</f>
        <v>5.77</v>
      </c>
      <c r="F749" s="9">
        <f>D749*E749</f>
        <v>115.39999999999999</v>
      </c>
    </row>
    <row r="750" spans="1:6" ht="15" customHeight="1">
      <c r="A750" s="52">
        <v>2</v>
      </c>
      <c r="B750" s="78" t="s">
        <v>361</v>
      </c>
      <c r="C750" s="78"/>
      <c r="D750" s="78"/>
      <c r="E750" s="78"/>
      <c r="F750" s="9">
        <f>F752+F753</f>
        <v>131.449776</v>
      </c>
    </row>
    <row r="751" spans="1:6" ht="15" customHeight="1">
      <c r="A751" s="78"/>
      <c r="B751" s="82" t="s">
        <v>469</v>
      </c>
      <c r="C751" s="78" t="s">
        <v>388</v>
      </c>
      <c r="D751" s="52">
        <v>102</v>
      </c>
      <c r="E751" s="9">
        <f>'主要材料费'!D48</f>
        <v>30.5472</v>
      </c>
      <c r="F751" s="79"/>
    </row>
    <row r="752" spans="1:6" ht="15" customHeight="1">
      <c r="A752" s="78"/>
      <c r="B752" s="78" t="s">
        <v>389</v>
      </c>
      <c r="C752" s="52" t="s">
        <v>49</v>
      </c>
      <c r="D752" s="9">
        <v>1.5</v>
      </c>
      <c r="E752" s="52">
        <f>E733</f>
        <v>4.37</v>
      </c>
      <c r="F752" s="9">
        <f>D752*E752</f>
        <v>6.555</v>
      </c>
    </row>
    <row r="753" spans="1:6" ht="15" customHeight="1">
      <c r="A753" s="78"/>
      <c r="B753" s="78" t="s">
        <v>390</v>
      </c>
      <c r="C753" s="52" t="s">
        <v>83</v>
      </c>
      <c r="D753" s="52">
        <v>4</v>
      </c>
      <c r="E753" s="9">
        <f>(D751*E751)+F752</f>
        <v>3122.3694</v>
      </c>
      <c r="F753" s="9">
        <f>D753*E753/100</f>
        <v>124.89477600000001</v>
      </c>
    </row>
    <row r="754" spans="1:6" ht="15" customHeight="1">
      <c r="A754" s="52" t="s">
        <v>391</v>
      </c>
      <c r="B754" s="78" t="s">
        <v>368</v>
      </c>
      <c r="C754" s="52" t="s">
        <v>83</v>
      </c>
      <c r="D754" s="52">
        <v>2</v>
      </c>
      <c r="E754" s="78"/>
      <c r="F754" s="9">
        <f>D754*F747/100</f>
        <v>4.93699552</v>
      </c>
    </row>
    <row r="755" spans="1:6" ht="15" customHeight="1">
      <c r="A755" s="52" t="s">
        <v>392</v>
      </c>
      <c r="B755" s="78" t="s">
        <v>369</v>
      </c>
      <c r="C755" s="52" t="s">
        <v>83</v>
      </c>
      <c r="D755" s="52">
        <v>4</v>
      </c>
      <c r="E755" s="78"/>
      <c r="F755" s="9">
        <f>D755*F747/100</f>
        <v>9.87399104</v>
      </c>
    </row>
    <row r="756" spans="1:6" ht="15" customHeight="1">
      <c r="A756" s="78" t="s">
        <v>21</v>
      </c>
      <c r="B756" s="78" t="s">
        <v>370</v>
      </c>
      <c r="C756" s="52" t="s">
        <v>83</v>
      </c>
      <c r="D756" s="52">
        <v>3</v>
      </c>
      <c r="E756" s="78"/>
      <c r="F756" s="9">
        <f>D756*F746/100</f>
        <v>7.849822876800001</v>
      </c>
    </row>
    <row r="757" spans="1:6" ht="15" customHeight="1">
      <c r="A757" s="78" t="s">
        <v>250</v>
      </c>
      <c r="B757" s="78" t="s">
        <v>371</v>
      </c>
      <c r="C757" s="52" t="s">
        <v>83</v>
      </c>
      <c r="D757" s="52">
        <v>5</v>
      </c>
      <c r="E757" s="78"/>
      <c r="F757" s="9">
        <f>D757*(F756+F746)/100</f>
        <v>13.475529271840001</v>
      </c>
    </row>
    <row r="758" spans="1:6" ht="15" customHeight="1">
      <c r="A758" s="78" t="s">
        <v>372</v>
      </c>
      <c r="B758" s="78" t="s">
        <v>373</v>
      </c>
      <c r="C758" s="52" t="s">
        <v>83</v>
      </c>
      <c r="D758" s="52">
        <v>9</v>
      </c>
      <c r="E758" s="78"/>
      <c r="F758" s="9">
        <f>D758*(F746+F756+F757)/100</f>
        <v>25.4687503237776</v>
      </c>
    </row>
    <row r="759" spans="1:6" ht="15" customHeight="1">
      <c r="A759" s="78" t="s">
        <v>393</v>
      </c>
      <c r="B759" s="78"/>
      <c r="C759" s="78"/>
      <c r="D759" s="78"/>
      <c r="E759" s="78"/>
      <c r="F759" s="9">
        <f>F746+F756+F757+F758</f>
        <v>308.4548650324176</v>
      </c>
    </row>
    <row r="760" spans="1:6" ht="15" customHeight="1">
      <c r="A760" s="80"/>
      <c r="B760" s="31"/>
      <c r="C760" s="31"/>
      <c r="D760" s="81"/>
      <c r="E760" s="81"/>
      <c r="F760" s="81"/>
    </row>
    <row r="761" spans="1:6" ht="15" customHeight="1">
      <c r="A761" s="74" t="s">
        <v>470</v>
      </c>
      <c r="B761" s="75"/>
      <c r="C761" s="75"/>
      <c r="D761" s="75"/>
      <c r="E761" s="75"/>
      <c r="F761" s="75"/>
    </row>
    <row r="762" spans="1:6" ht="15" customHeight="1">
      <c r="A762" s="76" t="s">
        <v>471</v>
      </c>
      <c r="B762" s="76"/>
      <c r="C762" s="76"/>
      <c r="D762" s="76"/>
      <c r="E762" s="77" t="s">
        <v>472</v>
      </c>
      <c r="F762" s="77"/>
    </row>
    <row r="763" spans="1:6" ht="15" customHeight="1">
      <c r="A763" s="76" t="s">
        <v>383</v>
      </c>
      <c r="B763" s="76"/>
      <c r="C763" s="76"/>
      <c r="D763" s="76"/>
      <c r="E763" s="76"/>
      <c r="F763" s="76"/>
    </row>
    <row r="764" spans="1:6" ht="15" customHeight="1">
      <c r="A764" s="1" t="s">
        <v>349</v>
      </c>
      <c r="B764" s="1" t="s">
        <v>384</v>
      </c>
      <c r="C764" s="1" t="s">
        <v>351</v>
      </c>
      <c r="D764" s="1" t="s">
        <v>352</v>
      </c>
      <c r="E764" s="1" t="s">
        <v>353</v>
      </c>
      <c r="F764" s="1" t="s">
        <v>385</v>
      </c>
    </row>
    <row r="765" spans="1:6" ht="15" customHeight="1">
      <c r="A765" s="78" t="s">
        <v>11</v>
      </c>
      <c r="B765" s="78" t="s">
        <v>355</v>
      </c>
      <c r="C765" s="78"/>
      <c r="D765" s="78"/>
      <c r="E765" s="78"/>
      <c r="F765" s="9">
        <f>F766+F773+F774</f>
        <v>523.0251999999999</v>
      </c>
    </row>
    <row r="766" spans="1:6" ht="15" customHeight="1">
      <c r="A766" s="52" t="s">
        <v>386</v>
      </c>
      <c r="B766" s="78" t="s">
        <v>356</v>
      </c>
      <c r="C766" s="78"/>
      <c r="D766" s="78"/>
      <c r="E766" s="78"/>
      <c r="F766" s="9">
        <f>F767+F769</f>
        <v>493.41999999999996</v>
      </c>
    </row>
    <row r="767" spans="1:6" ht="15" customHeight="1">
      <c r="A767" s="52">
        <v>1</v>
      </c>
      <c r="B767" s="78" t="s">
        <v>358</v>
      </c>
      <c r="C767" s="78"/>
      <c r="D767" s="78"/>
      <c r="E767" s="78"/>
      <c r="F767" s="9">
        <f>F768</f>
        <v>415.43999999999994</v>
      </c>
    </row>
    <row r="768" spans="1:6" ht="15" customHeight="1">
      <c r="A768" s="78"/>
      <c r="B768" s="78" t="s">
        <v>358</v>
      </c>
      <c r="C768" s="78" t="s">
        <v>359</v>
      </c>
      <c r="D768" s="52">
        <v>72</v>
      </c>
      <c r="E768" s="52">
        <f>E749</f>
        <v>5.77</v>
      </c>
      <c r="F768" s="9">
        <f>D768*E768</f>
        <v>415.43999999999994</v>
      </c>
    </row>
    <row r="769" spans="1:6" ht="15" customHeight="1">
      <c r="A769" s="52">
        <v>2</v>
      </c>
      <c r="B769" s="78" t="s">
        <v>361</v>
      </c>
      <c r="C769" s="78"/>
      <c r="D769" s="78"/>
      <c r="E769" s="78"/>
      <c r="F769" s="9">
        <f>F771+F772</f>
        <v>77.98</v>
      </c>
    </row>
    <row r="770" spans="1:6" ht="15" customHeight="1">
      <c r="A770" s="78"/>
      <c r="B770" s="82" t="s">
        <v>473</v>
      </c>
      <c r="C770" s="78" t="s">
        <v>388</v>
      </c>
      <c r="D770" s="52">
        <v>2500</v>
      </c>
      <c r="E770" s="9">
        <f>'主要材料费'!D49</f>
        <v>1.0212</v>
      </c>
      <c r="F770" s="79"/>
    </row>
    <row r="771" spans="1:6" ht="15" customHeight="1">
      <c r="A771" s="78"/>
      <c r="B771" s="78" t="s">
        <v>389</v>
      </c>
      <c r="C771" s="52" t="s">
        <v>49</v>
      </c>
      <c r="D771" s="9">
        <v>4</v>
      </c>
      <c r="E771" s="52">
        <f>E752</f>
        <v>4.37</v>
      </c>
      <c r="F771" s="9">
        <f>D771*E771</f>
        <v>17.48</v>
      </c>
    </row>
    <row r="772" spans="1:6" ht="15" customHeight="1">
      <c r="A772" s="78"/>
      <c r="B772" s="78" t="s">
        <v>474</v>
      </c>
      <c r="C772" s="52" t="s">
        <v>83</v>
      </c>
      <c r="D772" s="52">
        <v>1.25</v>
      </c>
      <c r="E772" s="9">
        <f>'主要材料费'!D10</f>
        <v>48.4</v>
      </c>
      <c r="F772" s="9">
        <f>D772*E772</f>
        <v>60.5</v>
      </c>
    </row>
    <row r="773" spans="1:6" ht="15" customHeight="1">
      <c r="A773" s="52" t="s">
        <v>391</v>
      </c>
      <c r="B773" s="78" t="s">
        <v>368</v>
      </c>
      <c r="C773" s="52" t="s">
        <v>83</v>
      </c>
      <c r="D773" s="52">
        <v>2</v>
      </c>
      <c r="E773" s="78"/>
      <c r="F773" s="9">
        <f>D773*F766/100</f>
        <v>9.8684</v>
      </c>
    </row>
    <row r="774" spans="1:6" ht="15" customHeight="1">
      <c r="A774" s="52" t="s">
        <v>392</v>
      </c>
      <c r="B774" s="78" t="s">
        <v>369</v>
      </c>
      <c r="C774" s="52" t="s">
        <v>83</v>
      </c>
      <c r="D774" s="52">
        <v>4</v>
      </c>
      <c r="E774" s="78"/>
      <c r="F774" s="9">
        <f>D774*F766/100</f>
        <v>19.7368</v>
      </c>
    </row>
    <row r="775" spans="1:6" ht="15" customHeight="1">
      <c r="A775" s="78" t="s">
        <v>21</v>
      </c>
      <c r="B775" s="78" t="s">
        <v>370</v>
      </c>
      <c r="C775" s="52" t="s">
        <v>83</v>
      </c>
      <c r="D775" s="52">
        <v>3</v>
      </c>
      <c r="E775" s="78"/>
      <c r="F775" s="9">
        <f>D775*F765/100</f>
        <v>15.690755999999997</v>
      </c>
    </row>
    <row r="776" spans="1:6" ht="15" customHeight="1">
      <c r="A776" s="78" t="s">
        <v>250</v>
      </c>
      <c r="B776" s="78" t="s">
        <v>371</v>
      </c>
      <c r="C776" s="52" t="s">
        <v>83</v>
      </c>
      <c r="D776" s="52">
        <v>5</v>
      </c>
      <c r="E776" s="78"/>
      <c r="F776" s="9">
        <f>D776*(F775+F765)/100</f>
        <v>26.935797799999996</v>
      </c>
    </row>
    <row r="777" spans="1:6" ht="15" customHeight="1">
      <c r="A777" s="78" t="s">
        <v>372</v>
      </c>
      <c r="B777" s="78" t="s">
        <v>373</v>
      </c>
      <c r="C777" s="52" t="s">
        <v>83</v>
      </c>
      <c r="D777" s="52">
        <v>9</v>
      </c>
      <c r="E777" s="78"/>
      <c r="F777" s="9">
        <f>D777*(F765+F775+F776)/100</f>
        <v>50.908657842</v>
      </c>
    </row>
    <row r="778" spans="1:6" ht="15" customHeight="1">
      <c r="A778" s="78" t="s">
        <v>393</v>
      </c>
      <c r="B778" s="78"/>
      <c r="C778" s="78"/>
      <c r="D778" s="78"/>
      <c r="E778" s="78"/>
      <c r="F778" s="9">
        <f>F765+F775+F776+F777</f>
        <v>616.560411642</v>
      </c>
    </row>
    <row r="779" spans="1:6" ht="15" customHeight="1">
      <c r="A779" s="80"/>
      <c r="B779" s="31"/>
      <c r="C779" s="31"/>
      <c r="D779" s="81"/>
      <c r="E779" s="81"/>
      <c r="F779" s="81"/>
    </row>
    <row r="780" spans="1:6" ht="15" customHeight="1">
      <c r="A780" s="74" t="s">
        <v>475</v>
      </c>
      <c r="B780" s="75"/>
      <c r="C780" s="75"/>
      <c r="D780" s="75"/>
      <c r="E780" s="75"/>
      <c r="F780" s="75"/>
    </row>
    <row r="781" spans="1:6" ht="15" customHeight="1">
      <c r="A781" s="76" t="s">
        <v>471</v>
      </c>
      <c r="B781" s="76"/>
      <c r="C781" s="76"/>
      <c r="D781" s="76"/>
      <c r="E781" s="77" t="s">
        <v>472</v>
      </c>
      <c r="F781" s="77"/>
    </row>
    <row r="782" spans="1:6" ht="15" customHeight="1">
      <c r="A782" s="76" t="s">
        <v>383</v>
      </c>
      <c r="B782" s="76"/>
      <c r="C782" s="76"/>
      <c r="D782" s="76"/>
      <c r="E782" s="76"/>
      <c r="F782" s="76"/>
    </row>
    <row r="783" spans="1:6" ht="15" customHeight="1">
      <c r="A783" s="1" t="s">
        <v>349</v>
      </c>
      <c r="B783" s="1" t="s">
        <v>384</v>
      </c>
      <c r="C783" s="1" t="s">
        <v>351</v>
      </c>
      <c r="D783" s="1" t="s">
        <v>352</v>
      </c>
      <c r="E783" s="1" t="s">
        <v>353</v>
      </c>
      <c r="F783" s="1" t="s">
        <v>385</v>
      </c>
    </row>
    <row r="784" spans="1:6" ht="15" customHeight="1">
      <c r="A784" s="78" t="s">
        <v>11</v>
      </c>
      <c r="B784" s="78" t="s">
        <v>355</v>
      </c>
      <c r="C784" s="78"/>
      <c r="D784" s="78"/>
      <c r="E784" s="78"/>
      <c r="F784" s="9">
        <f>F785+F792+F793</f>
        <v>523.0251999999999</v>
      </c>
    </row>
    <row r="785" spans="1:6" ht="15" customHeight="1">
      <c r="A785" s="52" t="s">
        <v>386</v>
      </c>
      <c r="B785" s="78" t="s">
        <v>356</v>
      </c>
      <c r="C785" s="78"/>
      <c r="D785" s="78"/>
      <c r="E785" s="78"/>
      <c r="F785" s="9">
        <f>F786+F788</f>
        <v>493.41999999999996</v>
      </c>
    </row>
    <row r="786" spans="1:6" ht="15" customHeight="1">
      <c r="A786" s="52">
        <v>1</v>
      </c>
      <c r="B786" s="78" t="s">
        <v>358</v>
      </c>
      <c r="C786" s="78"/>
      <c r="D786" s="78"/>
      <c r="E786" s="78"/>
      <c r="F786" s="9">
        <f>F787</f>
        <v>415.43999999999994</v>
      </c>
    </row>
    <row r="787" spans="1:6" ht="15" customHeight="1">
      <c r="A787" s="78"/>
      <c r="B787" s="78" t="s">
        <v>358</v>
      </c>
      <c r="C787" s="78" t="s">
        <v>359</v>
      </c>
      <c r="D787" s="52">
        <v>72</v>
      </c>
      <c r="E787" s="52">
        <f>E768</f>
        <v>5.77</v>
      </c>
      <c r="F787" s="9">
        <f aca="true" t="shared" si="0" ref="F787:F791">D787*E787</f>
        <v>415.43999999999994</v>
      </c>
    </row>
    <row r="788" spans="1:6" ht="15" customHeight="1">
      <c r="A788" s="52">
        <v>2</v>
      </c>
      <c r="B788" s="78" t="s">
        <v>361</v>
      </c>
      <c r="C788" s="78"/>
      <c r="D788" s="78"/>
      <c r="E788" s="78"/>
      <c r="F788" s="9">
        <f>F790+F791</f>
        <v>77.98</v>
      </c>
    </row>
    <row r="789" spans="1:6" ht="15" customHeight="1">
      <c r="A789" s="78"/>
      <c r="B789" s="82" t="s">
        <v>476</v>
      </c>
      <c r="C789" s="78" t="s">
        <v>388</v>
      </c>
      <c r="D789" s="52">
        <v>2500</v>
      </c>
      <c r="E789" s="9">
        <f>'主要材料费'!D50</f>
        <v>2.5419</v>
      </c>
      <c r="F789" s="79"/>
    </row>
    <row r="790" spans="1:6" ht="15" customHeight="1">
      <c r="A790" s="78"/>
      <c r="B790" s="78" t="s">
        <v>389</v>
      </c>
      <c r="C790" s="52" t="s">
        <v>49</v>
      </c>
      <c r="D790" s="9">
        <v>4</v>
      </c>
      <c r="E790" s="52">
        <f>E771</f>
        <v>4.37</v>
      </c>
      <c r="F790" s="9">
        <f t="shared" si="0"/>
        <v>17.48</v>
      </c>
    </row>
    <row r="791" spans="1:6" ht="15" customHeight="1">
      <c r="A791" s="78"/>
      <c r="B791" s="78" t="s">
        <v>474</v>
      </c>
      <c r="C791" s="52" t="s">
        <v>83</v>
      </c>
      <c r="D791" s="52">
        <v>1.25</v>
      </c>
      <c r="E791" s="9">
        <f>E772</f>
        <v>48.4</v>
      </c>
      <c r="F791" s="9">
        <f t="shared" si="0"/>
        <v>60.5</v>
      </c>
    </row>
    <row r="792" spans="1:6" ht="15" customHeight="1">
      <c r="A792" s="52" t="s">
        <v>391</v>
      </c>
      <c r="B792" s="78" t="s">
        <v>368</v>
      </c>
      <c r="C792" s="52" t="s">
        <v>83</v>
      </c>
      <c r="D792" s="52">
        <v>2</v>
      </c>
      <c r="E792" s="78"/>
      <c r="F792" s="9">
        <f>D792*F785/100</f>
        <v>9.8684</v>
      </c>
    </row>
    <row r="793" spans="1:6" ht="15" customHeight="1">
      <c r="A793" s="52" t="s">
        <v>392</v>
      </c>
      <c r="B793" s="78" t="s">
        <v>369</v>
      </c>
      <c r="C793" s="52" t="s">
        <v>83</v>
      </c>
      <c r="D793" s="52">
        <v>4</v>
      </c>
      <c r="E793" s="78"/>
      <c r="F793" s="9">
        <f>D793*F785/100</f>
        <v>19.7368</v>
      </c>
    </row>
    <row r="794" spans="1:6" ht="15" customHeight="1">
      <c r="A794" s="78" t="s">
        <v>21</v>
      </c>
      <c r="B794" s="78" t="s">
        <v>370</v>
      </c>
      <c r="C794" s="52" t="s">
        <v>83</v>
      </c>
      <c r="D794" s="52">
        <v>3</v>
      </c>
      <c r="E794" s="78"/>
      <c r="F794" s="9">
        <f>D794*F784/100</f>
        <v>15.690755999999997</v>
      </c>
    </row>
    <row r="795" spans="1:6" ht="15" customHeight="1">
      <c r="A795" s="78" t="s">
        <v>250</v>
      </c>
      <c r="B795" s="78" t="s">
        <v>371</v>
      </c>
      <c r="C795" s="52" t="s">
        <v>83</v>
      </c>
      <c r="D795" s="52">
        <v>5</v>
      </c>
      <c r="E795" s="78"/>
      <c r="F795" s="9">
        <f>D795*(F794+F784)/100</f>
        <v>26.935797799999996</v>
      </c>
    </row>
    <row r="796" spans="1:6" ht="15" customHeight="1">
      <c r="A796" s="78" t="s">
        <v>372</v>
      </c>
      <c r="B796" s="78" t="s">
        <v>373</v>
      </c>
      <c r="C796" s="52" t="s">
        <v>83</v>
      </c>
      <c r="D796" s="52">
        <v>9</v>
      </c>
      <c r="E796" s="78"/>
      <c r="F796" s="9">
        <f>D796*(F784+F794+F795)/100</f>
        <v>50.908657842</v>
      </c>
    </row>
    <row r="797" spans="1:6" ht="15" customHeight="1">
      <c r="A797" s="78" t="s">
        <v>393</v>
      </c>
      <c r="B797" s="78"/>
      <c r="C797" s="78"/>
      <c r="D797" s="78"/>
      <c r="E797" s="78"/>
      <c r="F797" s="9">
        <f>F784+F794+F795+F796</f>
        <v>616.560411642</v>
      </c>
    </row>
    <row r="798" spans="1:6" ht="15" customHeight="1">
      <c r="A798" s="80"/>
      <c r="B798" s="31"/>
      <c r="C798" s="31"/>
      <c r="D798" s="81"/>
      <c r="E798" s="81"/>
      <c r="F798" s="81"/>
    </row>
    <row r="799" spans="1:6" ht="15" customHeight="1">
      <c r="A799" s="74" t="s">
        <v>477</v>
      </c>
      <c r="B799" s="75"/>
      <c r="C799" s="75"/>
      <c r="D799" s="75"/>
      <c r="E799" s="75"/>
      <c r="F799" s="75"/>
    </row>
    <row r="800" spans="1:6" ht="15" customHeight="1">
      <c r="A800" s="76" t="s">
        <v>471</v>
      </c>
      <c r="B800" s="76"/>
      <c r="C800" s="76"/>
      <c r="D800" s="76"/>
      <c r="E800" s="77" t="s">
        <v>472</v>
      </c>
      <c r="F800" s="77"/>
    </row>
    <row r="801" spans="1:6" ht="15" customHeight="1">
      <c r="A801" s="76" t="s">
        <v>383</v>
      </c>
      <c r="B801" s="76"/>
      <c r="C801" s="76"/>
      <c r="D801" s="76"/>
      <c r="E801" s="76"/>
      <c r="F801" s="76"/>
    </row>
    <row r="802" spans="1:6" ht="15" customHeight="1">
      <c r="A802" s="1" t="s">
        <v>349</v>
      </c>
      <c r="B802" s="1" t="s">
        <v>384</v>
      </c>
      <c r="C802" s="1" t="s">
        <v>351</v>
      </c>
      <c r="D802" s="1" t="s">
        <v>352</v>
      </c>
      <c r="E802" s="1" t="s">
        <v>353</v>
      </c>
      <c r="F802" s="1" t="s">
        <v>385</v>
      </c>
    </row>
    <row r="803" spans="1:6" ht="15" customHeight="1">
      <c r="A803" s="78" t="s">
        <v>11</v>
      </c>
      <c r="B803" s="78" t="s">
        <v>355</v>
      </c>
      <c r="C803" s="78"/>
      <c r="D803" s="78"/>
      <c r="E803" s="78"/>
      <c r="F803" s="9">
        <f>F804+F811+F812</f>
        <v>523.0251999999999</v>
      </c>
    </row>
    <row r="804" spans="1:6" ht="15" customHeight="1">
      <c r="A804" s="52" t="s">
        <v>386</v>
      </c>
      <c r="B804" s="78" t="s">
        <v>356</v>
      </c>
      <c r="C804" s="78"/>
      <c r="D804" s="78"/>
      <c r="E804" s="78"/>
      <c r="F804" s="9">
        <f>F805+F807</f>
        <v>493.41999999999996</v>
      </c>
    </row>
    <row r="805" spans="1:6" ht="15" customHeight="1">
      <c r="A805" s="52">
        <v>1</v>
      </c>
      <c r="B805" s="78" t="s">
        <v>358</v>
      </c>
      <c r="C805" s="78"/>
      <c r="D805" s="78"/>
      <c r="E805" s="78"/>
      <c r="F805" s="9">
        <f>F806</f>
        <v>415.43999999999994</v>
      </c>
    </row>
    <row r="806" spans="1:6" ht="15" customHeight="1">
      <c r="A806" s="78"/>
      <c r="B806" s="78" t="s">
        <v>358</v>
      </c>
      <c r="C806" s="78" t="s">
        <v>359</v>
      </c>
      <c r="D806" s="52">
        <v>72</v>
      </c>
      <c r="E806" s="52">
        <f>E787</f>
        <v>5.77</v>
      </c>
      <c r="F806" s="9">
        <f aca="true" t="shared" si="1" ref="F806:F810">D806*E806</f>
        <v>415.43999999999994</v>
      </c>
    </row>
    <row r="807" spans="1:6" ht="15" customHeight="1">
      <c r="A807" s="52">
        <v>2</v>
      </c>
      <c r="B807" s="78" t="s">
        <v>361</v>
      </c>
      <c r="C807" s="78"/>
      <c r="D807" s="78"/>
      <c r="E807" s="78"/>
      <c r="F807" s="9">
        <f>F809+F810</f>
        <v>77.98</v>
      </c>
    </row>
    <row r="808" spans="1:6" ht="15" customHeight="1">
      <c r="A808" s="78"/>
      <c r="B808" s="82" t="s">
        <v>478</v>
      </c>
      <c r="C808" s="78" t="s">
        <v>388</v>
      </c>
      <c r="D808" s="52">
        <v>2500</v>
      </c>
      <c r="E808" s="9">
        <f>'主要材料费'!D51</f>
        <v>2.5419</v>
      </c>
      <c r="F808" s="79"/>
    </row>
    <row r="809" spans="1:6" ht="15" customHeight="1">
      <c r="A809" s="78"/>
      <c r="B809" s="78" t="s">
        <v>389</v>
      </c>
      <c r="C809" s="52" t="s">
        <v>49</v>
      </c>
      <c r="D809" s="9">
        <v>4</v>
      </c>
      <c r="E809" s="52">
        <f>E790</f>
        <v>4.37</v>
      </c>
      <c r="F809" s="9">
        <f t="shared" si="1"/>
        <v>17.48</v>
      </c>
    </row>
    <row r="810" spans="1:6" ht="15" customHeight="1">
      <c r="A810" s="78"/>
      <c r="B810" s="78" t="s">
        <v>474</v>
      </c>
      <c r="C810" s="52" t="s">
        <v>83</v>
      </c>
      <c r="D810" s="52">
        <v>1.25</v>
      </c>
      <c r="E810" s="9">
        <f>E791</f>
        <v>48.4</v>
      </c>
      <c r="F810" s="9">
        <f t="shared" si="1"/>
        <v>60.5</v>
      </c>
    </row>
    <row r="811" spans="1:6" ht="15" customHeight="1">
      <c r="A811" s="52" t="s">
        <v>391</v>
      </c>
      <c r="B811" s="78" t="s">
        <v>368</v>
      </c>
      <c r="C811" s="52" t="s">
        <v>83</v>
      </c>
      <c r="D811" s="52">
        <v>2</v>
      </c>
      <c r="E811" s="78"/>
      <c r="F811" s="9">
        <f>D811*F804/100</f>
        <v>9.8684</v>
      </c>
    </row>
    <row r="812" spans="1:6" ht="15" customHeight="1">
      <c r="A812" s="52" t="s">
        <v>392</v>
      </c>
      <c r="B812" s="78" t="s">
        <v>369</v>
      </c>
      <c r="C812" s="52" t="s">
        <v>83</v>
      </c>
      <c r="D812" s="52">
        <v>4</v>
      </c>
      <c r="E812" s="78"/>
      <c r="F812" s="9">
        <f>D812*F804/100</f>
        <v>19.7368</v>
      </c>
    </row>
    <row r="813" spans="1:6" ht="15" customHeight="1">
      <c r="A813" s="78" t="s">
        <v>21</v>
      </c>
      <c r="B813" s="78" t="s">
        <v>370</v>
      </c>
      <c r="C813" s="52" t="s">
        <v>83</v>
      </c>
      <c r="D813" s="52">
        <v>3</v>
      </c>
      <c r="E813" s="78"/>
      <c r="F813" s="9">
        <f>D813*F803/100</f>
        <v>15.690755999999997</v>
      </c>
    </row>
    <row r="814" spans="1:6" ht="15" customHeight="1">
      <c r="A814" s="78" t="s">
        <v>250</v>
      </c>
      <c r="B814" s="78" t="s">
        <v>371</v>
      </c>
      <c r="C814" s="52" t="s">
        <v>83</v>
      </c>
      <c r="D814" s="52">
        <v>5</v>
      </c>
      <c r="E814" s="78"/>
      <c r="F814" s="9">
        <f>D814*(F813+F803)/100</f>
        <v>26.935797799999996</v>
      </c>
    </row>
    <row r="815" spans="1:6" ht="15" customHeight="1">
      <c r="A815" s="78" t="s">
        <v>372</v>
      </c>
      <c r="B815" s="78" t="s">
        <v>373</v>
      </c>
      <c r="C815" s="52" t="s">
        <v>83</v>
      </c>
      <c r="D815" s="52">
        <v>9</v>
      </c>
      <c r="E815" s="78"/>
      <c r="F815" s="9">
        <f>D815*(F803+F813+F814)/100</f>
        <v>50.908657842</v>
      </c>
    </row>
    <row r="816" spans="1:6" ht="15" customHeight="1">
      <c r="A816" s="78" t="s">
        <v>393</v>
      </c>
      <c r="B816" s="78"/>
      <c r="C816" s="78"/>
      <c r="D816" s="78"/>
      <c r="E816" s="78"/>
      <c r="F816" s="9">
        <f>F803+F813+F814+F815</f>
        <v>616.560411642</v>
      </c>
    </row>
    <row r="817" spans="1:6" ht="15" customHeight="1">
      <c r="A817" s="80"/>
      <c r="B817" s="31"/>
      <c r="C817" s="31"/>
      <c r="D817" s="81"/>
      <c r="E817" s="81"/>
      <c r="F817" s="81"/>
    </row>
    <row r="818" spans="1:6" ht="15" customHeight="1">
      <c r="A818" s="74" t="s">
        <v>479</v>
      </c>
      <c r="B818" s="75"/>
      <c r="C818" s="75"/>
      <c r="D818" s="75"/>
      <c r="E818" s="75"/>
      <c r="F818" s="75"/>
    </row>
    <row r="819" spans="1:6" ht="15" customHeight="1">
      <c r="A819" s="76" t="s">
        <v>471</v>
      </c>
      <c r="B819" s="76"/>
      <c r="C819" s="76"/>
      <c r="D819" s="76"/>
      <c r="E819" s="77" t="s">
        <v>472</v>
      </c>
      <c r="F819" s="77"/>
    </row>
    <row r="820" spans="1:6" ht="15" customHeight="1">
      <c r="A820" s="76" t="s">
        <v>383</v>
      </c>
      <c r="B820" s="76"/>
      <c r="C820" s="76"/>
      <c r="D820" s="76"/>
      <c r="E820" s="76"/>
      <c r="F820" s="76"/>
    </row>
    <row r="821" spans="1:6" ht="15" customHeight="1">
      <c r="A821" s="1" t="s">
        <v>349</v>
      </c>
      <c r="B821" s="1" t="s">
        <v>384</v>
      </c>
      <c r="C821" s="1" t="s">
        <v>351</v>
      </c>
      <c r="D821" s="1" t="s">
        <v>352</v>
      </c>
      <c r="E821" s="1" t="s">
        <v>353</v>
      </c>
      <c r="F821" s="1" t="s">
        <v>385</v>
      </c>
    </row>
    <row r="822" spans="1:6" ht="15" customHeight="1">
      <c r="A822" s="78" t="s">
        <v>11</v>
      </c>
      <c r="B822" s="78" t="s">
        <v>355</v>
      </c>
      <c r="C822" s="78"/>
      <c r="D822" s="78"/>
      <c r="E822" s="78"/>
      <c r="F822" s="9">
        <f>F823+F830+F831</f>
        <v>523.0251999999999</v>
      </c>
    </row>
    <row r="823" spans="1:6" ht="15" customHeight="1">
      <c r="A823" s="52" t="s">
        <v>386</v>
      </c>
      <c r="B823" s="78" t="s">
        <v>356</v>
      </c>
      <c r="C823" s="78"/>
      <c r="D823" s="78"/>
      <c r="E823" s="78"/>
      <c r="F823" s="9">
        <f>F824+F826</f>
        <v>493.41999999999996</v>
      </c>
    </row>
    <row r="824" spans="1:6" ht="15" customHeight="1">
      <c r="A824" s="52">
        <v>1</v>
      </c>
      <c r="B824" s="78" t="s">
        <v>358</v>
      </c>
      <c r="C824" s="78"/>
      <c r="D824" s="78"/>
      <c r="E824" s="78"/>
      <c r="F824" s="9">
        <f>F825</f>
        <v>415.43999999999994</v>
      </c>
    </row>
    <row r="825" spans="1:6" ht="15" customHeight="1">
      <c r="A825" s="78"/>
      <c r="B825" s="78" t="s">
        <v>358</v>
      </c>
      <c r="C825" s="78" t="s">
        <v>359</v>
      </c>
      <c r="D825" s="52">
        <v>72</v>
      </c>
      <c r="E825" s="52">
        <f>E806</f>
        <v>5.77</v>
      </c>
      <c r="F825" s="9">
        <f aca="true" t="shared" si="2" ref="F825:F829">D825*E825</f>
        <v>415.43999999999994</v>
      </c>
    </row>
    <row r="826" spans="1:6" ht="15" customHeight="1">
      <c r="A826" s="52">
        <v>2</v>
      </c>
      <c r="B826" s="78" t="s">
        <v>361</v>
      </c>
      <c r="C826" s="78"/>
      <c r="D826" s="78"/>
      <c r="E826" s="78"/>
      <c r="F826" s="9">
        <f>F828+F829</f>
        <v>77.98</v>
      </c>
    </row>
    <row r="827" spans="1:6" ht="15" customHeight="1">
      <c r="A827" s="78"/>
      <c r="B827" s="82" t="s">
        <v>480</v>
      </c>
      <c r="C827" s="78" t="s">
        <v>388</v>
      </c>
      <c r="D827" s="52">
        <v>2500</v>
      </c>
      <c r="E827" s="9">
        <f>'主要材料费'!D52</f>
        <v>2.0313</v>
      </c>
      <c r="F827" s="79"/>
    </row>
    <row r="828" spans="1:6" ht="15" customHeight="1">
      <c r="A828" s="78"/>
      <c r="B828" s="78" t="s">
        <v>389</v>
      </c>
      <c r="C828" s="52" t="s">
        <v>49</v>
      </c>
      <c r="D828" s="9">
        <v>4</v>
      </c>
      <c r="E828" s="52">
        <f>E809</f>
        <v>4.37</v>
      </c>
      <c r="F828" s="9">
        <f t="shared" si="2"/>
        <v>17.48</v>
      </c>
    </row>
    <row r="829" spans="1:6" ht="15" customHeight="1">
      <c r="A829" s="78"/>
      <c r="B829" s="78" t="s">
        <v>474</v>
      </c>
      <c r="C829" s="52" t="s">
        <v>83</v>
      </c>
      <c r="D829" s="52">
        <v>1.25</v>
      </c>
      <c r="E829" s="9">
        <f>E810</f>
        <v>48.4</v>
      </c>
      <c r="F829" s="9">
        <f t="shared" si="2"/>
        <v>60.5</v>
      </c>
    </row>
    <row r="830" spans="1:6" ht="15" customHeight="1">
      <c r="A830" s="52" t="s">
        <v>391</v>
      </c>
      <c r="B830" s="78" t="s">
        <v>368</v>
      </c>
      <c r="C830" s="52" t="s">
        <v>83</v>
      </c>
      <c r="D830" s="52">
        <v>2</v>
      </c>
      <c r="E830" s="78"/>
      <c r="F830" s="9">
        <f>D830*F823/100</f>
        <v>9.8684</v>
      </c>
    </row>
    <row r="831" spans="1:6" ht="15" customHeight="1">
      <c r="A831" s="52" t="s">
        <v>392</v>
      </c>
      <c r="B831" s="78" t="s">
        <v>369</v>
      </c>
      <c r="C831" s="52" t="s">
        <v>83</v>
      </c>
      <c r="D831" s="52">
        <v>4</v>
      </c>
      <c r="E831" s="78"/>
      <c r="F831" s="9">
        <f>D831*F823/100</f>
        <v>19.7368</v>
      </c>
    </row>
    <row r="832" spans="1:6" ht="15" customHeight="1">
      <c r="A832" s="78" t="s">
        <v>21</v>
      </c>
      <c r="B832" s="78" t="s">
        <v>370</v>
      </c>
      <c r="C832" s="52" t="s">
        <v>83</v>
      </c>
      <c r="D832" s="52">
        <v>3</v>
      </c>
      <c r="E832" s="78"/>
      <c r="F832" s="9">
        <f>D832*F822/100</f>
        <v>15.690755999999997</v>
      </c>
    </row>
    <row r="833" spans="1:6" ht="15" customHeight="1">
      <c r="A833" s="78" t="s">
        <v>250</v>
      </c>
      <c r="B833" s="78" t="s">
        <v>371</v>
      </c>
      <c r="C833" s="52" t="s">
        <v>83</v>
      </c>
      <c r="D833" s="52">
        <v>5</v>
      </c>
      <c r="E833" s="78"/>
      <c r="F833" s="9">
        <f>D833*(F832+F822)/100</f>
        <v>26.935797799999996</v>
      </c>
    </row>
    <row r="834" spans="1:6" ht="15" customHeight="1">
      <c r="A834" s="78" t="s">
        <v>372</v>
      </c>
      <c r="B834" s="78" t="s">
        <v>373</v>
      </c>
      <c r="C834" s="52" t="s">
        <v>83</v>
      </c>
      <c r="D834" s="52">
        <v>9</v>
      </c>
      <c r="E834" s="78"/>
      <c r="F834" s="9">
        <f>D834*(F822+F832+F833)/100</f>
        <v>50.908657842</v>
      </c>
    </row>
    <row r="835" spans="1:6" ht="15" customHeight="1">
      <c r="A835" s="78" t="s">
        <v>393</v>
      </c>
      <c r="B835" s="78"/>
      <c r="C835" s="78"/>
      <c r="D835" s="78"/>
      <c r="E835" s="78"/>
      <c r="F835" s="9">
        <f>F822+F832+F833+F834</f>
        <v>616.560411642</v>
      </c>
    </row>
    <row r="836" spans="1:6" ht="15" customHeight="1">
      <c r="A836" s="80"/>
      <c r="B836" s="31"/>
      <c r="C836" s="31"/>
      <c r="D836" s="81"/>
      <c r="E836" s="81"/>
      <c r="F836" s="81"/>
    </row>
    <row r="837" spans="1:6" ht="15" customHeight="1">
      <c r="A837" s="74" t="s">
        <v>481</v>
      </c>
      <c r="B837" s="75"/>
      <c r="C837" s="75"/>
      <c r="D837" s="75"/>
      <c r="E837" s="75"/>
      <c r="F837" s="75"/>
    </row>
    <row r="838" spans="1:6" ht="15" customHeight="1">
      <c r="A838" s="76" t="s">
        <v>471</v>
      </c>
      <c r="B838" s="76"/>
      <c r="C838" s="76"/>
      <c r="D838" s="76"/>
      <c r="E838" s="77" t="s">
        <v>472</v>
      </c>
      <c r="F838" s="77"/>
    </row>
    <row r="839" spans="1:6" ht="15" customHeight="1">
      <c r="A839" s="76" t="s">
        <v>383</v>
      </c>
      <c r="B839" s="76"/>
      <c r="C839" s="76"/>
      <c r="D839" s="76"/>
      <c r="E839" s="76"/>
      <c r="F839" s="76"/>
    </row>
    <row r="840" spans="1:6" ht="15" customHeight="1">
      <c r="A840" s="1" t="s">
        <v>349</v>
      </c>
      <c r="B840" s="1" t="s">
        <v>384</v>
      </c>
      <c r="C840" s="1" t="s">
        <v>351</v>
      </c>
      <c r="D840" s="1" t="s">
        <v>352</v>
      </c>
      <c r="E840" s="1" t="s">
        <v>353</v>
      </c>
      <c r="F840" s="1" t="s">
        <v>385</v>
      </c>
    </row>
    <row r="841" spans="1:6" ht="15" customHeight="1">
      <c r="A841" s="78" t="s">
        <v>11</v>
      </c>
      <c r="B841" s="78" t="s">
        <v>355</v>
      </c>
      <c r="C841" s="78"/>
      <c r="D841" s="78"/>
      <c r="E841" s="78"/>
      <c r="F841" s="9">
        <f>F842+F849+F850</f>
        <v>523.0251999999999</v>
      </c>
    </row>
    <row r="842" spans="1:6" ht="15" customHeight="1">
      <c r="A842" s="52" t="s">
        <v>386</v>
      </c>
      <c r="B842" s="78" t="s">
        <v>356</v>
      </c>
      <c r="C842" s="78"/>
      <c r="D842" s="78"/>
      <c r="E842" s="78"/>
      <c r="F842" s="9">
        <f>F843+F845</f>
        <v>493.41999999999996</v>
      </c>
    </row>
    <row r="843" spans="1:6" ht="15" customHeight="1">
      <c r="A843" s="52">
        <v>1</v>
      </c>
      <c r="B843" s="78" t="s">
        <v>358</v>
      </c>
      <c r="C843" s="78"/>
      <c r="D843" s="78"/>
      <c r="E843" s="78"/>
      <c r="F843" s="9">
        <f>F844</f>
        <v>415.43999999999994</v>
      </c>
    </row>
    <row r="844" spans="1:6" ht="15" customHeight="1">
      <c r="A844" s="78"/>
      <c r="B844" s="78" t="s">
        <v>358</v>
      </c>
      <c r="C844" s="78" t="s">
        <v>359</v>
      </c>
      <c r="D844" s="52">
        <v>72</v>
      </c>
      <c r="E844" s="52">
        <f>E825</f>
        <v>5.77</v>
      </c>
      <c r="F844" s="9">
        <f aca="true" t="shared" si="3" ref="F844:F848">D844*E844</f>
        <v>415.43999999999994</v>
      </c>
    </row>
    <row r="845" spans="1:6" ht="15" customHeight="1">
      <c r="A845" s="52">
        <v>2</v>
      </c>
      <c r="B845" s="78" t="s">
        <v>361</v>
      </c>
      <c r="C845" s="78"/>
      <c r="D845" s="78"/>
      <c r="E845" s="78"/>
      <c r="F845" s="9">
        <f>F847+F848</f>
        <v>77.98</v>
      </c>
    </row>
    <row r="846" spans="1:6" ht="15" customHeight="1">
      <c r="A846" s="78"/>
      <c r="B846" s="82" t="s">
        <v>482</v>
      </c>
      <c r="C846" s="78" t="s">
        <v>388</v>
      </c>
      <c r="D846" s="52">
        <v>2500</v>
      </c>
      <c r="E846" s="9">
        <f>'主要材料费'!D53</f>
        <v>0.8102999999999999</v>
      </c>
      <c r="F846" s="79"/>
    </row>
    <row r="847" spans="1:6" ht="15" customHeight="1">
      <c r="A847" s="78"/>
      <c r="B847" s="78" t="s">
        <v>389</v>
      </c>
      <c r="C847" s="52" t="s">
        <v>49</v>
      </c>
      <c r="D847" s="9">
        <v>4</v>
      </c>
      <c r="E847" s="52">
        <f>E828</f>
        <v>4.37</v>
      </c>
      <c r="F847" s="9">
        <f t="shared" si="3"/>
        <v>17.48</v>
      </c>
    </row>
    <row r="848" spans="1:6" ht="15" customHeight="1">
      <c r="A848" s="78"/>
      <c r="B848" s="78" t="s">
        <v>474</v>
      </c>
      <c r="C848" s="52" t="s">
        <v>83</v>
      </c>
      <c r="D848" s="52">
        <v>1.25</v>
      </c>
      <c r="E848" s="9">
        <f>E829</f>
        <v>48.4</v>
      </c>
      <c r="F848" s="9">
        <f t="shared" si="3"/>
        <v>60.5</v>
      </c>
    </row>
    <row r="849" spans="1:6" ht="15" customHeight="1">
      <c r="A849" s="52" t="s">
        <v>391</v>
      </c>
      <c r="B849" s="78" t="s">
        <v>368</v>
      </c>
      <c r="C849" s="52" t="s">
        <v>83</v>
      </c>
      <c r="D849" s="52">
        <v>2</v>
      </c>
      <c r="E849" s="78"/>
      <c r="F849" s="9">
        <f>D849*F842/100</f>
        <v>9.8684</v>
      </c>
    </row>
    <row r="850" spans="1:6" ht="15" customHeight="1">
      <c r="A850" s="52" t="s">
        <v>392</v>
      </c>
      <c r="B850" s="78" t="s">
        <v>369</v>
      </c>
      <c r="C850" s="52" t="s">
        <v>83</v>
      </c>
      <c r="D850" s="52">
        <v>4</v>
      </c>
      <c r="E850" s="78"/>
      <c r="F850" s="9">
        <f>D850*F842/100</f>
        <v>19.7368</v>
      </c>
    </row>
    <row r="851" spans="1:6" ht="15" customHeight="1">
      <c r="A851" s="78" t="s">
        <v>21</v>
      </c>
      <c r="B851" s="78" t="s">
        <v>370</v>
      </c>
      <c r="C851" s="52" t="s">
        <v>83</v>
      </c>
      <c r="D851" s="52">
        <v>3</v>
      </c>
      <c r="E851" s="78"/>
      <c r="F851" s="9">
        <f>D851*F841/100</f>
        <v>15.690755999999997</v>
      </c>
    </row>
    <row r="852" spans="1:6" ht="15" customHeight="1">
      <c r="A852" s="78" t="s">
        <v>250</v>
      </c>
      <c r="B852" s="78" t="s">
        <v>371</v>
      </c>
      <c r="C852" s="52" t="s">
        <v>83</v>
      </c>
      <c r="D852" s="52">
        <v>5</v>
      </c>
      <c r="E852" s="78"/>
      <c r="F852" s="9">
        <f>D852*(F851+F841)/100</f>
        <v>26.935797799999996</v>
      </c>
    </row>
    <row r="853" spans="1:6" ht="15" customHeight="1">
      <c r="A853" s="78" t="s">
        <v>372</v>
      </c>
      <c r="B853" s="78" t="s">
        <v>373</v>
      </c>
      <c r="C853" s="52" t="s">
        <v>83</v>
      </c>
      <c r="D853" s="52">
        <v>9</v>
      </c>
      <c r="E853" s="78"/>
      <c r="F853" s="9">
        <f>D853*(F841+F851+F852)/100</f>
        <v>50.908657842</v>
      </c>
    </row>
    <row r="854" spans="1:6" ht="15" customHeight="1">
      <c r="A854" s="78" t="s">
        <v>393</v>
      </c>
      <c r="B854" s="78"/>
      <c r="C854" s="78"/>
      <c r="D854" s="78"/>
      <c r="E854" s="78"/>
      <c r="F854" s="9">
        <f>F841+F851+F852+F853</f>
        <v>616.560411642</v>
      </c>
    </row>
    <row r="855" spans="1:6" ht="15" customHeight="1">
      <c r="A855" s="80"/>
      <c r="B855" s="31"/>
      <c r="C855" s="31"/>
      <c r="D855" s="81"/>
      <c r="E855" s="81"/>
      <c r="F855" s="81"/>
    </row>
    <row r="856" spans="1:6" ht="15" customHeight="1">
      <c r="A856" s="74" t="s">
        <v>483</v>
      </c>
      <c r="B856" s="75"/>
      <c r="C856" s="75"/>
      <c r="D856" s="75"/>
      <c r="E856" s="75"/>
      <c r="F856" s="75"/>
    </row>
    <row r="857" spans="1:6" ht="15" customHeight="1">
      <c r="A857" s="76" t="s">
        <v>471</v>
      </c>
      <c r="B857" s="76"/>
      <c r="C857" s="76"/>
      <c r="D857" s="76"/>
      <c r="E857" s="77" t="s">
        <v>472</v>
      </c>
      <c r="F857" s="77"/>
    </row>
    <row r="858" spans="1:6" ht="15" customHeight="1">
      <c r="A858" s="76" t="s">
        <v>383</v>
      </c>
      <c r="B858" s="76"/>
      <c r="C858" s="76"/>
      <c r="D858" s="76"/>
      <c r="E858" s="76"/>
      <c r="F858" s="76"/>
    </row>
    <row r="859" spans="1:6" ht="15" customHeight="1">
      <c r="A859" s="1" t="s">
        <v>349</v>
      </c>
      <c r="B859" s="1" t="s">
        <v>384</v>
      </c>
      <c r="C859" s="1" t="s">
        <v>351</v>
      </c>
      <c r="D859" s="1" t="s">
        <v>352</v>
      </c>
      <c r="E859" s="1" t="s">
        <v>353</v>
      </c>
      <c r="F859" s="1" t="s">
        <v>385</v>
      </c>
    </row>
    <row r="860" spans="1:6" ht="15" customHeight="1">
      <c r="A860" s="78" t="s">
        <v>11</v>
      </c>
      <c r="B860" s="78" t="s">
        <v>355</v>
      </c>
      <c r="C860" s="78"/>
      <c r="D860" s="78"/>
      <c r="E860" s="78"/>
      <c r="F860" s="9">
        <f>F861+F868+F869</f>
        <v>523.0251999999999</v>
      </c>
    </row>
    <row r="861" spans="1:6" ht="15" customHeight="1">
      <c r="A861" s="52" t="s">
        <v>386</v>
      </c>
      <c r="B861" s="78" t="s">
        <v>356</v>
      </c>
      <c r="C861" s="78"/>
      <c r="D861" s="78"/>
      <c r="E861" s="78"/>
      <c r="F861" s="9">
        <f>F862+F864</f>
        <v>493.41999999999996</v>
      </c>
    </row>
    <row r="862" spans="1:6" ht="15" customHeight="1">
      <c r="A862" s="52">
        <v>1</v>
      </c>
      <c r="B862" s="78" t="s">
        <v>358</v>
      </c>
      <c r="C862" s="78"/>
      <c r="D862" s="78"/>
      <c r="E862" s="78"/>
      <c r="F862" s="9">
        <f>F863</f>
        <v>415.43999999999994</v>
      </c>
    </row>
    <row r="863" spans="1:6" ht="15" customHeight="1">
      <c r="A863" s="78"/>
      <c r="B863" s="78" t="s">
        <v>358</v>
      </c>
      <c r="C863" s="78" t="s">
        <v>359</v>
      </c>
      <c r="D863" s="52">
        <v>72</v>
      </c>
      <c r="E863" s="52">
        <f>E844</f>
        <v>5.77</v>
      </c>
      <c r="F863" s="9">
        <f aca="true" t="shared" si="4" ref="F863:F867">D863*E863</f>
        <v>415.43999999999994</v>
      </c>
    </row>
    <row r="864" spans="1:6" ht="15" customHeight="1">
      <c r="A864" s="52">
        <v>2</v>
      </c>
      <c r="B864" s="78" t="s">
        <v>361</v>
      </c>
      <c r="C864" s="78"/>
      <c r="D864" s="78"/>
      <c r="E864" s="78"/>
      <c r="F864" s="9">
        <f>F866+F867</f>
        <v>77.98</v>
      </c>
    </row>
    <row r="865" spans="1:6" ht="15" customHeight="1">
      <c r="A865" s="78"/>
      <c r="B865" s="82" t="s">
        <v>484</v>
      </c>
      <c r="C865" s="78" t="s">
        <v>388</v>
      </c>
      <c r="D865" s="52">
        <v>2500</v>
      </c>
      <c r="E865" s="9">
        <f>'主要材料费'!D54</f>
        <v>0.8102999999999999</v>
      </c>
      <c r="F865" s="79"/>
    </row>
    <row r="866" spans="1:6" ht="15" customHeight="1">
      <c r="A866" s="78"/>
      <c r="B866" s="78" t="s">
        <v>389</v>
      </c>
      <c r="C866" s="52" t="s">
        <v>49</v>
      </c>
      <c r="D866" s="9">
        <v>4</v>
      </c>
      <c r="E866" s="52">
        <f>E847</f>
        <v>4.37</v>
      </c>
      <c r="F866" s="9">
        <f t="shared" si="4"/>
        <v>17.48</v>
      </c>
    </row>
    <row r="867" spans="1:6" ht="15" customHeight="1">
      <c r="A867" s="78"/>
      <c r="B867" s="78" t="s">
        <v>474</v>
      </c>
      <c r="C867" s="52" t="s">
        <v>83</v>
      </c>
      <c r="D867" s="52">
        <v>1.25</v>
      </c>
      <c r="E867" s="9">
        <f>E848</f>
        <v>48.4</v>
      </c>
      <c r="F867" s="9">
        <f t="shared" si="4"/>
        <v>60.5</v>
      </c>
    </row>
    <row r="868" spans="1:6" ht="15" customHeight="1">
      <c r="A868" s="52" t="s">
        <v>391</v>
      </c>
      <c r="B868" s="78" t="s">
        <v>368</v>
      </c>
      <c r="C868" s="52" t="s">
        <v>83</v>
      </c>
      <c r="D868" s="52">
        <v>2</v>
      </c>
      <c r="E868" s="78"/>
      <c r="F868" s="9">
        <f>D868*F861/100</f>
        <v>9.8684</v>
      </c>
    </row>
    <row r="869" spans="1:6" ht="15" customHeight="1">
      <c r="A869" s="52" t="s">
        <v>392</v>
      </c>
      <c r="B869" s="78" t="s">
        <v>369</v>
      </c>
      <c r="C869" s="52" t="s">
        <v>83</v>
      </c>
      <c r="D869" s="52">
        <v>4</v>
      </c>
      <c r="E869" s="78"/>
      <c r="F869" s="9">
        <f>D869*F861/100</f>
        <v>19.7368</v>
      </c>
    </row>
    <row r="870" spans="1:6" ht="15" customHeight="1">
      <c r="A870" s="78" t="s">
        <v>21</v>
      </c>
      <c r="B870" s="78" t="s">
        <v>370</v>
      </c>
      <c r="C870" s="52" t="s">
        <v>83</v>
      </c>
      <c r="D870" s="52">
        <v>3</v>
      </c>
      <c r="E870" s="78"/>
      <c r="F870" s="9">
        <f>D870*F860/100</f>
        <v>15.690755999999997</v>
      </c>
    </row>
    <row r="871" spans="1:6" ht="15" customHeight="1">
      <c r="A871" s="78" t="s">
        <v>250</v>
      </c>
      <c r="B871" s="78" t="s">
        <v>371</v>
      </c>
      <c r="C871" s="52" t="s">
        <v>83</v>
      </c>
      <c r="D871" s="52">
        <v>5</v>
      </c>
      <c r="E871" s="78"/>
      <c r="F871" s="9">
        <f>D871*(F870+F860)/100</f>
        <v>26.935797799999996</v>
      </c>
    </row>
    <row r="872" spans="1:6" ht="15" customHeight="1">
      <c r="A872" s="78" t="s">
        <v>372</v>
      </c>
      <c r="B872" s="78" t="s">
        <v>373</v>
      </c>
      <c r="C872" s="52" t="s">
        <v>83</v>
      </c>
      <c r="D872" s="52">
        <v>9</v>
      </c>
      <c r="E872" s="78"/>
      <c r="F872" s="9">
        <f>D872*(F860+F870+F871)/100</f>
        <v>50.908657842</v>
      </c>
    </row>
    <row r="873" spans="1:6" ht="15" customHeight="1">
      <c r="A873" s="78" t="s">
        <v>393</v>
      </c>
      <c r="B873" s="78"/>
      <c r="C873" s="78"/>
      <c r="D873" s="78"/>
      <c r="E873" s="78"/>
      <c r="F873" s="9">
        <f>F860+F870+F871+F872</f>
        <v>616.560411642</v>
      </c>
    </row>
    <row r="874" spans="1:6" ht="15" customHeight="1">
      <c r="A874" s="80"/>
      <c r="B874" s="31"/>
      <c r="C874" s="31"/>
      <c r="D874" s="81"/>
      <c r="E874" s="81"/>
      <c r="F874" s="81"/>
    </row>
    <row r="875" spans="1:6" ht="15" customHeight="1">
      <c r="A875" s="74" t="s">
        <v>485</v>
      </c>
      <c r="B875" s="75"/>
      <c r="C875" s="75"/>
      <c r="D875" s="75"/>
      <c r="E875" s="75"/>
      <c r="F875" s="75"/>
    </row>
    <row r="876" spans="1:6" ht="15" customHeight="1">
      <c r="A876" s="76" t="s">
        <v>471</v>
      </c>
      <c r="B876" s="76"/>
      <c r="C876" s="76"/>
      <c r="D876" s="76"/>
      <c r="E876" s="77" t="s">
        <v>472</v>
      </c>
      <c r="F876" s="77"/>
    </row>
    <row r="877" spans="1:6" ht="15" customHeight="1">
      <c r="A877" s="76" t="s">
        <v>383</v>
      </c>
      <c r="B877" s="76"/>
      <c r="C877" s="76"/>
      <c r="D877" s="76"/>
      <c r="E877" s="76"/>
      <c r="F877" s="76"/>
    </row>
    <row r="878" spans="1:6" ht="15" customHeight="1">
      <c r="A878" s="1" t="s">
        <v>349</v>
      </c>
      <c r="B878" s="1" t="s">
        <v>384</v>
      </c>
      <c r="C878" s="1" t="s">
        <v>351</v>
      </c>
      <c r="D878" s="1" t="s">
        <v>352</v>
      </c>
      <c r="E878" s="1" t="s">
        <v>353</v>
      </c>
      <c r="F878" s="1" t="s">
        <v>385</v>
      </c>
    </row>
    <row r="879" spans="1:6" ht="15" customHeight="1">
      <c r="A879" s="78" t="s">
        <v>11</v>
      </c>
      <c r="B879" s="78" t="s">
        <v>355</v>
      </c>
      <c r="C879" s="78"/>
      <c r="D879" s="78"/>
      <c r="E879" s="78"/>
      <c r="F879" s="9">
        <f>F880+F887+F888</f>
        <v>523.0251999999999</v>
      </c>
    </row>
    <row r="880" spans="1:6" ht="15" customHeight="1">
      <c r="A880" s="52" t="s">
        <v>386</v>
      </c>
      <c r="B880" s="78" t="s">
        <v>356</v>
      </c>
      <c r="C880" s="78"/>
      <c r="D880" s="78"/>
      <c r="E880" s="78"/>
      <c r="F880" s="9">
        <f>F881+F883</f>
        <v>493.41999999999996</v>
      </c>
    </row>
    <row r="881" spans="1:6" ht="15" customHeight="1">
      <c r="A881" s="52">
        <v>1</v>
      </c>
      <c r="B881" s="78" t="s">
        <v>358</v>
      </c>
      <c r="C881" s="78"/>
      <c r="D881" s="78"/>
      <c r="E881" s="78"/>
      <c r="F881" s="9">
        <f>F882</f>
        <v>415.43999999999994</v>
      </c>
    </row>
    <row r="882" spans="1:6" ht="15" customHeight="1">
      <c r="A882" s="78"/>
      <c r="B882" s="78" t="s">
        <v>358</v>
      </c>
      <c r="C882" s="78" t="s">
        <v>359</v>
      </c>
      <c r="D882" s="52">
        <v>72</v>
      </c>
      <c r="E882" s="52">
        <f aca="true" t="shared" si="5" ref="E882:E886">E863</f>
        <v>5.77</v>
      </c>
      <c r="F882" s="9">
        <f aca="true" t="shared" si="6" ref="F882:F886">D882*E882</f>
        <v>415.43999999999994</v>
      </c>
    </row>
    <row r="883" spans="1:6" ht="15" customHeight="1">
      <c r="A883" s="52">
        <v>2</v>
      </c>
      <c r="B883" s="78" t="s">
        <v>361</v>
      </c>
      <c r="C883" s="78"/>
      <c r="D883" s="78"/>
      <c r="E883" s="78"/>
      <c r="F883" s="9">
        <f>F885+F886</f>
        <v>77.98</v>
      </c>
    </row>
    <row r="884" spans="1:6" ht="15" customHeight="1">
      <c r="A884" s="78"/>
      <c r="B884" s="82" t="s">
        <v>486</v>
      </c>
      <c r="C884" s="78" t="s">
        <v>388</v>
      </c>
      <c r="D884" s="52">
        <v>2500</v>
      </c>
      <c r="E884" s="9">
        <f>'主要材料费'!D55</f>
        <v>0.8102999999999999</v>
      </c>
      <c r="F884" s="79"/>
    </row>
    <row r="885" spans="1:6" ht="15" customHeight="1">
      <c r="A885" s="78"/>
      <c r="B885" s="78" t="s">
        <v>389</v>
      </c>
      <c r="C885" s="52" t="s">
        <v>49</v>
      </c>
      <c r="D885" s="9">
        <v>4</v>
      </c>
      <c r="E885" s="52">
        <f t="shared" si="5"/>
        <v>4.37</v>
      </c>
      <c r="F885" s="9">
        <f t="shared" si="6"/>
        <v>17.48</v>
      </c>
    </row>
    <row r="886" spans="1:6" ht="15" customHeight="1">
      <c r="A886" s="78"/>
      <c r="B886" s="78" t="s">
        <v>474</v>
      </c>
      <c r="C886" s="52" t="s">
        <v>83</v>
      </c>
      <c r="D886" s="52">
        <v>1.25</v>
      </c>
      <c r="E886" s="9">
        <f t="shared" si="5"/>
        <v>48.4</v>
      </c>
      <c r="F886" s="9">
        <f t="shared" si="6"/>
        <v>60.5</v>
      </c>
    </row>
    <row r="887" spans="1:6" ht="15" customHeight="1">
      <c r="A887" s="52" t="s">
        <v>391</v>
      </c>
      <c r="B887" s="78" t="s">
        <v>368</v>
      </c>
      <c r="C887" s="52" t="s">
        <v>83</v>
      </c>
      <c r="D887" s="52">
        <v>2</v>
      </c>
      <c r="E887" s="78"/>
      <c r="F887" s="9">
        <f>D887*F880/100</f>
        <v>9.8684</v>
      </c>
    </row>
    <row r="888" spans="1:6" ht="15" customHeight="1">
      <c r="A888" s="52" t="s">
        <v>392</v>
      </c>
      <c r="B888" s="78" t="s">
        <v>369</v>
      </c>
      <c r="C888" s="52" t="s">
        <v>83</v>
      </c>
      <c r="D888" s="52">
        <v>4</v>
      </c>
      <c r="E888" s="78"/>
      <c r="F888" s="9">
        <f>D888*F880/100</f>
        <v>19.7368</v>
      </c>
    </row>
    <row r="889" spans="1:6" ht="15" customHeight="1">
      <c r="A889" s="78" t="s">
        <v>21</v>
      </c>
      <c r="B889" s="78" t="s">
        <v>370</v>
      </c>
      <c r="C889" s="52" t="s">
        <v>83</v>
      </c>
      <c r="D889" s="52">
        <v>3</v>
      </c>
      <c r="E889" s="78"/>
      <c r="F889" s="9">
        <f>D889*F879/100</f>
        <v>15.690755999999997</v>
      </c>
    </row>
    <row r="890" spans="1:6" ht="15" customHeight="1">
      <c r="A890" s="78" t="s">
        <v>250</v>
      </c>
      <c r="B890" s="78" t="s">
        <v>371</v>
      </c>
      <c r="C890" s="52" t="s">
        <v>83</v>
      </c>
      <c r="D890" s="52">
        <v>5</v>
      </c>
      <c r="E890" s="78"/>
      <c r="F890" s="9">
        <f>D890*(F889+F879)/100</f>
        <v>26.935797799999996</v>
      </c>
    </row>
    <row r="891" spans="1:6" ht="15" customHeight="1">
      <c r="A891" s="78" t="s">
        <v>372</v>
      </c>
      <c r="B891" s="78" t="s">
        <v>373</v>
      </c>
      <c r="C891" s="52" t="s">
        <v>83</v>
      </c>
      <c r="D891" s="52">
        <v>9</v>
      </c>
      <c r="E891" s="78"/>
      <c r="F891" s="9">
        <f>D891*(F879+F889+F890)/100</f>
        <v>50.908657842</v>
      </c>
    </row>
    <row r="892" spans="1:6" ht="15" customHeight="1">
      <c r="A892" s="78" t="s">
        <v>393</v>
      </c>
      <c r="B892" s="78"/>
      <c r="C892" s="78"/>
      <c r="D892" s="78"/>
      <c r="E892" s="78"/>
      <c r="F892" s="9">
        <f>F879+F889+F890+F891</f>
        <v>616.560411642</v>
      </c>
    </row>
    <row r="893" spans="1:6" ht="15" customHeight="1">
      <c r="A893" s="80"/>
      <c r="B893" s="31"/>
      <c r="C893" s="31"/>
      <c r="D893" s="81"/>
      <c r="E893" s="81"/>
      <c r="F893" s="81"/>
    </row>
    <row r="894" spans="1:6" ht="15" customHeight="1">
      <c r="A894" s="74" t="s">
        <v>487</v>
      </c>
      <c r="B894" s="75"/>
      <c r="C894" s="75"/>
      <c r="D894" s="75"/>
      <c r="E894" s="75"/>
      <c r="F894" s="75"/>
    </row>
    <row r="895" spans="1:6" ht="15" customHeight="1">
      <c r="A895" s="76" t="s">
        <v>471</v>
      </c>
      <c r="B895" s="76"/>
      <c r="C895" s="76"/>
      <c r="D895" s="76"/>
      <c r="E895" s="77" t="s">
        <v>472</v>
      </c>
      <c r="F895" s="77"/>
    </row>
    <row r="896" spans="1:6" ht="15" customHeight="1">
      <c r="A896" s="76" t="s">
        <v>383</v>
      </c>
      <c r="B896" s="76"/>
      <c r="C896" s="76"/>
      <c r="D896" s="76"/>
      <c r="E896" s="76"/>
      <c r="F896" s="76"/>
    </row>
    <row r="897" spans="1:6" ht="15" customHeight="1">
      <c r="A897" s="1" t="s">
        <v>349</v>
      </c>
      <c r="B897" s="1" t="s">
        <v>384</v>
      </c>
      <c r="C897" s="1" t="s">
        <v>351</v>
      </c>
      <c r="D897" s="1" t="s">
        <v>352</v>
      </c>
      <c r="E897" s="1" t="s">
        <v>353</v>
      </c>
      <c r="F897" s="1" t="s">
        <v>385</v>
      </c>
    </row>
    <row r="898" spans="1:6" ht="15" customHeight="1">
      <c r="A898" s="78" t="s">
        <v>11</v>
      </c>
      <c r="B898" s="78" t="s">
        <v>355</v>
      </c>
      <c r="C898" s="78"/>
      <c r="D898" s="78"/>
      <c r="E898" s="78"/>
      <c r="F898" s="9">
        <f>F899+F906+F907</f>
        <v>523.0251999999999</v>
      </c>
    </row>
    <row r="899" spans="1:6" ht="15" customHeight="1">
      <c r="A899" s="52" t="s">
        <v>386</v>
      </c>
      <c r="B899" s="78" t="s">
        <v>356</v>
      </c>
      <c r="C899" s="78"/>
      <c r="D899" s="78"/>
      <c r="E899" s="78"/>
      <c r="F899" s="9">
        <f>F900+F902</f>
        <v>493.41999999999996</v>
      </c>
    </row>
    <row r="900" spans="1:6" ht="15" customHeight="1">
      <c r="A900" s="52">
        <v>1</v>
      </c>
      <c r="B900" s="78" t="s">
        <v>358</v>
      </c>
      <c r="C900" s="78"/>
      <c r="D900" s="78"/>
      <c r="E900" s="78"/>
      <c r="F900" s="9">
        <f>F901</f>
        <v>415.43999999999994</v>
      </c>
    </row>
    <row r="901" spans="1:6" ht="15" customHeight="1">
      <c r="A901" s="78"/>
      <c r="B901" s="78" t="s">
        <v>358</v>
      </c>
      <c r="C901" s="78" t="s">
        <v>359</v>
      </c>
      <c r="D901" s="52">
        <v>72</v>
      </c>
      <c r="E901" s="52">
        <f aca="true" t="shared" si="7" ref="E901:E905">E882</f>
        <v>5.77</v>
      </c>
      <c r="F901" s="9">
        <f aca="true" t="shared" si="8" ref="F901:F905">D901*E901</f>
        <v>415.43999999999994</v>
      </c>
    </row>
    <row r="902" spans="1:6" ht="15" customHeight="1">
      <c r="A902" s="52">
        <v>2</v>
      </c>
      <c r="B902" s="78" t="s">
        <v>361</v>
      </c>
      <c r="C902" s="78"/>
      <c r="D902" s="78"/>
      <c r="E902" s="78"/>
      <c r="F902" s="9">
        <f>F904+F905</f>
        <v>77.98</v>
      </c>
    </row>
    <row r="903" spans="1:6" ht="15" customHeight="1">
      <c r="A903" s="78"/>
      <c r="B903" s="82" t="s">
        <v>488</v>
      </c>
      <c r="C903" s="78" t="s">
        <v>388</v>
      </c>
      <c r="D903" s="52">
        <v>2500</v>
      </c>
      <c r="E903" s="9">
        <f>'主要材料费'!D56</f>
        <v>8.147400000000001</v>
      </c>
      <c r="F903" s="79"/>
    </row>
    <row r="904" spans="1:6" ht="15" customHeight="1">
      <c r="A904" s="78"/>
      <c r="B904" s="78" t="s">
        <v>389</v>
      </c>
      <c r="C904" s="52" t="s">
        <v>49</v>
      </c>
      <c r="D904" s="9">
        <v>4</v>
      </c>
      <c r="E904" s="52">
        <f t="shared" si="7"/>
        <v>4.37</v>
      </c>
      <c r="F904" s="9">
        <f t="shared" si="8"/>
        <v>17.48</v>
      </c>
    </row>
    <row r="905" spans="1:6" ht="15" customHeight="1">
      <c r="A905" s="78"/>
      <c r="B905" s="78" t="s">
        <v>474</v>
      </c>
      <c r="C905" s="52" t="s">
        <v>83</v>
      </c>
      <c r="D905" s="52">
        <v>1.25</v>
      </c>
      <c r="E905" s="9">
        <f t="shared" si="7"/>
        <v>48.4</v>
      </c>
      <c r="F905" s="9">
        <f t="shared" si="8"/>
        <v>60.5</v>
      </c>
    </row>
    <row r="906" spans="1:6" ht="15" customHeight="1">
      <c r="A906" s="52" t="s">
        <v>391</v>
      </c>
      <c r="B906" s="78" t="s">
        <v>368</v>
      </c>
      <c r="C906" s="52" t="s">
        <v>83</v>
      </c>
      <c r="D906" s="52">
        <v>2</v>
      </c>
      <c r="E906" s="78"/>
      <c r="F906" s="9">
        <f>D906*F899/100</f>
        <v>9.8684</v>
      </c>
    </row>
    <row r="907" spans="1:6" ht="15" customHeight="1">
      <c r="A907" s="52" t="s">
        <v>392</v>
      </c>
      <c r="B907" s="78" t="s">
        <v>369</v>
      </c>
      <c r="C907" s="52" t="s">
        <v>83</v>
      </c>
      <c r="D907" s="52">
        <v>4</v>
      </c>
      <c r="E907" s="78"/>
      <c r="F907" s="9">
        <f>D907*F899/100</f>
        <v>19.7368</v>
      </c>
    </row>
    <row r="908" spans="1:6" ht="15" customHeight="1">
      <c r="A908" s="78" t="s">
        <v>21</v>
      </c>
      <c r="B908" s="78" t="s">
        <v>370</v>
      </c>
      <c r="C908" s="52" t="s">
        <v>83</v>
      </c>
      <c r="D908" s="52">
        <v>3</v>
      </c>
      <c r="E908" s="78"/>
      <c r="F908" s="9">
        <f>D908*F898/100</f>
        <v>15.690755999999997</v>
      </c>
    </row>
    <row r="909" spans="1:6" ht="15" customHeight="1">
      <c r="A909" s="78" t="s">
        <v>250</v>
      </c>
      <c r="B909" s="78" t="s">
        <v>371</v>
      </c>
      <c r="C909" s="52" t="s">
        <v>83</v>
      </c>
      <c r="D909" s="52">
        <v>5</v>
      </c>
      <c r="E909" s="78"/>
      <c r="F909" s="9">
        <f>D909*(F908+F898)/100</f>
        <v>26.935797799999996</v>
      </c>
    </row>
    <row r="910" spans="1:6" ht="15" customHeight="1">
      <c r="A910" s="78" t="s">
        <v>372</v>
      </c>
      <c r="B910" s="78" t="s">
        <v>373</v>
      </c>
      <c r="C910" s="52" t="s">
        <v>83</v>
      </c>
      <c r="D910" s="52">
        <v>9</v>
      </c>
      <c r="E910" s="78"/>
      <c r="F910" s="9">
        <f>D910*(F898+F908+F909)/100</f>
        <v>50.908657842</v>
      </c>
    </row>
    <row r="911" spans="1:6" ht="15" customHeight="1">
      <c r="A911" s="78" t="s">
        <v>393</v>
      </c>
      <c r="B911" s="78"/>
      <c r="C911" s="78"/>
      <c r="D911" s="78"/>
      <c r="E911" s="78"/>
      <c r="F911" s="9">
        <f>F898+F908+F909+F910</f>
        <v>616.560411642</v>
      </c>
    </row>
    <row r="912" spans="1:6" ht="15" customHeight="1">
      <c r="A912" s="80"/>
      <c r="B912" s="31"/>
      <c r="C912" s="31"/>
      <c r="D912" s="81"/>
      <c r="E912" s="81"/>
      <c r="F912" s="81"/>
    </row>
    <row r="913" spans="1:6" ht="15" customHeight="1">
      <c r="A913" s="74" t="s">
        <v>489</v>
      </c>
      <c r="B913" s="75"/>
      <c r="C913" s="75"/>
      <c r="D913" s="75"/>
      <c r="E913" s="75"/>
      <c r="F913" s="75"/>
    </row>
    <row r="914" spans="1:6" ht="15" customHeight="1">
      <c r="A914" s="76" t="s">
        <v>471</v>
      </c>
      <c r="B914" s="76"/>
      <c r="C914" s="76"/>
      <c r="D914" s="76"/>
      <c r="E914" s="77" t="s">
        <v>472</v>
      </c>
      <c r="F914" s="77"/>
    </row>
    <row r="915" spans="1:6" ht="15" customHeight="1">
      <c r="A915" s="76" t="s">
        <v>383</v>
      </c>
      <c r="B915" s="76"/>
      <c r="C915" s="76"/>
      <c r="D915" s="76"/>
      <c r="E915" s="76"/>
      <c r="F915" s="76"/>
    </row>
    <row r="916" spans="1:6" ht="15" customHeight="1">
      <c r="A916" s="1" t="s">
        <v>349</v>
      </c>
      <c r="B916" s="1" t="s">
        <v>384</v>
      </c>
      <c r="C916" s="1" t="s">
        <v>351</v>
      </c>
      <c r="D916" s="1" t="s">
        <v>352</v>
      </c>
      <c r="E916" s="1" t="s">
        <v>353</v>
      </c>
      <c r="F916" s="1" t="s">
        <v>385</v>
      </c>
    </row>
    <row r="917" spans="1:6" ht="15" customHeight="1">
      <c r="A917" s="78" t="s">
        <v>11</v>
      </c>
      <c r="B917" s="78" t="s">
        <v>355</v>
      </c>
      <c r="C917" s="78"/>
      <c r="D917" s="78"/>
      <c r="E917" s="78"/>
      <c r="F917" s="9">
        <f>F918+F925+F926</f>
        <v>523.0251999999999</v>
      </c>
    </row>
    <row r="918" spans="1:6" ht="15" customHeight="1">
      <c r="A918" s="52" t="s">
        <v>386</v>
      </c>
      <c r="B918" s="78" t="s">
        <v>356</v>
      </c>
      <c r="C918" s="78"/>
      <c r="D918" s="78"/>
      <c r="E918" s="78"/>
      <c r="F918" s="9">
        <f>F919+F921</f>
        <v>493.41999999999996</v>
      </c>
    </row>
    <row r="919" spans="1:6" ht="15" customHeight="1">
      <c r="A919" s="52">
        <v>1</v>
      </c>
      <c r="B919" s="78" t="s">
        <v>358</v>
      </c>
      <c r="C919" s="78"/>
      <c r="D919" s="78"/>
      <c r="E919" s="78"/>
      <c r="F919" s="9">
        <f>F920</f>
        <v>415.43999999999994</v>
      </c>
    </row>
    <row r="920" spans="1:6" ht="15" customHeight="1">
      <c r="A920" s="78"/>
      <c r="B920" s="78" t="s">
        <v>358</v>
      </c>
      <c r="C920" s="78" t="s">
        <v>359</v>
      </c>
      <c r="D920" s="52">
        <v>72</v>
      </c>
      <c r="E920" s="52">
        <f aca="true" t="shared" si="9" ref="E920:E924">E901</f>
        <v>5.77</v>
      </c>
      <c r="F920" s="9">
        <f aca="true" t="shared" si="10" ref="F920:F924">D920*E920</f>
        <v>415.43999999999994</v>
      </c>
    </row>
    <row r="921" spans="1:6" ht="15" customHeight="1">
      <c r="A921" s="52">
        <v>2</v>
      </c>
      <c r="B921" s="78" t="s">
        <v>361</v>
      </c>
      <c r="C921" s="78"/>
      <c r="D921" s="78"/>
      <c r="E921" s="78"/>
      <c r="F921" s="9">
        <f>F923+F924</f>
        <v>77.98</v>
      </c>
    </row>
    <row r="922" spans="1:6" ht="15" customHeight="1">
      <c r="A922" s="78"/>
      <c r="B922" s="82" t="s">
        <v>490</v>
      </c>
      <c r="C922" s="78" t="s">
        <v>388</v>
      </c>
      <c r="D922" s="52">
        <v>2500</v>
      </c>
      <c r="E922" s="9">
        <f>'主要材料费'!D57</f>
        <v>1.5317999999999998</v>
      </c>
      <c r="F922" s="79"/>
    </row>
    <row r="923" spans="1:6" ht="15" customHeight="1">
      <c r="A923" s="78"/>
      <c r="B923" s="78" t="s">
        <v>389</v>
      </c>
      <c r="C923" s="52" t="s">
        <v>49</v>
      </c>
      <c r="D923" s="9">
        <v>4</v>
      </c>
      <c r="E923" s="52">
        <f t="shared" si="9"/>
        <v>4.37</v>
      </c>
      <c r="F923" s="9">
        <f t="shared" si="10"/>
        <v>17.48</v>
      </c>
    </row>
    <row r="924" spans="1:6" ht="15" customHeight="1">
      <c r="A924" s="78"/>
      <c r="B924" s="78" t="s">
        <v>474</v>
      </c>
      <c r="C924" s="52" t="s">
        <v>83</v>
      </c>
      <c r="D924" s="52">
        <v>1.25</v>
      </c>
      <c r="E924" s="9">
        <f t="shared" si="9"/>
        <v>48.4</v>
      </c>
      <c r="F924" s="9">
        <f t="shared" si="10"/>
        <v>60.5</v>
      </c>
    </row>
    <row r="925" spans="1:6" ht="15" customHeight="1">
      <c r="A925" s="52" t="s">
        <v>391</v>
      </c>
      <c r="B925" s="78" t="s">
        <v>368</v>
      </c>
      <c r="C925" s="52" t="s">
        <v>83</v>
      </c>
      <c r="D925" s="52">
        <v>2</v>
      </c>
      <c r="E925" s="78"/>
      <c r="F925" s="9">
        <f>D925*F918/100</f>
        <v>9.8684</v>
      </c>
    </row>
    <row r="926" spans="1:6" ht="15" customHeight="1">
      <c r="A926" s="52" t="s">
        <v>392</v>
      </c>
      <c r="B926" s="78" t="s">
        <v>369</v>
      </c>
      <c r="C926" s="52" t="s">
        <v>83</v>
      </c>
      <c r="D926" s="52">
        <v>4</v>
      </c>
      <c r="E926" s="78"/>
      <c r="F926" s="9">
        <f>D926*F918/100</f>
        <v>19.7368</v>
      </c>
    </row>
    <row r="927" spans="1:6" ht="15" customHeight="1">
      <c r="A927" s="78" t="s">
        <v>21</v>
      </c>
      <c r="B927" s="78" t="s">
        <v>370</v>
      </c>
      <c r="C927" s="52" t="s">
        <v>83</v>
      </c>
      <c r="D927" s="52">
        <v>3</v>
      </c>
      <c r="E927" s="78"/>
      <c r="F927" s="9">
        <f>D927*F917/100</f>
        <v>15.690755999999997</v>
      </c>
    </row>
    <row r="928" spans="1:6" ht="15" customHeight="1">
      <c r="A928" s="78" t="s">
        <v>250</v>
      </c>
      <c r="B928" s="78" t="s">
        <v>371</v>
      </c>
      <c r="C928" s="52" t="s">
        <v>83</v>
      </c>
      <c r="D928" s="52">
        <v>5</v>
      </c>
      <c r="E928" s="78"/>
      <c r="F928" s="9">
        <f>D928*(F927+F917)/100</f>
        <v>26.935797799999996</v>
      </c>
    </row>
    <row r="929" spans="1:6" ht="15" customHeight="1">
      <c r="A929" s="78" t="s">
        <v>372</v>
      </c>
      <c r="B929" s="78" t="s">
        <v>373</v>
      </c>
      <c r="C929" s="52" t="s">
        <v>83</v>
      </c>
      <c r="D929" s="52">
        <v>9</v>
      </c>
      <c r="E929" s="78"/>
      <c r="F929" s="9">
        <f>D929*(F917+F927+F928)/100</f>
        <v>50.908657842</v>
      </c>
    </row>
    <row r="930" spans="1:6" ht="15" customHeight="1">
      <c r="A930" s="78" t="s">
        <v>393</v>
      </c>
      <c r="B930" s="78"/>
      <c r="C930" s="78"/>
      <c r="D930" s="78"/>
      <c r="E930" s="78"/>
      <c r="F930" s="9">
        <f>F917+F927+F928+F929</f>
        <v>616.560411642</v>
      </c>
    </row>
    <row r="931" spans="1:6" ht="15" customHeight="1">
      <c r="A931" s="80"/>
      <c r="B931" s="31"/>
      <c r="C931" s="31"/>
      <c r="D931" s="81"/>
      <c r="E931" s="81"/>
      <c r="F931" s="81"/>
    </row>
    <row r="932" spans="1:6" ht="15" customHeight="1">
      <c r="A932" s="74" t="s">
        <v>491</v>
      </c>
      <c r="B932" s="75"/>
      <c r="C932" s="75"/>
      <c r="D932" s="75"/>
      <c r="E932" s="75"/>
      <c r="F932" s="75"/>
    </row>
    <row r="933" spans="1:6" ht="15" customHeight="1">
      <c r="A933" s="76" t="s">
        <v>471</v>
      </c>
      <c r="B933" s="76"/>
      <c r="C933" s="76"/>
      <c r="D933" s="76"/>
      <c r="E933" s="77" t="s">
        <v>472</v>
      </c>
      <c r="F933" s="77"/>
    </row>
    <row r="934" spans="1:6" ht="15" customHeight="1">
      <c r="A934" s="76" t="s">
        <v>383</v>
      </c>
      <c r="B934" s="76"/>
      <c r="C934" s="76"/>
      <c r="D934" s="76"/>
      <c r="E934" s="76"/>
      <c r="F934" s="76"/>
    </row>
    <row r="935" spans="1:6" ht="15" customHeight="1">
      <c r="A935" s="1" t="s">
        <v>349</v>
      </c>
      <c r="B935" s="1" t="s">
        <v>384</v>
      </c>
      <c r="C935" s="1" t="s">
        <v>351</v>
      </c>
      <c r="D935" s="1" t="s">
        <v>352</v>
      </c>
      <c r="E935" s="1" t="s">
        <v>353</v>
      </c>
      <c r="F935" s="1" t="s">
        <v>385</v>
      </c>
    </row>
    <row r="936" spans="1:6" ht="15" customHeight="1">
      <c r="A936" s="78" t="s">
        <v>11</v>
      </c>
      <c r="B936" s="78" t="s">
        <v>355</v>
      </c>
      <c r="C936" s="78"/>
      <c r="D936" s="78"/>
      <c r="E936" s="78"/>
      <c r="F936" s="9">
        <f>F937+F944+F945</f>
        <v>523.0251999999999</v>
      </c>
    </row>
    <row r="937" spans="1:6" ht="15" customHeight="1">
      <c r="A937" s="52" t="s">
        <v>386</v>
      </c>
      <c r="B937" s="78" t="s">
        <v>356</v>
      </c>
      <c r="C937" s="78"/>
      <c r="D937" s="78"/>
      <c r="E937" s="78"/>
      <c r="F937" s="9">
        <f>F938+F940</f>
        <v>493.41999999999996</v>
      </c>
    </row>
    <row r="938" spans="1:6" ht="15" customHeight="1">
      <c r="A938" s="52">
        <v>1</v>
      </c>
      <c r="B938" s="78" t="s">
        <v>358</v>
      </c>
      <c r="C938" s="78"/>
      <c r="D938" s="78"/>
      <c r="E938" s="78"/>
      <c r="F938" s="9">
        <f>F939</f>
        <v>415.43999999999994</v>
      </c>
    </row>
    <row r="939" spans="1:6" ht="15" customHeight="1">
      <c r="A939" s="78"/>
      <c r="B939" s="78" t="s">
        <v>358</v>
      </c>
      <c r="C939" s="78" t="s">
        <v>359</v>
      </c>
      <c r="D939" s="52">
        <v>72</v>
      </c>
      <c r="E939" s="52">
        <f aca="true" t="shared" si="11" ref="E939:E943">E920</f>
        <v>5.77</v>
      </c>
      <c r="F939" s="9">
        <f aca="true" t="shared" si="12" ref="F939:F943">D939*E939</f>
        <v>415.43999999999994</v>
      </c>
    </row>
    <row r="940" spans="1:6" ht="15" customHeight="1">
      <c r="A940" s="52">
        <v>2</v>
      </c>
      <c r="B940" s="78" t="s">
        <v>361</v>
      </c>
      <c r="C940" s="78"/>
      <c r="D940" s="78"/>
      <c r="E940" s="78"/>
      <c r="F940" s="9">
        <f>F942+F943</f>
        <v>77.98</v>
      </c>
    </row>
    <row r="941" spans="1:6" ht="15" customHeight="1">
      <c r="A941" s="78"/>
      <c r="B941" s="82" t="s">
        <v>492</v>
      </c>
      <c r="C941" s="78" t="s">
        <v>388</v>
      </c>
      <c r="D941" s="52">
        <v>2500</v>
      </c>
      <c r="E941" s="9">
        <f>'主要材料费'!D58</f>
        <v>0.8102999999999999</v>
      </c>
      <c r="F941" s="79"/>
    </row>
    <row r="942" spans="1:6" ht="15" customHeight="1">
      <c r="A942" s="78"/>
      <c r="B942" s="78" t="s">
        <v>389</v>
      </c>
      <c r="C942" s="52" t="s">
        <v>49</v>
      </c>
      <c r="D942" s="9">
        <v>4</v>
      </c>
      <c r="E942" s="52">
        <f t="shared" si="11"/>
        <v>4.37</v>
      </c>
      <c r="F942" s="9">
        <f t="shared" si="12"/>
        <v>17.48</v>
      </c>
    </row>
    <row r="943" spans="1:6" ht="15" customHeight="1">
      <c r="A943" s="78"/>
      <c r="B943" s="78" t="s">
        <v>474</v>
      </c>
      <c r="C943" s="52" t="s">
        <v>83</v>
      </c>
      <c r="D943" s="52">
        <v>1.25</v>
      </c>
      <c r="E943" s="9">
        <f t="shared" si="11"/>
        <v>48.4</v>
      </c>
      <c r="F943" s="9">
        <f t="shared" si="12"/>
        <v>60.5</v>
      </c>
    </row>
    <row r="944" spans="1:6" ht="15" customHeight="1">
      <c r="A944" s="52" t="s">
        <v>391</v>
      </c>
      <c r="B944" s="78" t="s">
        <v>368</v>
      </c>
      <c r="C944" s="52" t="s">
        <v>83</v>
      </c>
      <c r="D944" s="52">
        <v>2</v>
      </c>
      <c r="E944" s="78"/>
      <c r="F944" s="9">
        <f>D944*F937/100</f>
        <v>9.8684</v>
      </c>
    </row>
    <row r="945" spans="1:6" ht="15" customHeight="1">
      <c r="A945" s="52" t="s">
        <v>392</v>
      </c>
      <c r="B945" s="78" t="s">
        <v>369</v>
      </c>
      <c r="C945" s="52" t="s">
        <v>83</v>
      </c>
      <c r="D945" s="52">
        <v>4</v>
      </c>
      <c r="E945" s="78"/>
      <c r="F945" s="9">
        <f>D945*F937/100</f>
        <v>19.7368</v>
      </c>
    </row>
    <row r="946" spans="1:6" ht="15" customHeight="1">
      <c r="A946" s="78" t="s">
        <v>21</v>
      </c>
      <c r="B946" s="78" t="s">
        <v>370</v>
      </c>
      <c r="C946" s="52" t="s">
        <v>83</v>
      </c>
      <c r="D946" s="52">
        <v>3</v>
      </c>
      <c r="E946" s="78"/>
      <c r="F946" s="9">
        <f>D946*F936/100</f>
        <v>15.690755999999997</v>
      </c>
    </row>
    <row r="947" spans="1:6" ht="15" customHeight="1">
      <c r="A947" s="78" t="s">
        <v>250</v>
      </c>
      <c r="B947" s="78" t="s">
        <v>371</v>
      </c>
      <c r="C947" s="52" t="s">
        <v>83</v>
      </c>
      <c r="D947" s="52">
        <v>5</v>
      </c>
      <c r="E947" s="78"/>
      <c r="F947" s="9">
        <f>D947*(F946+F936)/100</f>
        <v>26.935797799999996</v>
      </c>
    </row>
    <row r="948" spans="1:6" ht="15" customHeight="1">
      <c r="A948" s="78" t="s">
        <v>372</v>
      </c>
      <c r="B948" s="78" t="s">
        <v>373</v>
      </c>
      <c r="C948" s="52" t="s">
        <v>83</v>
      </c>
      <c r="D948" s="52">
        <v>9</v>
      </c>
      <c r="E948" s="78"/>
      <c r="F948" s="9">
        <f>D948*(F936+F946+F947)/100</f>
        <v>50.908657842</v>
      </c>
    </row>
    <row r="949" spans="1:6" ht="15" customHeight="1">
      <c r="A949" s="78" t="s">
        <v>393</v>
      </c>
      <c r="B949" s="78"/>
      <c r="C949" s="78"/>
      <c r="D949" s="78"/>
      <c r="E949" s="78"/>
      <c r="F949" s="9">
        <f>F936+F946+F947+F948</f>
        <v>616.560411642</v>
      </c>
    </row>
    <row r="950" spans="1:6" ht="15" customHeight="1">
      <c r="A950" s="47"/>
      <c r="B950" s="47"/>
      <c r="C950" s="47"/>
      <c r="D950" s="47"/>
      <c r="E950" s="47"/>
      <c r="F950" s="83"/>
    </row>
    <row r="951" spans="1:6" ht="15" customHeight="1">
      <c r="A951" s="74" t="s">
        <v>493</v>
      </c>
      <c r="B951" s="75"/>
      <c r="C951" s="75"/>
      <c r="D951" s="75"/>
      <c r="E951" s="75"/>
      <c r="F951" s="75"/>
    </row>
    <row r="952" spans="1:6" ht="15" customHeight="1">
      <c r="A952" s="76" t="s">
        <v>471</v>
      </c>
      <c r="B952" s="76"/>
      <c r="C952" s="76"/>
      <c r="D952" s="76"/>
      <c r="E952" s="77" t="s">
        <v>472</v>
      </c>
      <c r="F952" s="77"/>
    </row>
    <row r="953" spans="1:6" ht="15" customHeight="1">
      <c r="A953" s="76" t="s">
        <v>383</v>
      </c>
      <c r="B953" s="76"/>
      <c r="C953" s="76"/>
      <c r="D953" s="76"/>
      <c r="E953" s="76"/>
      <c r="F953" s="76"/>
    </row>
    <row r="954" spans="1:6" ht="15" customHeight="1">
      <c r="A954" s="1" t="s">
        <v>349</v>
      </c>
      <c r="B954" s="1" t="s">
        <v>384</v>
      </c>
      <c r="C954" s="1" t="s">
        <v>351</v>
      </c>
      <c r="D954" s="1" t="s">
        <v>352</v>
      </c>
      <c r="E954" s="1" t="s">
        <v>353</v>
      </c>
      <c r="F954" s="1" t="s">
        <v>385</v>
      </c>
    </row>
    <row r="955" spans="1:6" ht="15" customHeight="1">
      <c r="A955" s="78" t="s">
        <v>11</v>
      </c>
      <c r="B955" s="78" t="s">
        <v>355</v>
      </c>
      <c r="C955" s="78"/>
      <c r="D955" s="78"/>
      <c r="E955" s="78"/>
      <c r="F955" s="9">
        <f>F956+F963+F964</f>
        <v>523.0251999999999</v>
      </c>
    </row>
    <row r="956" spans="1:6" ht="15" customHeight="1">
      <c r="A956" s="52" t="s">
        <v>386</v>
      </c>
      <c r="B956" s="78" t="s">
        <v>356</v>
      </c>
      <c r="C956" s="78"/>
      <c r="D956" s="78"/>
      <c r="E956" s="78"/>
      <c r="F956" s="9">
        <f>F957+F959</f>
        <v>493.41999999999996</v>
      </c>
    </row>
    <row r="957" spans="1:6" ht="15" customHeight="1">
      <c r="A957" s="52">
        <v>1</v>
      </c>
      <c r="B957" s="78" t="s">
        <v>358</v>
      </c>
      <c r="C957" s="78"/>
      <c r="D957" s="78"/>
      <c r="E957" s="78"/>
      <c r="F957" s="9">
        <f>F958</f>
        <v>415.43999999999994</v>
      </c>
    </row>
    <row r="958" spans="1:6" ht="15" customHeight="1">
      <c r="A958" s="78"/>
      <c r="B958" s="78" t="s">
        <v>358</v>
      </c>
      <c r="C958" s="78" t="s">
        <v>359</v>
      </c>
      <c r="D958" s="52">
        <v>72</v>
      </c>
      <c r="E958" s="52">
        <f aca="true" t="shared" si="13" ref="E958:E962">E939</f>
        <v>5.77</v>
      </c>
      <c r="F958" s="9">
        <f aca="true" t="shared" si="14" ref="F958:F962">D958*E958</f>
        <v>415.43999999999994</v>
      </c>
    </row>
    <row r="959" spans="1:6" ht="15" customHeight="1">
      <c r="A959" s="52">
        <v>2</v>
      </c>
      <c r="B959" s="78" t="s">
        <v>361</v>
      </c>
      <c r="C959" s="78"/>
      <c r="D959" s="78"/>
      <c r="E959" s="78"/>
      <c r="F959" s="9">
        <f>F961+F962</f>
        <v>77.98</v>
      </c>
    </row>
    <row r="960" spans="1:6" ht="15" customHeight="1">
      <c r="A960" s="78"/>
      <c r="B960" s="82" t="s">
        <v>494</v>
      </c>
      <c r="C960" s="78" t="s">
        <v>388</v>
      </c>
      <c r="D960" s="52">
        <v>2500</v>
      </c>
      <c r="E960" s="9">
        <f>'主要材料费'!D59</f>
        <v>0.7103999999999999</v>
      </c>
      <c r="F960" s="79"/>
    </row>
    <row r="961" spans="1:6" ht="15" customHeight="1">
      <c r="A961" s="78"/>
      <c r="B961" s="78" t="s">
        <v>389</v>
      </c>
      <c r="C961" s="52" t="s">
        <v>49</v>
      </c>
      <c r="D961" s="9">
        <v>4</v>
      </c>
      <c r="E961" s="52">
        <f t="shared" si="13"/>
        <v>4.37</v>
      </c>
      <c r="F961" s="9">
        <f t="shared" si="14"/>
        <v>17.48</v>
      </c>
    </row>
    <row r="962" spans="1:6" ht="15" customHeight="1">
      <c r="A962" s="78"/>
      <c r="B962" s="78" t="s">
        <v>474</v>
      </c>
      <c r="C962" s="52" t="s">
        <v>83</v>
      </c>
      <c r="D962" s="52">
        <v>1.25</v>
      </c>
      <c r="E962" s="9">
        <f t="shared" si="13"/>
        <v>48.4</v>
      </c>
      <c r="F962" s="9">
        <f t="shared" si="14"/>
        <v>60.5</v>
      </c>
    </row>
    <row r="963" spans="1:6" ht="15" customHeight="1">
      <c r="A963" s="52" t="s">
        <v>391</v>
      </c>
      <c r="B963" s="78" t="s">
        <v>368</v>
      </c>
      <c r="C963" s="52" t="s">
        <v>83</v>
      </c>
      <c r="D963" s="52">
        <v>2</v>
      </c>
      <c r="E963" s="78"/>
      <c r="F963" s="9">
        <f>D963*F956/100</f>
        <v>9.8684</v>
      </c>
    </row>
    <row r="964" spans="1:6" ht="15" customHeight="1">
      <c r="A964" s="52" t="s">
        <v>392</v>
      </c>
      <c r="B964" s="78" t="s">
        <v>369</v>
      </c>
      <c r="C964" s="52" t="s">
        <v>83</v>
      </c>
      <c r="D964" s="52">
        <v>4</v>
      </c>
      <c r="E964" s="78"/>
      <c r="F964" s="9">
        <f>D964*F956/100</f>
        <v>19.7368</v>
      </c>
    </row>
    <row r="965" spans="1:6" ht="15" customHeight="1">
      <c r="A965" s="78" t="s">
        <v>21</v>
      </c>
      <c r="B965" s="78" t="s">
        <v>370</v>
      </c>
      <c r="C965" s="52" t="s">
        <v>83</v>
      </c>
      <c r="D965" s="52">
        <v>3</v>
      </c>
      <c r="E965" s="78"/>
      <c r="F965" s="9">
        <f>D965*F955/100</f>
        <v>15.690755999999997</v>
      </c>
    </row>
    <row r="966" spans="1:6" ht="15" customHeight="1">
      <c r="A966" s="78" t="s">
        <v>250</v>
      </c>
      <c r="B966" s="78" t="s">
        <v>371</v>
      </c>
      <c r="C966" s="52" t="s">
        <v>83</v>
      </c>
      <c r="D966" s="52">
        <v>5</v>
      </c>
      <c r="E966" s="78"/>
      <c r="F966" s="9">
        <f>D966*(F965+F955)/100</f>
        <v>26.935797799999996</v>
      </c>
    </row>
    <row r="967" spans="1:6" ht="15" customHeight="1">
      <c r="A967" s="78" t="s">
        <v>372</v>
      </c>
      <c r="B967" s="78" t="s">
        <v>373</v>
      </c>
      <c r="C967" s="52" t="s">
        <v>83</v>
      </c>
      <c r="D967" s="52">
        <v>9</v>
      </c>
      <c r="E967" s="78"/>
      <c r="F967" s="9">
        <f>D967*(F955+F965+F966)/100</f>
        <v>50.908657842</v>
      </c>
    </row>
    <row r="968" spans="1:6" ht="15" customHeight="1">
      <c r="A968" s="78" t="s">
        <v>393</v>
      </c>
      <c r="B968" s="78"/>
      <c r="C968" s="78"/>
      <c r="D968" s="78"/>
      <c r="E968" s="78"/>
      <c r="F968" s="9">
        <f>F955+F965+F966+F967</f>
        <v>616.560411642</v>
      </c>
    </row>
    <row r="969" spans="1:6" ht="15" customHeight="1">
      <c r="A969" s="80"/>
      <c r="B969" s="31"/>
      <c r="C969" s="31"/>
      <c r="D969" s="81"/>
      <c r="E969" s="81"/>
      <c r="F969" s="81"/>
    </row>
    <row r="970" spans="1:6" ht="15" customHeight="1">
      <c r="A970" s="84" t="s">
        <v>495</v>
      </c>
      <c r="B970" s="84"/>
      <c r="C970" s="84"/>
      <c r="D970" s="84"/>
      <c r="E970" s="84"/>
      <c r="F970" s="84"/>
    </row>
    <row r="971" spans="1:6" ht="15" customHeight="1">
      <c r="A971" s="85" t="s">
        <v>496</v>
      </c>
      <c r="B971" s="86"/>
      <c r="C971" s="86"/>
      <c r="D971" s="87"/>
      <c r="E971" s="88" t="s">
        <v>497</v>
      </c>
      <c r="F971" s="89"/>
    </row>
    <row r="972" spans="1:6" ht="15" customHeight="1">
      <c r="A972" s="85" t="s">
        <v>498</v>
      </c>
      <c r="B972" s="86"/>
      <c r="C972" s="86"/>
      <c r="D972" s="86"/>
      <c r="E972" s="86"/>
      <c r="F972" s="87"/>
    </row>
    <row r="973" spans="1:6" ht="15" customHeight="1">
      <c r="A973" s="90" t="s">
        <v>2</v>
      </c>
      <c r="B973" s="91" t="s">
        <v>499</v>
      </c>
      <c r="C973" s="91" t="s">
        <v>351</v>
      </c>
      <c r="D973" s="91" t="s">
        <v>352</v>
      </c>
      <c r="E973" s="64" t="s">
        <v>353</v>
      </c>
      <c r="F973" s="64" t="s">
        <v>385</v>
      </c>
    </row>
    <row r="974" spans="1:6" ht="14.25">
      <c r="A974" s="92" t="s">
        <v>11</v>
      </c>
      <c r="B974" s="93" t="s">
        <v>355</v>
      </c>
      <c r="C974" s="94" t="s">
        <v>500</v>
      </c>
      <c r="D974" s="94"/>
      <c r="E974" s="94"/>
      <c r="F974" s="94">
        <f>F975+F980+F981</f>
        <v>1233.02592</v>
      </c>
    </row>
    <row r="975" spans="1:6" ht="14.25">
      <c r="A975" s="95" t="s">
        <v>386</v>
      </c>
      <c r="B975" s="93" t="s">
        <v>356</v>
      </c>
      <c r="C975" s="94"/>
      <c r="D975" s="94"/>
      <c r="E975" s="94"/>
      <c r="F975" s="94">
        <f>F976+F978</f>
        <v>1163.232</v>
      </c>
    </row>
    <row r="976" spans="1:6" ht="14.25">
      <c r="A976" s="95">
        <v>1</v>
      </c>
      <c r="B976" s="93" t="s">
        <v>358</v>
      </c>
      <c r="C976" s="94"/>
      <c r="D976" s="94"/>
      <c r="E976" s="94"/>
      <c r="F976" s="94">
        <f>F977</f>
        <v>830.8799999999999</v>
      </c>
    </row>
    <row r="977" spans="1:6" ht="14.25">
      <c r="A977" s="95"/>
      <c r="B977" s="93" t="s">
        <v>501</v>
      </c>
      <c r="C977" s="93" t="s">
        <v>359</v>
      </c>
      <c r="D977" s="94">
        <v>144</v>
      </c>
      <c r="E977" s="94">
        <f>E939</f>
        <v>5.77</v>
      </c>
      <c r="F977" s="94">
        <f>E977*D977</f>
        <v>830.8799999999999</v>
      </c>
    </row>
    <row r="978" spans="1:6" ht="14.25">
      <c r="A978" s="95">
        <v>2</v>
      </c>
      <c r="B978" s="93" t="s">
        <v>361</v>
      </c>
      <c r="C978" s="94"/>
      <c r="D978" s="94"/>
      <c r="E978" s="94"/>
      <c r="F978" s="94">
        <f>F979</f>
        <v>332.352</v>
      </c>
    </row>
    <row r="979" spans="1:6" ht="14.25">
      <c r="A979" s="95"/>
      <c r="B979" s="93" t="s">
        <v>363</v>
      </c>
      <c r="C979" s="94" t="s">
        <v>83</v>
      </c>
      <c r="D979" s="94">
        <v>40</v>
      </c>
      <c r="E979" s="94">
        <f>F977</f>
        <v>830.8799999999999</v>
      </c>
      <c r="F979" s="94">
        <f>E979*D979/100</f>
        <v>332.352</v>
      </c>
    </row>
    <row r="980" spans="1:6" ht="14.25">
      <c r="A980" s="95" t="s">
        <v>391</v>
      </c>
      <c r="B980" s="93" t="s">
        <v>368</v>
      </c>
      <c r="C980" s="94" t="s">
        <v>83</v>
      </c>
      <c r="D980" s="94">
        <v>2</v>
      </c>
      <c r="E980" s="94"/>
      <c r="F980" s="94">
        <f>D980*F975/100</f>
        <v>23.26464</v>
      </c>
    </row>
    <row r="981" spans="1:6" ht="14.25">
      <c r="A981" s="95" t="s">
        <v>392</v>
      </c>
      <c r="B981" s="93" t="s">
        <v>369</v>
      </c>
      <c r="C981" s="94" t="s">
        <v>83</v>
      </c>
      <c r="D981" s="94">
        <v>4</v>
      </c>
      <c r="E981" s="94"/>
      <c r="F981" s="94">
        <f>D981*F975/100</f>
        <v>46.52928</v>
      </c>
    </row>
    <row r="982" spans="1:6" ht="14.25">
      <c r="A982" s="92" t="s">
        <v>21</v>
      </c>
      <c r="B982" s="93" t="s">
        <v>370</v>
      </c>
      <c r="C982" s="94" t="s">
        <v>83</v>
      </c>
      <c r="D982" s="94">
        <v>3</v>
      </c>
      <c r="E982" s="94"/>
      <c r="F982" s="94">
        <f>D982*F974/100</f>
        <v>36.9907776</v>
      </c>
    </row>
    <row r="983" spans="1:6" ht="14.25">
      <c r="A983" s="92" t="s">
        <v>250</v>
      </c>
      <c r="B983" s="93" t="s">
        <v>371</v>
      </c>
      <c r="C983" s="94" t="s">
        <v>83</v>
      </c>
      <c r="D983" s="94">
        <v>5</v>
      </c>
      <c r="E983" s="94"/>
      <c r="F983" s="94">
        <f>D983*(F974+F982)/100</f>
        <v>63.50083488</v>
      </c>
    </row>
    <row r="984" spans="1:6" ht="14.25">
      <c r="A984" s="92" t="s">
        <v>372</v>
      </c>
      <c r="B984" s="93" t="s">
        <v>373</v>
      </c>
      <c r="C984" s="94" t="s">
        <v>83</v>
      </c>
      <c r="D984" s="94">
        <v>9</v>
      </c>
      <c r="E984" s="94"/>
      <c r="F984" s="94">
        <f>D984*(F974+F982+F983)/100</f>
        <v>120.0165779232</v>
      </c>
    </row>
    <row r="985" spans="1:6" ht="14.25">
      <c r="A985" s="96" t="s">
        <v>393</v>
      </c>
      <c r="B985" s="97"/>
      <c r="C985" s="94"/>
      <c r="D985" s="98"/>
      <c r="E985" s="94"/>
      <c r="F985" s="94">
        <f>F974+F982+F983+F984</f>
        <v>1453.5341104032</v>
      </c>
    </row>
    <row r="986" spans="1:6" ht="14.25">
      <c r="A986" s="99"/>
      <c r="B986" s="100"/>
      <c r="C986" s="100"/>
      <c r="D986" s="100"/>
      <c r="E986" s="100"/>
      <c r="F986" s="100"/>
    </row>
    <row r="987" spans="1:6" ht="14.25">
      <c r="A987" s="84" t="s">
        <v>502</v>
      </c>
      <c r="B987" s="84"/>
      <c r="C987" s="84"/>
      <c r="D987" s="84"/>
      <c r="E987" s="84"/>
      <c r="F987" s="84"/>
    </row>
    <row r="988" spans="1:6" ht="14.25">
      <c r="A988" s="85" t="s">
        <v>503</v>
      </c>
      <c r="B988" s="86"/>
      <c r="C988" s="86"/>
      <c r="D988" s="87"/>
      <c r="E988" s="101" t="s">
        <v>497</v>
      </c>
      <c r="F988" s="102"/>
    </row>
    <row r="989" spans="1:6" ht="14.25">
      <c r="A989" s="85" t="s">
        <v>498</v>
      </c>
      <c r="B989" s="86"/>
      <c r="C989" s="86"/>
      <c r="D989" s="86"/>
      <c r="E989" s="86"/>
      <c r="F989" s="87"/>
    </row>
    <row r="990" spans="1:6" ht="15" customHeight="1">
      <c r="A990" s="90" t="s">
        <v>2</v>
      </c>
      <c r="B990" s="91" t="s">
        <v>499</v>
      </c>
      <c r="C990" s="91" t="s">
        <v>351</v>
      </c>
      <c r="D990" s="91" t="s">
        <v>352</v>
      </c>
      <c r="E990" s="64" t="s">
        <v>353</v>
      </c>
      <c r="F990" s="64" t="s">
        <v>385</v>
      </c>
    </row>
    <row r="991" spans="1:6" ht="15" customHeight="1">
      <c r="A991" s="92" t="s">
        <v>11</v>
      </c>
      <c r="B991" s="93" t="s">
        <v>355</v>
      </c>
      <c r="C991" s="94" t="s">
        <v>500</v>
      </c>
      <c r="D991" s="94"/>
      <c r="E991" s="94"/>
      <c r="F991" s="94">
        <f>F992+F997+F998</f>
        <v>890.51872</v>
      </c>
    </row>
    <row r="992" spans="1:6" ht="14.25">
      <c r="A992" s="95" t="s">
        <v>386</v>
      </c>
      <c r="B992" s="93" t="s">
        <v>356</v>
      </c>
      <c r="C992" s="94"/>
      <c r="D992" s="94"/>
      <c r="E992" s="94"/>
      <c r="F992" s="94">
        <f>F993+F995</f>
        <v>840.1120000000001</v>
      </c>
    </row>
    <row r="993" spans="1:6" ht="14.25">
      <c r="A993" s="95">
        <v>1</v>
      </c>
      <c r="B993" s="93" t="s">
        <v>358</v>
      </c>
      <c r="C993" s="94"/>
      <c r="D993" s="94"/>
      <c r="E993" s="94"/>
      <c r="F993" s="94">
        <f>F994</f>
        <v>646.24</v>
      </c>
    </row>
    <row r="994" spans="1:6" ht="14.25">
      <c r="A994" s="95"/>
      <c r="B994" s="93" t="s">
        <v>501</v>
      </c>
      <c r="C994" s="93" t="s">
        <v>359</v>
      </c>
      <c r="D994" s="94">
        <v>112</v>
      </c>
      <c r="E994" s="94">
        <f>E977</f>
        <v>5.77</v>
      </c>
      <c r="F994" s="94">
        <f>E994*D994</f>
        <v>646.24</v>
      </c>
    </row>
    <row r="995" spans="1:6" ht="14.25">
      <c r="A995" s="95">
        <v>2</v>
      </c>
      <c r="B995" s="93" t="s">
        <v>361</v>
      </c>
      <c r="C995" s="94"/>
      <c r="D995" s="94"/>
      <c r="E995" s="94"/>
      <c r="F995" s="94">
        <f>F996</f>
        <v>193.872</v>
      </c>
    </row>
    <row r="996" spans="1:6" ht="14.25">
      <c r="A996" s="95"/>
      <c r="B996" s="93" t="s">
        <v>363</v>
      </c>
      <c r="C996" s="94" t="s">
        <v>83</v>
      </c>
      <c r="D996" s="94">
        <v>30</v>
      </c>
      <c r="E996" s="94">
        <f>F994</f>
        <v>646.24</v>
      </c>
      <c r="F996" s="94">
        <f>E996*D996/100</f>
        <v>193.872</v>
      </c>
    </row>
    <row r="997" spans="1:6" ht="14.25">
      <c r="A997" s="95" t="s">
        <v>391</v>
      </c>
      <c r="B997" s="93" t="s">
        <v>368</v>
      </c>
      <c r="C997" s="94" t="s">
        <v>83</v>
      </c>
      <c r="D997" s="94">
        <v>2</v>
      </c>
      <c r="E997" s="94"/>
      <c r="F997" s="94">
        <f>D997*F992/100</f>
        <v>16.80224</v>
      </c>
    </row>
    <row r="998" spans="1:6" ht="14.25">
      <c r="A998" s="95" t="s">
        <v>392</v>
      </c>
      <c r="B998" s="93" t="s">
        <v>369</v>
      </c>
      <c r="C998" s="94" t="s">
        <v>83</v>
      </c>
      <c r="D998" s="94">
        <v>4</v>
      </c>
      <c r="E998" s="94"/>
      <c r="F998" s="94">
        <f>D998*F992/100</f>
        <v>33.60448</v>
      </c>
    </row>
    <row r="999" spans="1:6" ht="14.25">
      <c r="A999" s="92" t="s">
        <v>21</v>
      </c>
      <c r="B999" s="93" t="s">
        <v>370</v>
      </c>
      <c r="C999" s="94" t="s">
        <v>83</v>
      </c>
      <c r="D999" s="94">
        <v>3</v>
      </c>
      <c r="E999" s="94"/>
      <c r="F999" s="94">
        <f>D999*F991/100</f>
        <v>26.7155616</v>
      </c>
    </row>
    <row r="1000" spans="1:6" ht="14.25">
      <c r="A1000" s="92" t="s">
        <v>250</v>
      </c>
      <c r="B1000" s="93" t="s">
        <v>371</v>
      </c>
      <c r="C1000" s="94" t="s">
        <v>83</v>
      </c>
      <c r="D1000" s="94">
        <v>5</v>
      </c>
      <c r="E1000" s="94"/>
      <c r="F1000" s="94">
        <f>D1000*(F991+F999)/100</f>
        <v>45.86171408</v>
      </c>
    </row>
    <row r="1001" spans="1:6" ht="14.25">
      <c r="A1001" s="92" t="s">
        <v>372</v>
      </c>
      <c r="B1001" s="93" t="s">
        <v>373</v>
      </c>
      <c r="C1001" s="94" t="s">
        <v>83</v>
      </c>
      <c r="D1001" s="94">
        <v>9</v>
      </c>
      <c r="E1001" s="94"/>
      <c r="F1001" s="94">
        <f>D1001*(F991+F999+F1000)/100</f>
        <v>86.6786396112</v>
      </c>
    </row>
    <row r="1002" spans="1:6" ht="14.25">
      <c r="A1002" s="96" t="s">
        <v>393</v>
      </c>
      <c r="B1002" s="97"/>
      <c r="C1002" s="94"/>
      <c r="D1002" s="94"/>
      <c r="E1002" s="94"/>
      <c r="F1002" s="94">
        <f>F991+F999+F1000+F1001</f>
        <v>1049.7746352912</v>
      </c>
    </row>
    <row r="1004" spans="1:6" ht="14.25">
      <c r="A1004" s="84" t="s">
        <v>504</v>
      </c>
      <c r="B1004" s="84"/>
      <c r="C1004" s="84"/>
      <c r="D1004" s="84"/>
      <c r="E1004" s="84"/>
      <c r="F1004" s="84"/>
    </row>
    <row r="1005" spans="1:6" ht="14.25">
      <c r="A1005" s="85" t="s">
        <v>505</v>
      </c>
      <c r="B1005" s="86"/>
      <c r="C1005" s="86"/>
      <c r="D1005" s="87"/>
      <c r="E1005" s="101" t="s">
        <v>497</v>
      </c>
      <c r="F1005" s="102"/>
    </row>
    <row r="1006" spans="1:6" ht="14.25">
      <c r="A1006" s="85" t="s">
        <v>498</v>
      </c>
      <c r="B1006" s="86"/>
      <c r="C1006" s="86"/>
      <c r="D1006" s="86"/>
      <c r="E1006" s="86"/>
      <c r="F1006" s="87"/>
    </row>
    <row r="1007" spans="1:6" ht="14.25">
      <c r="A1007" s="90" t="s">
        <v>2</v>
      </c>
      <c r="B1007" s="91" t="s">
        <v>499</v>
      </c>
      <c r="C1007" s="91" t="s">
        <v>351</v>
      </c>
      <c r="D1007" s="91" t="s">
        <v>352</v>
      </c>
      <c r="E1007" s="64" t="s">
        <v>353</v>
      </c>
      <c r="F1007" s="64" t="s">
        <v>385</v>
      </c>
    </row>
    <row r="1008" spans="1:6" ht="14.25">
      <c r="A1008" s="92" t="s">
        <v>11</v>
      </c>
      <c r="B1008" s="93" t="s">
        <v>355</v>
      </c>
      <c r="C1008" s="94" t="s">
        <v>500</v>
      </c>
      <c r="D1008" s="94"/>
      <c r="E1008" s="94"/>
      <c r="F1008" s="94">
        <f>F1009+F1014+F1015</f>
        <v>699.69328</v>
      </c>
    </row>
    <row r="1009" spans="1:6" ht="14.25">
      <c r="A1009" s="95" t="s">
        <v>386</v>
      </c>
      <c r="B1009" s="93" t="s">
        <v>356</v>
      </c>
      <c r="C1009" s="94"/>
      <c r="D1009" s="94"/>
      <c r="E1009" s="94"/>
      <c r="F1009" s="94">
        <f>F1010+F1012</f>
        <v>660.088</v>
      </c>
    </row>
    <row r="1010" spans="1:6" ht="14.25">
      <c r="A1010" s="95">
        <v>1</v>
      </c>
      <c r="B1010" s="93" t="s">
        <v>358</v>
      </c>
      <c r="C1010" s="94"/>
      <c r="D1010" s="94"/>
      <c r="E1010" s="94"/>
      <c r="F1010" s="94">
        <f>F1011</f>
        <v>507.76</v>
      </c>
    </row>
    <row r="1011" spans="1:6" ht="14.25">
      <c r="A1011" s="95"/>
      <c r="B1011" s="93" t="s">
        <v>501</v>
      </c>
      <c r="C1011" s="93" t="s">
        <v>359</v>
      </c>
      <c r="D1011" s="94">
        <v>88</v>
      </c>
      <c r="E1011" s="94">
        <f>E994</f>
        <v>5.77</v>
      </c>
      <c r="F1011" s="94">
        <f>E1011*D1011</f>
        <v>507.76</v>
      </c>
    </row>
    <row r="1012" spans="1:6" ht="14.25">
      <c r="A1012" s="95">
        <v>2</v>
      </c>
      <c r="B1012" s="93" t="s">
        <v>361</v>
      </c>
      <c r="C1012" s="94"/>
      <c r="D1012" s="94"/>
      <c r="E1012" s="94"/>
      <c r="F1012" s="94">
        <f>F1013</f>
        <v>152.328</v>
      </c>
    </row>
    <row r="1013" spans="1:6" ht="14.25">
      <c r="A1013" s="95"/>
      <c r="B1013" s="93" t="s">
        <v>363</v>
      </c>
      <c r="C1013" s="94" t="s">
        <v>83</v>
      </c>
      <c r="D1013" s="94">
        <v>30</v>
      </c>
      <c r="E1013" s="94">
        <f>F1011</f>
        <v>507.76</v>
      </c>
      <c r="F1013" s="94">
        <f>E1013*D1013/100</f>
        <v>152.328</v>
      </c>
    </row>
    <row r="1014" spans="1:6" ht="14.25">
      <c r="A1014" s="95" t="s">
        <v>391</v>
      </c>
      <c r="B1014" s="93" t="s">
        <v>368</v>
      </c>
      <c r="C1014" s="94" t="s">
        <v>83</v>
      </c>
      <c r="D1014" s="94">
        <v>2</v>
      </c>
      <c r="E1014" s="94"/>
      <c r="F1014" s="94">
        <f>D1014*F1009/100</f>
        <v>13.20176</v>
      </c>
    </row>
    <row r="1015" spans="1:6" ht="14.25">
      <c r="A1015" s="95" t="s">
        <v>392</v>
      </c>
      <c r="B1015" s="93" t="s">
        <v>369</v>
      </c>
      <c r="C1015" s="94" t="s">
        <v>83</v>
      </c>
      <c r="D1015" s="94">
        <v>4</v>
      </c>
      <c r="E1015" s="94"/>
      <c r="F1015" s="94">
        <f>D1015*F1009/100</f>
        <v>26.40352</v>
      </c>
    </row>
    <row r="1016" spans="1:6" ht="14.25">
      <c r="A1016" s="92" t="s">
        <v>21</v>
      </c>
      <c r="B1016" s="93" t="s">
        <v>370</v>
      </c>
      <c r="C1016" s="94" t="s">
        <v>83</v>
      </c>
      <c r="D1016" s="94">
        <v>3</v>
      </c>
      <c r="E1016" s="94"/>
      <c r="F1016" s="94">
        <f>D1016*F1008/100</f>
        <v>20.9907984</v>
      </c>
    </row>
    <row r="1017" spans="1:6" ht="14.25">
      <c r="A1017" s="92" t="s">
        <v>250</v>
      </c>
      <c r="B1017" s="93" t="s">
        <v>371</v>
      </c>
      <c r="C1017" s="94" t="s">
        <v>83</v>
      </c>
      <c r="D1017" s="94">
        <v>5</v>
      </c>
      <c r="E1017" s="94"/>
      <c r="F1017" s="94">
        <f>D1017*(F1008+F1016)/100</f>
        <v>36.03420392</v>
      </c>
    </row>
    <row r="1018" spans="1:6" ht="14.25">
      <c r="A1018" s="92" t="s">
        <v>372</v>
      </c>
      <c r="B1018" s="93" t="s">
        <v>373</v>
      </c>
      <c r="C1018" s="94" t="s">
        <v>83</v>
      </c>
      <c r="D1018" s="94">
        <v>9</v>
      </c>
      <c r="E1018" s="94"/>
      <c r="F1018" s="94">
        <f>D1018*(F1008+F1016+F1017)/100</f>
        <v>68.1046454088</v>
      </c>
    </row>
    <row r="1019" spans="1:6" ht="14.25">
      <c r="A1019" s="96" t="s">
        <v>393</v>
      </c>
      <c r="B1019" s="97"/>
      <c r="C1019" s="94"/>
      <c r="D1019" s="94"/>
      <c r="E1019" s="94"/>
      <c r="F1019" s="94">
        <f>F1008+F1016+F1017+F1018</f>
        <v>824.8229277288</v>
      </c>
    </row>
    <row r="1022" spans="1:6" ht="14.25">
      <c r="A1022" s="103" t="s">
        <v>506</v>
      </c>
      <c r="B1022" s="104"/>
      <c r="C1022" s="104"/>
      <c r="D1022" s="104"/>
      <c r="E1022" s="104"/>
      <c r="F1022" s="104"/>
    </row>
    <row r="1023" spans="1:6" ht="14.25">
      <c r="A1023" s="105" t="s">
        <v>507</v>
      </c>
      <c r="B1023" s="106"/>
      <c r="C1023" s="107"/>
      <c r="D1023" s="108" t="s">
        <v>508</v>
      </c>
      <c r="E1023" s="109"/>
      <c r="F1023" s="110"/>
    </row>
    <row r="1024" spans="1:6" ht="14.25">
      <c r="A1024" s="105" t="s">
        <v>509</v>
      </c>
      <c r="B1024" s="106"/>
      <c r="C1024" s="106"/>
      <c r="D1024" s="106"/>
      <c r="E1024" s="106"/>
      <c r="F1024" s="107"/>
    </row>
    <row r="1025" spans="1:6" ht="14.25">
      <c r="A1025" s="62" t="s">
        <v>349</v>
      </c>
      <c r="B1025" s="63" t="s">
        <v>350</v>
      </c>
      <c r="C1025" s="63" t="s">
        <v>351</v>
      </c>
      <c r="D1025" s="63" t="s">
        <v>352</v>
      </c>
      <c r="E1025" s="63" t="s">
        <v>353</v>
      </c>
      <c r="F1025" s="64" t="s">
        <v>354</v>
      </c>
    </row>
    <row r="1026" spans="1:6" ht="14.25">
      <c r="A1026" s="65" t="s">
        <v>11</v>
      </c>
      <c r="B1026" s="8" t="s">
        <v>355</v>
      </c>
      <c r="C1026" s="32"/>
      <c r="D1026" s="66"/>
      <c r="E1026" s="66"/>
      <c r="F1026" s="66">
        <f>F1027+F1031+F1032</f>
        <v>209.23520200000002</v>
      </c>
    </row>
    <row r="1027" spans="1:6" ht="14.25">
      <c r="A1027" s="65" t="s">
        <v>12</v>
      </c>
      <c r="B1027" s="8" t="s">
        <v>356</v>
      </c>
      <c r="C1027" s="32"/>
      <c r="D1027" s="66"/>
      <c r="E1027" s="66"/>
      <c r="F1027" s="66">
        <f>F1028+F1029</f>
        <v>197.39170000000001</v>
      </c>
    </row>
    <row r="1028" spans="1:6" ht="14.25">
      <c r="A1028" s="67" t="s">
        <v>357</v>
      </c>
      <c r="B1028" s="8" t="s">
        <v>358</v>
      </c>
      <c r="C1028" s="8" t="s">
        <v>359</v>
      </c>
      <c r="D1028" s="66">
        <v>31.1</v>
      </c>
      <c r="E1028" s="66">
        <f>E994</f>
        <v>5.77</v>
      </c>
      <c r="F1028" s="66">
        <f>D1028*E1028</f>
        <v>179.447</v>
      </c>
    </row>
    <row r="1029" spans="1:6" ht="14.25">
      <c r="A1029" s="67" t="s">
        <v>360</v>
      </c>
      <c r="B1029" s="8" t="s">
        <v>361</v>
      </c>
      <c r="C1029" s="32"/>
      <c r="D1029" s="66"/>
      <c r="E1029" s="66"/>
      <c r="F1029" s="66">
        <f>F1030</f>
        <v>17.9447</v>
      </c>
    </row>
    <row r="1030" spans="1:6" ht="14.25">
      <c r="A1030" s="67"/>
      <c r="B1030" s="8" t="s">
        <v>363</v>
      </c>
      <c r="C1030" s="32" t="s">
        <v>83</v>
      </c>
      <c r="D1030" s="66">
        <v>10</v>
      </c>
      <c r="E1030" s="66">
        <f>F1028</f>
        <v>179.447</v>
      </c>
      <c r="F1030" s="66">
        <f>D1030*E1030/100</f>
        <v>17.9447</v>
      </c>
    </row>
    <row r="1031" spans="1:6" ht="14.25">
      <c r="A1031" s="65" t="s">
        <v>13</v>
      </c>
      <c r="B1031" s="8" t="s">
        <v>368</v>
      </c>
      <c r="C1031" s="32" t="s">
        <v>83</v>
      </c>
      <c r="D1031" s="94">
        <f>D997</f>
        <v>2</v>
      </c>
      <c r="E1031" s="66"/>
      <c r="F1031" s="66">
        <f>F1027*D1031/100</f>
        <v>3.9478340000000003</v>
      </c>
    </row>
    <row r="1032" spans="1:6" ht="14.25">
      <c r="A1032" s="65" t="s">
        <v>15</v>
      </c>
      <c r="B1032" s="8" t="s">
        <v>369</v>
      </c>
      <c r="C1032" s="32" t="s">
        <v>83</v>
      </c>
      <c r="D1032" s="94">
        <f>D998</f>
        <v>4</v>
      </c>
      <c r="E1032" s="66"/>
      <c r="F1032" s="66">
        <f>F1027*D1032/100</f>
        <v>7.895668000000001</v>
      </c>
    </row>
    <row r="1033" spans="1:6" ht="14.25">
      <c r="A1033" s="65" t="s">
        <v>21</v>
      </c>
      <c r="B1033" s="8" t="s">
        <v>370</v>
      </c>
      <c r="C1033" s="32" t="s">
        <v>83</v>
      </c>
      <c r="D1033" s="94">
        <f>D999</f>
        <v>3</v>
      </c>
      <c r="E1033" s="66"/>
      <c r="F1033" s="66">
        <f>F1026*D1033/100</f>
        <v>6.27705606</v>
      </c>
    </row>
    <row r="1034" spans="1:6" ht="14.25">
      <c r="A1034" s="65" t="s">
        <v>250</v>
      </c>
      <c r="B1034" s="8" t="s">
        <v>371</v>
      </c>
      <c r="C1034" s="32" t="s">
        <v>83</v>
      </c>
      <c r="D1034" s="94">
        <f>D1000</f>
        <v>5</v>
      </c>
      <c r="E1034" s="66"/>
      <c r="F1034" s="66">
        <f>(F1026+F1033)*D1034/100</f>
        <v>10.775612903</v>
      </c>
    </row>
    <row r="1035" spans="1:6" ht="14.25">
      <c r="A1035" s="65" t="s">
        <v>372</v>
      </c>
      <c r="B1035" s="8" t="s">
        <v>373</v>
      </c>
      <c r="C1035" s="32" t="s">
        <v>83</v>
      </c>
      <c r="D1035" s="94">
        <f>D1001</f>
        <v>9</v>
      </c>
      <c r="E1035" s="66"/>
      <c r="F1035" s="66">
        <f>D1035*(F1026+F1033+F1034)/100</f>
        <v>20.36590838667</v>
      </c>
    </row>
    <row r="1036" spans="1:6" ht="14.25">
      <c r="A1036" s="8" t="s">
        <v>374</v>
      </c>
      <c r="B1036" s="32"/>
      <c r="C1036" s="32"/>
      <c r="D1036" s="66"/>
      <c r="E1036" s="66"/>
      <c r="F1036" s="66">
        <f>F1026+F1033+F1034+F1035</f>
        <v>246.65377934967</v>
      </c>
    </row>
    <row r="1038" spans="1:6" ht="14.25">
      <c r="A1038" s="103" t="s">
        <v>510</v>
      </c>
      <c r="B1038" s="104"/>
      <c r="C1038" s="104"/>
      <c r="D1038" s="104"/>
      <c r="E1038" s="104"/>
      <c r="F1038" s="104"/>
    </row>
    <row r="1039" spans="1:6" ht="14.25">
      <c r="A1039" s="105" t="s">
        <v>511</v>
      </c>
      <c r="B1039" s="106"/>
      <c r="C1039" s="107"/>
      <c r="D1039" s="108" t="s">
        <v>508</v>
      </c>
      <c r="E1039" s="109"/>
      <c r="F1039" s="110"/>
    </row>
    <row r="1040" spans="1:6" ht="14.25">
      <c r="A1040" s="105" t="s">
        <v>509</v>
      </c>
      <c r="B1040" s="106"/>
      <c r="C1040" s="106"/>
      <c r="D1040" s="106"/>
      <c r="E1040" s="106"/>
      <c r="F1040" s="107"/>
    </row>
    <row r="1041" spans="1:6" ht="14.25">
      <c r="A1041" s="62" t="s">
        <v>349</v>
      </c>
      <c r="B1041" s="63" t="s">
        <v>350</v>
      </c>
      <c r="C1041" s="63" t="s">
        <v>351</v>
      </c>
      <c r="D1041" s="63" t="s">
        <v>352</v>
      </c>
      <c r="E1041" s="63" t="s">
        <v>353</v>
      </c>
      <c r="F1041" s="64" t="s">
        <v>354</v>
      </c>
    </row>
    <row r="1042" spans="1:6" ht="14.25">
      <c r="A1042" s="65" t="s">
        <v>11</v>
      </c>
      <c r="B1042" s="8" t="s">
        <v>355</v>
      </c>
      <c r="C1042" s="32"/>
      <c r="D1042" s="66"/>
      <c r="E1042" s="66"/>
      <c r="F1042" s="66">
        <f>F1043+F1047+F1048</f>
        <v>62.47986799999999</v>
      </c>
    </row>
    <row r="1043" spans="1:6" ht="14.25">
      <c r="A1043" s="65" t="s">
        <v>12</v>
      </c>
      <c r="B1043" s="8" t="s">
        <v>356</v>
      </c>
      <c r="C1043" s="32"/>
      <c r="D1043" s="66"/>
      <c r="E1043" s="66"/>
      <c r="F1043" s="66">
        <f>F1044+F1045</f>
        <v>58.39239999999999</v>
      </c>
    </row>
    <row r="1044" spans="1:6" ht="14.25">
      <c r="A1044" s="67" t="s">
        <v>357</v>
      </c>
      <c r="B1044" s="8" t="s">
        <v>358</v>
      </c>
      <c r="C1044" s="8" t="s">
        <v>359</v>
      </c>
      <c r="D1044" s="66">
        <v>9.2</v>
      </c>
      <c r="E1044" s="66">
        <f>E1028</f>
        <v>5.77</v>
      </c>
      <c r="F1044" s="66">
        <f>D1044*E1044</f>
        <v>53.08399999999999</v>
      </c>
    </row>
    <row r="1045" spans="1:6" ht="14.25">
      <c r="A1045" s="67" t="s">
        <v>360</v>
      </c>
      <c r="B1045" s="8" t="s">
        <v>361</v>
      </c>
      <c r="C1045" s="32"/>
      <c r="D1045" s="66"/>
      <c r="E1045" s="66"/>
      <c r="F1045" s="66">
        <f>F1046</f>
        <v>5.308399999999999</v>
      </c>
    </row>
    <row r="1046" spans="1:6" ht="14.25">
      <c r="A1046" s="67"/>
      <c r="B1046" s="8" t="s">
        <v>363</v>
      </c>
      <c r="C1046" s="32" t="s">
        <v>83</v>
      </c>
      <c r="D1046" s="66">
        <v>10</v>
      </c>
      <c r="E1046" s="66">
        <f>F1044</f>
        <v>53.08399999999999</v>
      </c>
      <c r="F1046" s="66">
        <f>D1046*E1046/100</f>
        <v>5.308399999999999</v>
      </c>
    </row>
    <row r="1047" spans="1:6" ht="14.25">
      <c r="A1047" s="65" t="s">
        <v>13</v>
      </c>
      <c r="B1047" s="8" t="s">
        <v>368</v>
      </c>
      <c r="C1047" s="32" t="s">
        <v>83</v>
      </c>
      <c r="D1047" s="94">
        <v>3</v>
      </c>
      <c r="E1047" s="66"/>
      <c r="F1047" s="66">
        <f>F1043*D1047/100</f>
        <v>1.7517719999999997</v>
      </c>
    </row>
    <row r="1048" spans="1:6" ht="14.25">
      <c r="A1048" s="65" t="s">
        <v>15</v>
      </c>
      <c r="B1048" s="8" t="s">
        <v>369</v>
      </c>
      <c r="C1048" s="32" t="s">
        <v>83</v>
      </c>
      <c r="D1048" s="94">
        <v>4</v>
      </c>
      <c r="E1048" s="66"/>
      <c r="F1048" s="66">
        <f>F1043*D1048/100</f>
        <v>2.3356959999999996</v>
      </c>
    </row>
    <row r="1049" spans="1:6" ht="14.25">
      <c r="A1049" s="65" t="s">
        <v>21</v>
      </c>
      <c r="B1049" s="8" t="s">
        <v>370</v>
      </c>
      <c r="C1049" s="32" t="s">
        <v>83</v>
      </c>
      <c r="D1049" s="94">
        <v>4.5</v>
      </c>
      <c r="E1049" s="66"/>
      <c r="F1049" s="66">
        <f>F1042*D1049/100</f>
        <v>2.811594059999999</v>
      </c>
    </row>
    <row r="1050" spans="1:6" ht="14.25">
      <c r="A1050" s="65" t="s">
        <v>250</v>
      </c>
      <c r="B1050" s="8" t="s">
        <v>371</v>
      </c>
      <c r="C1050" s="32" t="s">
        <v>83</v>
      </c>
      <c r="D1050" s="94">
        <v>7</v>
      </c>
      <c r="E1050" s="66"/>
      <c r="F1050" s="66">
        <f>(F1042+F1049)*D1050/100</f>
        <v>4.5704023442</v>
      </c>
    </row>
    <row r="1051" spans="1:6" ht="14.25">
      <c r="A1051" s="65" t="s">
        <v>372</v>
      </c>
      <c r="B1051" s="8" t="s">
        <v>373</v>
      </c>
      <c r="C1051" s="32" t="s">
        <v>83</v>
      </c>
      <c r="D1051" s="94">
        <v>9</v>
      </c>
      <c r="E1051" s="66"/>
      <c r="F1051" s="66">
        <f>D1051*(F1042+F1049+F1050)/100</f>
        <v>6.287567796377999</v>
      </c>
    </row>
    <row r="1052" spans="1:6" ht="14.25">
      <c r="A1052" s="8" t="s">
        <v>374</v>
      </c>
      <c r="B1052" s="32"/>
      <c r="C1052" s="32"/>
      <c r="D1052" s="66"/>
      <c r="E1052" s="66"/>
      <c r="F1052" s="66">
        <f>F1042+F1049+F1050+F1051</f>
        <v>76.14943220057799</v>
      </c>
    </row>
    <row r="1054" spans="1:6" ht="14.25">
      <c r="A1054" s="103" t="s">
        <v>512</v>
      </c>
      <c r="B1054" s="104"/>
      <c r="C1054" s="104"/>
      <c r="D1054" s="104"/>
      <c r="E1054" s="104"/>
      <c r="F1054" s="104"/>
    </row>
    <row r="1055" spans="1:6" ht="14.25">
      <c r="A1055" s="105" t="s">
        <v>513</v>
      </c>
      <c r="B1055" s="106"/>
      <c r="C1055" s="107"/>
      <c r="D1055" s="108" t="s">
        <v>514</v>
      </c>
      <c r="E1055" s="109"/>
      <c r="F1055" s="110"/>
    </row>
    <row r="1056" spans="1:6" ht="14.25">
      <c r="A1056" s="105" t="s">
        <v>515</v>
      </c>
      <c r="B1056" s="106"/>
      <c r="C1056" s="106"/>
      <c r="D1056" s="106"/>
      <c r="E1056" s="106"/>
      <c r="F1056" s="107"/>
    </row>
    <row r="1057" spans="1:6" ht="14.25">
      <c r="A1057" s="62" t="s">
        <v>349</v>
      </c>
      <c r="B1057" s="63" t="s">
        <v>350</v>
      </c>
      <c r="C1057" s="63" t="s">
        <v>351</v>
      </c>
      <c r="D1057" s="63" t="s">
        <v>352</v>
      </c>
      <c r="E1057" s="63" t="s">
        <v>353</v>
      </c>
      <c r="F1057" s="64" t="s">
        <v>354</v>
      </c>
    </row>
    <row r="1058" spans="1:6" ht="14.25">
      <c r="A1058" s="65" t="s">
        <v>11</v>
      </c>
      <c r="B1058" s="8" t="s">
        <v>355</v>
      </c>
      <c r="C1058" s="32"/>
      <c r="D1058" s="66"/>
      <c r="E1058" s="66"/>
      <c r="F1058" s="66">
        <f>F1059+F1065+F1066</f>
        <v>269.04733749585125</v>
      </c>
    </row>
    <row r="1059" spans="1:6" ht="14.25">
      <c r="A1059" s="65" t="s">
        <v>12</v>
      </c>
      <c r="B1059" s="8" t="s">
        <v>356</v>
      </c>
      <c r="C1059" s="32"/>
      <c r="D1059" s="66"/>
      <c r="E1059" s="66"/>
      <c r="F1059" s="66">
        <f>F1060+F1061+F1063</f>
        <v>251.44610980920675</v>
      </c>
    </row>
    <row r="1060" spans="1:6" ht="14.25">
      <c r="A1060" s="67" t="s">
        <v>357</v>
      </c>
      <c r="B1060" s="8" t="s">
        <v>358</v>
      </c>
      <c r="C1060" s="8" t="s">
        <v>359</v>
      </c>
      <c r="D1060" s="66">
        <v>4.8</v>
      </c>
      <c r="E1060" s="66">
        <v>8.1</v>
      </c>
      <c r="F1060" s="66">
        <f>D1060*E1060</f>
        <v>38.879999999999995</v>
      </c>
    </row>
    <row r="1061" spans="1:6" ht="14.25">
      <c r="A1061" s="67" t="s">
        <v>360</v>
      </c>
      <c r="B1061" s="8" t="s">
        <v>361</v>
      </c>
      <c r="C1061" s="32"/>
      <c r="D1061" s="66"/>
      <c r="E1061" s="66"/>
      <c r="F1061" s="66">
        <f>F1062</f>
        <v>8.9424</v>
      </c>
    </row>
    <row r="1062" spans="1:6" ht="14.25">
      <c r="A1062" s="67"/>
      <c r="B1062" s="8" t="s">
        <v>363</v>
      </c>
      <c r="C1062" s="32" t="s">
        <v>83</v>
      </c>
      <c r="D1062" s="66">
        <v>23</v>
      </c>
      <c r="E1062" s="66">
        <f>F1060</f>
        <v>38.879999999999995</v>
      </c>
      <c r="F1062" s="66">
        <f>D1062*E1062/100</f>
        <v>8.9424</v>
      </c>
    </row>
    <row r="1063" spans="1:6" ht="14.25">
      <c r="A1063" s="65" t="s">
        <v>364</v>
      </c>
      <c r="B1063" s="8" t="s">
        <v>365</v>
      </c>
      <c r="C1063" s="32"/>
      <c r="D1063" s="66"/>
      <c r="E1063" s="66"/>
      <c r="F1063" s="66">
        <f>F1064</f>
        <v>203.62370980920676</v>
      </c>
    </row>
    <row r="1064" spans="1:6" ht="14.25">
      <c r="A1064" s="67"/>
      <c r="B1064" s="8" t="s">
        <v>516</v>
      </c>
      <c r="C1064" s="8" t="s">
        <v>367</v>
      </c>
      <c r="D1064" s="66">
        <v>1.46</v>
      </c>
      <c r="E1064" s="66">
        <f>'机械费'!C8</f>
        <v>139.46829438986765</v>
      </c>
      <c r="F1064" s="66">
        <f>D1064*E1064</f>
        <v>203.62370980920676</v>
      </c>
    </row>
    <row r="1065" spans="1:6" ht="14.25">
      <c r="A1065" s="65" t="s">
        <v>13</v>
      </c>
      <c r="B1065" s="8" t="s">
        <v>368</v>
      </c>
      <c r="C1065" s="32" t="s">
        <v>83</v>
      </c>
      <c r="D1065" s="94">
        <f>D1047</f>
        <v>3</v>
      </c>
      <c r="E1065" s="66"/>
      <c r="F1065" s="66">
        <f>F1059*D1065/100</f>
        <v>7.543383294276202</v>
      </c>
    </row>
    <row r="1066" spans="1:6" ht="14.25">
      <c r="A1066" s="65" t="s">
        <v>15</v>
      </c>
      <c r="B1066" s="8" t="s">
        <v>369</v>
      </c>
      <c r="C1066" s="32" t="s">
        <v>83</v>
      </c>
      <c r="D1066" s="94">
        <f>D1048</f>
        <v>4</v>
      </c>
      <c r="E1066" s="66"/>
      <c r="F1066" s="66">
        <f>F1059*D1066/100</f>
        <v>10.05784439236827</v>
      </c>
    </row>
    <row r="1067" spans="1:6" ht="14.25">
      <c r="A1067" s="65" t="s">
        <v>21</v>
      </c>
      <c r="B1067" s="8" t="s">
        <v>370</v>
      </c>
      <c r="C1067" s="32" t="s">
        <v>83</v>
      </c>
      <c r="D1067" s="94">
        <f>D1049</f>
        <v>4.5</v>
      </c>
      <c r="E1067" s="66"/>
      <c r="F1067" s="66">
        <f>F1058*D1067/100</f>
        <v>12.107130187313306</v>
      </c>
    </row>
    <row r="1068" spans="1:6" ht="14.25">
      <c r="A1068" s="65" t="s">
        <v>250</v>
      </c>
      <c r="B1068" s="8" t="s">
        <v>371</v>
      </c>
      <c r="C1068" s="32" t="s">
        <v>83</v>
      </c>
      <c r="D1068" s="94">
        <f>D1050</f>
        <v>7</v>
      </c>
      <c r="E1068" s="66"/>
      <c r="F1068" s="66">
        <f>(F1058+F1067)*D1068/100</f>
        <v>19.68081273782152</v>
      </c>
    </row>
    <row r="1069" spans="1:6" ht="14.25">
      <c r="A1069" s="65" t="s">
        <v>372</v>
      </c>
      <c r="B1069" s="8" t="s">
        <v>373</v>
      </c>
      <c r="C1069" s="32" t="s">
        <v>83</v>
      </c>
      <c r="D1069" s="94">
        <f>D1051</f>
        <v>9</v>
      </c>
      <c r="E1069" s="66"/>
      <c r="F1069" s="66">
        <f>D1069*(F1058+F1067+F1068)/100</f>
        <v>27.075175237888747</v>
      </c>
    </row>
    <row r="1070" spans="1:6" ht="14.25">
      <c r="A1070" s="8" t="s">
        <v>374</v>
      </c>
      <c r="B1070" s="32"/>
      <c r="C1070" s="32"/>
      <c r="D1070" s="66"/>
      <c r="E1070" s="66"/>
      <c r="F1070" s="66">
        <f>F1058+F1067+F1068+F1069</f>
        <v>327.9104556588748</v>
      </c>
    </row>
    <row r="1072" spans="1:6" ht="14.25">
      <c r="A1072" s="103" t="s">
        <v>517</v>
      </c>
      <c r="B1072" s="104"/>
      <c r="C1072" s="104"/>
      <c r="D1072" s="104"/>
      <c r="E1072" s="104"/>
      <c r="F1072" s="104"/>
    </row>
    <row r="1073" spans="1:6" ht="14.25">
      <c r="A1073" s="105" t="s">
        <v>518</v>
      </c>
      <c r="B1073" s="106"/>
      <c r="C1073" s="107"/>
      <c r="D1073" s="111" t="s">
        <v>519</v>
      </c>
      <c r="E1073" s="109"/>
      <c r="F1073" s="110"/>
    </row>
    <row r="1074" spans="1:6" ht="14.25">
      <c r="A1074" s="105" t="s">
        <v>520</v>
      </c>
      <c r="B1074" s="106"/>
      <c r="C1074" s="106"/>
      <c r="D1074" s="106"/>
      <c r="E1074" s="106"/>
      <c r="F1074" s="107"/>
    </row>
    <row r="1075" spans="1:6" ht="14.25">
      <c r="A1075" s="112" t="s">
        <v>521</v>
      </c>
      <c r="B1075" s="113" t="s">
        <v>522</v>
      </c>
      <c r="C1075" s="113" t="s">
        <v>37</v>
      </c>
      <c r="D1075" s="113" t="s">
        <v>523</v>
      </c>
      <c r="E1075" s="113" t="s">
        <v>524</v>
      </c>
      <c r="F1075" s="114" t="s">
        <v>525</v>
      </c>
    </row>
    <row r="1076" spans="1:6" ht="14.25">
      <c r="A1076" s="67" t="s">
        <v>526</v>
      </c>
      <c r="B1076" s="32" t="s">
        <v>527</v>
      </c>
      <c r="C1076" s="32"/>
      <c r="D1076" s="66"/>
      <c r="E1076" s="66"/>
      <c r="F1076" s="66">
        <f>F1077+F1083+F1084</f>
        <v>1188.507471238938</v>
      </c>
    </row>
    <row r="1077" spans="1:6" ht="14.25">
      <c r="A1077" s="67" t="s">
        <v>528</v>
      </c>
      <c r="B1077" s="32" t="s">
        <v>529</v>
      </c>
      <c r="C1077" s="32"/>
      <c r="D1077" s="66"/>
      <c r="E1077" s="66"/>
      <c r="F1077" s="66">
        <f>F1078+F1079+F1081</f>
        <v>1110.754646017699</v>
      </c>
    </row>
    <row r="1078" spans="1:6" ht="14.25">
      <c r="A1078" s="67" t="s">
        <v>357</v>
      </c>
      <c r="B1078" s="32" t="s">
        <v>262</v>
      </c>
      <c r="C1078" s="32" t="s">
        <v>530</v>
      </c>
      <c r="D1078" s="66">
        <v>80</v>
      </c>
      <c r="E1078" s="66">
        <f>E1060</f>
        <v>8.1</v>
      </c>
      <c r="F1078" s="66">
        <f>D1078*E1078</f>
        <v>648</v>
      </c>
    </row>
    <row r="1079" spans="1:6" ht="14.25">
      <c r="A1079" s="67" t="s">
        <v>360</v>
      </c>
      <c r="B1079" s="32" t="s">
        <v>263</v>
      </c>
      <c r="C1079" s="32"/>
      <c r="D1079" s="66"/>
      <c r="E1079" s="66"/>
      <c r="F1079" s="66">
        <f>F1080</f>
        <v>91.71368636843387</v>
      </c>
    </row>
    <row r="1080" spans="1:6" ht="14.25">
      <c r="A1080" s="67"/>
      <c r="B1080" s="32" t="s">
        <v>531</v>
      </c>
      <c r="C1080" s="32" t="s">
        <v>83</v>
      </c>
      <c r="D1080" s="66">
        <v>9</v>
      </c>
      <c r="E1080" s="66">
        <f>F1078+F1081</f>
        <v>1019.0409596492652</v>
      </c>
      <c r="F1080" s="66">
        <f>D1080*E1080/100</f>
        <v>91.71368636843387</v>
      </c>
    </row>
    <row r="1081" spans="1:6" ht="14.25">
      <c r="A1081" s="67" t="s">
        <v>364</v>
      </c>
      <c r="B1081" s="32" t="s">
        <v>532</v>
      </c>
      <c r="C1081" s="32"/>
      <c r="D1081" s="66"/>
      <c r="E1081" s="66"/>
      <c r="F1081" s="66">
        <f>F1082</f>
        <v>371.04095964926523</v>
      </c>
    </row>
    <row r="1082" spans="1:6" ht="14.25">
      <c r="A1082" s="67"/>
      <c r="B1082" s="32" t="s">
        <v>533</v>
      </c>
      <c r="C1082" s="32" t="s">
        <v>534</v>
      </c>
      <c r="D1082" s="66">
        <v>20</v>
      </c>
      <c r="E1082" s="66">
        <f>'机械费'!C9</f>
        <v>18.55204798246326</v>
      </c>
      <c r="F1082" s="66">
        <f>D1082*E1082</f>
        <v>371.04095964926523</v>
      </c>
    </row>
    <row r="1083" spans="1:6" ht="14.25">
      <c r="A1083" s="67" t="s">
        <v>535</v>
      </c>
      <c r="B1083" s="32" t="s">
        <v>265</v>
      </c>
      <c r="C1083" s="32" t="s">
        <v>83</v>
      </c>
      <c r="D1083" s="94">
        <f>D1065</f>
        <v>3</v>
      </c>
      <c r="E1083" s="66"/>
      <c r="F1083" s="66">
        <f>F1077*D1083/100</f>
        <v>33.32263938053097</v>
      </c>
    </row>
    <row r="1084" spans="1:6" ht="14.25">
      <c r="A1084" s="67" t="s">
        <v>536</v>
      </c>
      <c r="B1084" s="32" t="s">
        <v>266</v>
      </c>
      <c r="C1084" s="32" t="s">
        <v>83</v>
      </c>
      <c r="D1084" s="94">
        <f>D1066</f>
        <v>4</v>
      </c>
      <c r="E1084" s="66"/>
      <c r="F1084" s="66">
        <f>F1077*D1084/100</f>
        <v>44.43018584070796</v>
      </c>
    </row>
    <row r="1085" spans="1:6" ht="14.25">
      <c r="A1085" s="67" t="s">
        <v>537</v>
      </c>
      <c r="B1085" s="32" t="s">
        <v>267</v>
      </c>
      <c r="C1085" s="32" t="s">
        <v>83</v>
      </c>
      <c r="D1085" s="94">
        <f>D1067</f>
        <v>4.5</v>
      </c>
      <c r="E1085" s="66"/>
      <c r="F1085" s="66">
        <f>F1076*D1085/100</f>
        <v>53.48283620575221</v>
      </c>
    </row>
    <row r="1086" spans="1:6" ht="14.25">
      <c r="A1086" s="67" t="s">
        <v>538</v>
      </c>
      <c r="B1086" s="32" t="s">
        <v>268</v>
      </c>
      <c r="C1086" s="32" t="s">
        <v>83</v>
      </c>
      <c r="D1086" s="94">
        <f>D1068</f>
        <v>7</v>
      </c>
      <c r="E1086" s="66"/>
      <c r="F1086" s="66">
        <f>(F1076+F1085)*D1086/100</f>
        <v>86.9393215211283</v>
      </c>
    </row>
    <row r="1087" spans="1:6" ht="14.25">
      <c r="A1087" s="67" t="s">
        <v>539</v>
      </c>
      <c r="B1087" s="32" t="s">
        <v>269</v>
      </c>
      <c r="C1087" s="32" t="s">
        <v>83</v>
      </c>
      <c r="D1087" s="94">
        <f>D1069</f>
        <v>9</v>
      </c>
      <c r="E1087" s="66"/>
      <c r="F1087" s="66">
        <f>D1087*(F1076+F1085+F1086)/100</f>
        <v>119.60366660692365</v>
      </c>
    </row>
    <row r="1088" spans="1:6" ht="14.25">
      <c r="A1088" s="32" t="s">
        <v>540</v>
      </c>
      <c r="B1088" s="32"/>
      <c r="C1088" s="32"/>
      <c r="D1088" s="66"/>
      <c r="E1088" s="66"/>
      <c r="F1088" s="66">
        <f>F1076+F1085+F1086+F1087</f>
        <v>1448.5332955727422</v>
      </c>
    </row>
    <row r="1090" spans="1:6" ht="14.25">
      <c r="A1090" s="103" t="s">
        <v>541</v>
      </c>
      <c r="B1090" s="115"/>
      <c r="C1090" s="115"/>
      <c r="D1090" s="115"/>
      <c r="E1090" s="115"/>
      <c r="F1090" s="115"/>
    </row>
    <row r="1091" spans="1:6" ht="14.25">
      <c r="A1091" s="58" t="s">
        <v>542</v>
      </c>
      <c r="B1091" s="59"/>
      <c r="C1091" s="59"/>
      <c r="D1091" s="59"/>
      <c r="E1091" s="116"/>
      <c r="F1091" s="61" t="s">
        <v>543</v>
      </c>
    </row>
    <row r="1092" spans="1:6" ht="14.25">
      <c r="A1092" s="59" t="s">
        <v>544</v>
      </c>
      <c r="B1092" s="59"/>
      <c r="C1092" s="59"/>
      <c r="D1092" s="59"/>
      <c r="E1092" s="59"/>
      <c r="F1092" s="59"/>
    </row>
    <row r="1093" spans="1:6" ht="14.25">
      <c r="A1093" s="32" t="s">
        <v>256</v>
      </c>
      <c r="B1093" s="32" t="s">
        <v>545</v>
      </c>
      <c r="C1093" s="32" t="s">
        <v>259</v>
      </c>
      <c r="D1093" s="32" t="s">
        <v>546</v>
      </c>
      <c r="E1093" s="32" t="s">
        <v>260</v>
      </c>
      <c r="F1093" s="32" t="s">
        <v>547</v>
      </c>
    </row>
    <row r="1094" spans="1:6" ht="14.25">
      <c r="A1094" s="32" t="s">
        <v>526</v>
      </c>
      <c r="B1094" s="8" t="s">
        <v>355</v>
      </c>
      <c r="C1094" s="32"/>
      <c r="D1094" s="32"/>
      <c r="E1094" s="32"/>
      <c r="F1094" s="117">
        <f>F1095+F1100+F1101</f>
        <v>120.10872408</v>
      </c>
    </row>
    <row r="1095" spans="1:6" ht="14.25">
      <c r="A1095" s="32" t="s">
        <v>528</v>
      </c>
      <c r="B1095" s="8" t="s">
        <v>356</v>
      </c>
      <c r="C1095" s="32"/>
      <c r="D1095" s="32"/>
      <c r="E1095" s="32"/>
      <c r="F1095" s="117">
        <f>SUM(F1096,F1097,)</f>
        <v>112.251144</v>
      </c>
    </row>
    <row r="1096" spans="1:6" ht="14.25">
      <c r="A1096" s="32">
        <v>1</v>
      </c>
      <c r="B1096" s="32" t="s">
        <v>262</v>
      </c>
      <c r="C1096" s="32" t="s">
        <v>530</v>
      </c>
      <c r="D1096" s="66">
        <v>13.55</v>
      </c>
      <c r="E1096" s="66">
        <f>E1078</f>
        <v>8.1</v>
      </c>
      <c r="F1096" s="66">
        <f>D1096*E1096</f>
        <v>109.755</v>
      </c>
    </row>
    <row r="1097" spans="1:6" ht="14.25">
      <c r="A1097" s="32">
        <v>2</v>
      </c>
      <c r="B1097" s="32" t="s">
        <v>263</v>
      </c>
      <c r="C1097" s="32"/>
      <c r="D1097" s="32"/>
      <c r="E1097" s="32"/>
      <c r="F1097" s="117">
        <f>SUM(F1098:F1099)</f>
        <v>2.4961440000000006</v>
      </c>
    </row>
    <row r="1098" spans="1:6" ht="14.25">
      <c r="A1098" s="32"/>
      <c r="B1098" s="32" t="s">
        <v>548</v>
      </c>
      <c r="C1098" s="32" t="s">
        <v>49</v>
      </c>
      <c r="D1098" s="32">
        <v>0.56</v>
      </c>
      <c r="E1098" s="117">
        <f>'主要材料费'!D5</f>
        <v>4.37</v>
      </c>
      <c r="F1098" s="117">
        <f>E1098*D1098</f>
        <v>2.4472000000000005</v>
      </c>
    </row>
    <row r="1099" spans="1:6" ht="14.25">
      <c r="A1099" s="32"/>
      <c r="B1099" s="32" t="s">
        <v>549</v>
      </c>
      <c r="C1099" s="32" t="s">
        <v>83</v>
      </c>
      <c r="D1099" s="66">
        <v>2</v>
      </c>
      <c r="E1099" s="117">
        <f>SUM(F1098:F1098)</f>
        <v>2.4472000000000005</v>
      </c>
      <c r="F1099" s="117">
        <f>E1099*D1099/100</f>
        <v>0.04894400000000001</v>
      </c>
    </row>
    <row r="1100" spans="1:6" ht="14.25">
      <c r="A1100" s="32" t="s">
        <v>535</v>
      </c>
      <c r="B1100" s="32" t="s">
        <v>265</v>
      </c>
      <c r="C1100" s="32" t="s">
        <v>83</v>
      </c>
      <c r="D1100" s="33">
        <f>D1083</f>
        <v>3</v>
      </c>
      <c r="E1100" s="33">
        <f>F1095</f>
        <v>112.251144</v>
      </c>
      <c r="F1100" s="117">
        <f>D1100*E1100/100</f>
        <v>3.36753432</v>
      </c>
    </row>
    <row r="1101" spans="1:6" ht="14.25">
      <c r="A1101" s="65" t="s">
        <v>15</v>
      </c>
      <c r="B1101" s="8" t="s">
        <v>369</v>
      </c>
      <c r="C1101" s="32" t="s">
        <v>83</v>
      </c>
      <c r="D1101" s="33">
        <v>4</v>
      </c>
      <c r="E1101" s="66"/>
      <c r="F1101" s="66">
        <f>D1101*F1095/100</f>
        <v>4.49004576</v>
      </c>
    </row>
    <row r="1102" spans="1:6" ht="14.25">
      <c r="A1102" s="32" t="s">
        <v>537</v>
      </c>
      <c r="B1102" s="32" t="s">
        <v>267</v>
      </c>
      <c r="C1102" s="32" t="s">
        <v>83</v>
      </c>
      <c r="D1102" s="118">
        <v>4.5</v>
      </c>
      <c r="E1102" s="33">
        <f>F1094</f>
        <v>120.10872408</v>
      </c>
      <c r="F1102" s="117">
        <f>D1102*E1102/100</f>
        <v>5.4048925836</v>
      </c>
    </row>
    <row r="1103" spans="1:6" ht="14.25">
      <c r="A1103" s="32" t="s">
        <v>538</v>
      </c>
      <c r="B1103" s="32" t="s">
        <v>268</v>
      </c>
      <c r="C1103" s="32" t="s">
        <v>83</v>
      </c>
      <c r="D1103" s="33">
        <v>7</v>
      </c>
      <c r="E1103" s="33">
        <f>F1094+F1102</f>
        <v>125.5136166636</v>
      </c>
      <c r="F1103" s="117">
        <f>D1103*E1103/100</f>
        <v>8.785953166452</v>
      </c>
    </row>
    <row r="1104" spans="1:6" ht="14.25">
      <c r="A1104" s="32" t="s">
        <v>539</v>
      </c>
      <c r="B1104" s="32" t="s">
        <v>269</v>
      </c>
      <c r="C1104" s="119" t="s">
        <v>83</v>
      </c>
      <c r="D1104" s="33">
        <v>9</v>
      </c>
      <c r="E1104" s="33">
        <f>F1094+F1102+F1103</f>
        <v>134.299569830052</v>
      </c>
      <c r="F1104" s="33">
        <f>E1104*D1104/100</f>
        <v>12.08696128470468</v>
      </c>
    </row>
    <row r="1105" spans="1:6" ht="15.75">
      <c r="A1105" s="44" t="s">
        <v>550</v>
      </c>
      <c r="B1105" s="120"/>
      <c r="C1105" s="121"/>
      <c r="D1105" s="121"/>
      <c r="E1105" s="33"/>
      <c r="F1105" s="117">
        <f>SUM(F1094,F1102,F1103,F1104)</f>
        <v>146.38653111475668</v>
      </c>
    </row>
    <row r="1106" spans="1:6" ht="15.75">
      <c r="A1106" s="31"/>
      <c r="B1106" s="122"/>
      <c r="C1106" s="123"/>
      <c r="D1106" s="123"/>
      <c r="E1106" s="124"/>
      <c r="F1106" s="125"/>
    </row>
    <row r="1107" spans="1:6" ht="14.25">
      <c r="A1107" s="126" t="s">
        <v>551</v>
      </c>
      <c r="B1107" s="115"/>
      <c r="C1107" s="115"/>
      <c r="D1107" s="115"/>
      <c r="E1107" s="115"/>
      <c r="F1107" s="115"/>
    </row>
    <row r="1108" spans="1:6" ht="14.25">
      <c r="A1108" s="127" t="s">
        <v>552</v>
      </c>
      <c r="B1108" s="128"/>
      <c r="C1108" s="128"/>
      <c r="D1108" s="128"/>
      <c r="E1108" s="129"/>
      <c r="F1108" s="130" t="s">
        <v>553</v>
      </c>
    </row>
    <row r="1109" spans="1:6" ht="27.75" customHeight="1">
      <c r="A1109" s="131" t="s">
        <v>554</v>
      </c>
      <c r="B1109" s="132"/>
      <c r="C1109" s="132"/>
      <c r="D1109" s="132"/>
      <c r="E1109" s="132"/>
      <c r="F1109" s="132"/>
    </row>
    <row r="1110" spans="1:6" ht="14.25">
      <c r="A1110" s="133" t="s">
        <v>2</v>
      </c>
      <c r="B1110" s="133" t="s">
        <v>245</v>
      </c>
      <c r="C1110" s="133" t="s">
        <v>351</v>
      </c>
      <c r="D1110" s="133" t="s">
        <v>352</v>
      </c>
      <c r="E1110" s="133" t="s">
        <v>555</v>
      </c>
      <c r="F1110" s="133" t="s">
        <v>556</v>
      </c>
    </row>
    <row r="1111" spans="1:6" ht="14.25">
      <c r="A1111" s="133" t="s">
        <v>11</v>
      </c>
      <c r="B1111" s="133" t="s">
        <v>355</v>
      </c>
      <c r="C1111" s="134"/>
      <c r="D1111" s="134"/>
      <c r="E1111" s="134"/>
      <c r="F1111" s="135">
        <f>F1112+F1120+F1121</f>
        <v>50297.68217282399</v>
      </c>
    </row>
    <row r="1112" spans="1:6" ht="14.25">
      <c r="A1112" s="133" t="s">
        <v>12</v>
      </c>
      <c r="B1112" s="133" t="s">
        <v>356</v>
      </c>
      <c r="C1112" s="134"/>
      <c r="D1112" s="134"/>
      <c r="E1112" s="134"/>
      <c r="F1112" s="135">
        <f>SUM(F1113,F1114,)</f>
        <v>47007.17960077008</v>
      </c>
    </row>
    <row r="1113" spans="1:6" ht="14.25">
      <c r="A1113" s="134">
        <v>1</v>
      </c>
      <c r="B1113" s="133" t="s">
        <v>358</v>
      </c>
      <c r="C1113" s="133" t="s">
        <v>359</v>
      </c>
      <c r="D1113" s="136">
        <v>957.8</v>
      </c>
      <c r="E1113" s="136">
        <f>E1096</f>
        <v>8.1</v>
      </c>
      <c r="F1113" s="136">
        <f>D1113*E1113</f>
        <v>7758.179999999999</v>
      </c>
    </row>
    <row r="1114" spans="1:6" ht="14.25">
      <c r="A1114" s="134">
        <v>2</v>
      </c>
      <c r="B1114" s="133" t="s">
        <v>361</v>
      </c>
      <c r="C1114" s="134"/>
      <c r="D1114" s="134"/>
      <c r="E1114" s="134"/>
      <c r="F1114" s="135">
        <f>SUM(F1115:F1119)</f>
        <v>39248.99960077008</v>
      </c>
    </row>
    <row r="1115" spans="1:6" ht="14.25">
      <c r="A1115" s="134"/>
      <c r="B1115" s="133" t="s">
        <v>557</v>
      </c>
      <c r="C1115" s="134" t="s">
        <v>558</v>
      </c>
      <c r="D1115" s="134">
        <v>1.27</v>
      </c>
      <c r="E1115" s="135">
        <f>'主要材料费'!D115</f>
        <v>2646.0375</v>
      </c>
      <c r="F1115" s="135">
        <f>E1115*D1115</f>
        <v>3360.4676249999998</v>
      </c>
    </row>
    <row r="1116" spans="1:6" ht="14.25">
      <c r="A1116" s="134"/>
      <c r="B1116" s="133" t="s">
        <v>559</v>
      </c>
      <c r="C1116" s="134" t="s">
        <v>560</v>
      </c>
      <c r="D1116" s="134">
        <v>190.88</v>
      </c>
      <c r="E1116" s="135">
        <f>'主要材料费'!D113/1000</f>
        <v>5.4014958</v>
      </c>
      <c r="F1116" s="135">
        <f>E1116*D1116</f>
        <v>1031.037518304</v>
      </c>
    </row>
    <row r="1117" spans="1:6" ht="14.25">
      <c r="A1117" s="134"/>
      <c r="B1117" s="133" t="s">
        <v>561</v>
      </c>
      <c r="C1117" s="134" t="s">
        <v>560</v>
      </c>
      <c r="D1117" s="134">
        <v>86.3</v>
      </c>
      <c r="E1117" s="135">
        <f>'主要材料费'!D114</f>
        <v>5.2520999999999995</v>
      </c>
      <c r="F1117" s="135">
        <f>E1117*D1117</f>
        <v>453.25622999999996</v>
      </c>
    </row>
    <row r="1118" spans="1:6" ht="14.25">
      <c r="A1118" s="134"/>
      <c r="B1118" s="133" t="s">
        <v>562</v>
      </c>
      <c r="C1118" s="134" t="s">
        <v>558</v>
      </c>
      <c r="D1118" s="134">
        <v>105</v>
      </c>
      <c r="E1118" s="135">
        <f>'主要材料费'!D61</f>
        <v>320.33</v>
      </c>
      <c r="F1118" s="135">
        <f>E1118*D1118</f>
        <v>33634.65</v>
      </c>
    </row>
    <row r="1119" spans="1:6" ht="14.25">
      <c r="A1119" s="134"/>
      <c r="B1119" s="133" t="s">
        <v>563</v>
      </c>
      <c r="C1119" s="134" t="s">
        <v>83</v>
      </c>
      <c r="D1119" s="134">
        <v>2</v>
      </c>
      <c r="E1119" s="135">
        <f>SUM(F1115:F1118)</f>
        <v>38479.411373304</v>
      </c>
      <c r="F1119" s="135">
        <f>E1119*D1119/100</f>
        <v>769.58822746608</v>
      </c>
    </row>
    <row r="1120" spans="1:6" ht="14.25">
      <c r="A1120" s="133" t="s">
        <v>13</v>
      </c>
      <c r="B1120" s="133" t="s">
        <v>368</v>
      </c>
      <c r="C1120" s="134" t="s">
        <v>83</v>
      </c>
      <c r="D1120" s="137">
        <f>D1100</f>
        <v>3</v>
      </c>
      <c r="E1120" s="137">
        <f>F1112</f>
        <v>47007.17960077008</v>
      </c>
      <c r="F1120" s="135">
        <f aca="true" t="shared" si="15" ref="F1120:F1123">D1120*E1120/100</f>
        <v>1410.2153880231024</v>
      </c>
    </row>
    <row r="1121" spans="1:6" ht="14.25">
      <c r="A1121" s="138" t="s">
        <v>15</v>
      </c>
      <c r="B1121" s="133" t="s">
        <v>369</v>
      </c>
      <c r="C1121" s="134" t="s">
        <v>83</v>
      </c>
      <c r="D1121" s="137">
        <v>4</v>
      </c>
      <c r="E1121" s="136"/>
      <c r="F1121" s="136">
        <f>D1121*F1112/100</f>
        <v>1880.2871840308032</v>
      </c>
    </row>
    <row r="1122" spans="1:6" ht="14.25">
      <c r="A1122" s="133" t="s">
        <v>21</v>
      </c>
      <c r="B1122" s="133" t="s">
        <v>370</v>
      </c>
      <c r="C1122" s="134" t="s">
        <v>83</v>
      </c>
      <c r="D1122" s="139">
        <v>4.5</v>
      </c>
      <c r="E1122" s="137">
        <f>F1111</f>
        <v>50297.68217282399</v>
      </c>
      <c r="F1122" s="135">
        <f t="shared" si="15"/>
        <v>2263.3956977770795</v>
      </c>
    </row>
    <row r="1123" spans="1:6" ht="14.25">
      <c r="A1123" s="133" t="s">
        <v>250</v>
      </c>
      <c r="B1123" s="133" t="s">
        <v>371</v>
      </c>
      <c r="C1123" s="134" t="s">
        <v>83</v>
      </c>
      <c r="D1123" s="137">
        <v>7</v>
      </c>
      <c r="E1123" s="137">
        <f>F1111+F1122</f>
        <v>52561.07787060107</v>
      </c>
      <c r="F1123" s="135">
        <f t="shared" si="15"/>
        <v>3679.2754509420747</v>
      </c>
    </row>
    <row r="1124" spans="1:6" ht="14.25">
      <c r="A1124" s="133" t="s">
        <v>372</v>
      </c>
      <c r="B1124" s="133" t="s">
        <v>373</v>
      </c>
      <c r="C1124" s="140" t="s">
        <v>83</v>
      </c>
      <c r="D1124" s="137">
        <v>9</v>
      </c>
      <c r="E1124" s="137">
        <f>F1111+F1122+F1123</f>
        <v>56240.353321543145</v>
      </c>
      <c r="F1124" s="137">
        <f>E1124*D1124/100</f>
        <v>5061.631798938883</v>
      </c>
    </row>
    <row r="1125" spans="1:6" ht="15.75">
      <c r="A1125" s="141" t="s">
        <v>7</v>
      </c>
      <c r="B1125" s="142"/>
      <c r="C1125" s="143"/>
      <c r="D1125" s="143"/>
      <c r="E1125" s="137"/>
      <c r="F1125" s="135">
        <f>SUM(F1111,F1122,F1123,F1124)</f>
        <v>61301.98512048203</v>
      </c>
    </row>
    <row r="1126" spans="1:6" ht="15.75">
      <c r="A1126" s="31"/>
      <c r="B1126" s="122"/>
      <c r="C1126" s="123"/>
      <c r="D1126" s="123"/>
      <c r="E1126" s="124"/>
      <c r="F1126" s="125"/>
    </row>
    <row r="1127" spans="1:6" ht="14.25">
      <c r="A1127" s="103" t="s">
        <v>564</v>
      </c>
      <c r="B1127" s="104"/>
      <c r="C1127" s="104"/>
      <c r="D1127" s="104"/>
      <c r="E1127" s="104"/>
      <c r="F1127" s="104"/>
    </row>
    <row r="1128" spans="1:6" ht="14.25">
      <c r="A1128" s="58" t="s">
        <v>565</v>
      </c>
      <c r="B1128" s="59"/>
      <c r="C1128" s="59"/>
      <c r="D1128" s="59"/>
      <c r="E1128" s="116"/>
      <c r="F1128" s="60" t="s">
        <v>566</v>
      </c>
    </row>
    <row r="1129" spans="1:6" ht="14.25">
      <c r="A1129" s="144" t="s">
        <v>567</v>
      </c>
      <c r="B1129" s="145"/>
      <c r="C1129" s="145"/>
      <c r="D1129" s="145"/>
      <c r="E1129" s="145"/>
      <c r="F1129" s="145"/>
    </row>
    <row r="1130" spans="1:6" ht="14.25">
      <c r="A1130" s="8" t="s">
        <v>2</v>
      </c>
      <c r="B1130" s="8" t="s">
        <v>245</v>
      </c>
      <c r="C1130" s="8" t="s">
        <v>351</v>
      </c>
      <c r="D1130" s="8" t="s">
        <v>352</v>
      </c>
      <c r="E1130" s="8" t="s">
        <v>555</v>
      </c>
      <c r="F1130" s="8" t="s">
        <v>556</v>
      </c>
    </row>
    <row r="1131" spans="1:6" ht="14.25">
      <c r="A1131" s="8" t="s">
        <v>11</v>
      </c>
      <c r="B1131" s="8" t="s">
        <v>355</v>
      </c>
      <c r="C1131" s="32"/>
      <c r="D1131" s="32"/>
      <c r="E1131" s="32"/>
      <c r="F1131" s="117">
        <f>F1132+F1146+F1147</f>
        <v>7845.266704302947</v>
      </c>
    </row>
    <row r="1132" spans="1:6" ht="14.25">
      <c r="A1132" s="8" t="s">
        <v>12</v>
      </c>
      <c r="B1132" s="8" t="s">
        <v>356</v>
      </c>
      <c r="C1132" s="32"/>
      <c r="D1132" s="32"/>
      <c r="E1132" s="32"/>
      <c r="F1132" s="117">
        <f>F1133+F1134+F1139</f>
        <v>7332.024957292474</v>
      </c>
    </row>
    <row r="1133" spans="1:6" ht="14.25">
      <c r="A1133" s="32">
        <v>1</v>
      </c>
      <c r="B1133" s="8" t="s">
        <v>358</v>
      </c>
      <c r="C1133" s="8" t="s">
        <v>359</v>
      </c>
      <c r="D1133" s="66">
        <v>104</v>
      </c>
      <c r="E1133" s="66">
        <v>8.1</v>
      </c>
      <c r="F1133" s="66">
        <f>D1133*E1133</f>
        <v>842.4</v>
      </c>
    </row>
    <row r="1134" spans="1:6" ht="14.25">
      <c r="A1134" s="32">
        <v>2</v>
      </c>
      <c r="B1134" s="8" t="s">
        <v>361</v>
      </c>
      <c r="C1134" s="32"/>
      <c r="D1134" s="32"/>
      <c r="E1134" s="32"/>
      <c r="F1134" s="117">
        <f>SUM(F1135:F1145)</f>
        <v>6239.848435788983</v>
      </c>
    </row>
    <row r="1135" spans="1:6" ht="14.25">
      <c r="A1135" s="32"/>
      <c r="B1135" s="32" t="s">
        <v>568</v>
      </c>
      <c r="C1135" s="32" t="s">
        <v>70</v>
      </c>
      <c r="D1135" s="32">
        <v>1.06</v>
      </c>
      <c r="E1135" s="117">
        <f>'主要材料费'!D76</f>
        <v>5292.9852</v>
      </c>
      <c r="F1135" s="117">
        <f aca="true" t="shared" si="16" ref="F1135:F1138">E1135*D1135</f>
        <v>5610.564312</v>
      </c>
    </row>
    <row r="1136" spans="1:6" ht="14.25">
      <c r="A1136" s="32"/>
      <c r="B1136" s="32" t="s">
        <v>569</v>
      </c>
      <c r="C1136" s="32" t="s">
        <v>560</v>
      </c>
      <c r="D1136" s="32">
        <v>4</v>
      </c>
      <c r="E1136" s="117">
        <f>'主要材料费'!D77</f>
        <v>6.273</v>
      </c>
      <c r="F1136" s="117">
        <f t="shared" si="16"/>
        <v>25.092</v>
      </c>
    </row>
    <row r="1137" spans="1:6" ht="14.25">
      <c r="A1137" s="32"/>
      <c r="B1137" s="32" t="s">
        <v>570</v>
      </c>
      <c r="C1137" s="32" t="s">
        <v>560</v>
      </c>
      <c r="D1137" s="32">
        <v>7.22</v>
      </c>
      <c r="E1137" s="117">
        <f>'主要材料费'!D78</f>
        <v>5.8425</v>
      </c>
      <c r="F1137" s="117">
        <f t="shared" si="16"/>
        <v>42.18285</v>
      </c>
    </row>
    <row r="1138" spans="1:6" ht="14.25">
      <c r="A1138" s="32"/>
      <c r="B1138" s="32" t="s">
        <v>563</v>
      </c>
      <c r="C1138" s="32" t="s">
        <v>83</v>
      </c>
      <c r="D1138" s="32">
        <v>1.1</v>
      </c>
      <c r="E1138" s="117">
        <f>SUM(F1135:F1137)</f>
        <v>5677.839162</v>
      </c>
      <c r="F1138" s="117">
        <f>E1138*D1138/100</f>
        <v>62.45623078200001</v>
      </c>
    </row>
    <row r="1139" spans="1:6" ht="14.25">
      <c r="A1139" s="32">
        <v>3</v>
      </c>
      <c r="B1139" s="8" t="s">
        <v>365</v>
      </c>
      <c r="C1139" s="32"/>
      <c r="D1139" s="32"/>
      <c r="E1139" s="117"/>
      <c r="F1139" s="117">
        <f>SUM(F1140:F1145)</f>
        <v>249.77652150349115</v>
      </c>
    </row>
    <row r="1140" spans="1:6" ht="14.25">
      <c r="A1140" s="32"/>
      <c r="B1140" s="32" t="s">
        <v>571</v>
      </c>
      <c r="C1140" s="32" t="s">
        <v>367</v>
      </c>
      <c r="D1140" s="32">
        <v>0.66</v>
      </c>
      <c r="E1140" s="117">
        <f>'机械费'!C10</f>
        <v>18.525819111796704</v>
      </c>
      <c r="F1140" s="117">
        <f>E1140*D1140</f>
        <v>12.227040613785825</v>
      </c>
    </row>
    <row r="1141" spans="1:6" ht="14.25">
      <c r="A1141" s="32"/>
      <c r="B1141" s="8" t="s">
        <v>572</v>
      </c>
      <c r="C1141" s="32" t="s">
        <v>367</v>
      </c>
      <c r="D1141" s="32">
        <v>1.71</v>
      </c>
      <c r="E1141" s="117">
        <f>'机械费'!C11</f>
        <v>48.889710481448404</v>
      </c>
      <c r="F1141" s="117">
        <f>E1141*D1141</f>
        <v>83.60140492327677</v>
      </c>
    </row>
    <row r="1142" spans="1:6" ht="14.25">
      <c r="A1142" s="32"/>
      <c r="B1142" s="32" t="s">
        <v>573</v>
      </c>
      <c r="C1142" s="32" t="s">
        <v>367</v>
      </c>
      <c r="D1142" s="32">
        <v>0.44</v>
      </c>
      <c r="E1142" s="117">
        <f>'机械费'!C12</f>
        <v>22.195055127060158</v>
      </c>
      <c r="F1142" s="117">
        <f>E1142*D1142</f>
        <v>9.76582425590647</v>
      </c>
    </row>
    <row r="1143" spans="1:6" ht="14.25">
      <c r="A1143" s="32"/>
      <c r="B1143" s="32" t="s">
        <v>574</v>
      </c>
      <c r="C1143" s="32" t="s">
        <v>367</v>
      </c>
      <c r="D1143" s="32">
        <v>1.21</v>
      </c>
      <c r="E1143" s="117">
        <f>'机械费'!C13</f>
        <v>15.629301778030365</v>
      </c>
      <c r="F1143" s="117">
        <f>E1143*D1143</f>
        <v>18.911455151416742</v>
      </c>
    </row>
    <row r="1144" spans="1:6" ht="14.25">
      <c r="A1144" s="32"/>
      <c r="B1144" s="32" t="s">
        <v>575</v>
      </c>
      <c r="C1144" s="32" t="s">
        <v>367</v>
      </c>
      <c r="D1144" s="32">
        <v>11.37</v>
      </c>
      <c r="E1144" s="117">
        <f>'机械费'!C14</f>
        <v>8.152264756028254</v>
      </c>
      <c r="F1144" s="117">
        <f>E1144*D1144</f>
        <v>92.69125027604125</v>
      </c>
    </row>
    <row r="1145" spans="1:6" ht="14.25">
      <c r="A1145" s="32"/>
      <c r="B1145" s="32" t="s">
        <v>576</v>
      </c>
      <c r="C1145" s="32" t="s">
        <v>83</v>
      </c>
      <c r="D1145" s="32">
        <v>15</v>
      </c>
      <c r="E1145" s="117">
        <f>SUM(F1140:F1144)</f>
        <v>217.19697522042708</v>
      </c>
      <c r="F1145" s="117">
        <f>D1145*E1145/100</f>
        <v>32.57954628306406</v>
      </c>
    </row>
    <row r="1146" spans="1:6" ht="14.25">
      <c r="A1146" s="8" t="s">
        <v>13</v>
      </c>
      <c r="B1146" s="8" t="s">
        <v>368</v>
      </c>
      <c r="C1146" s="32" t="s">
        <v>83</v>
      </c>
      <c r="D1146" s="33">
        <f>D1120</f>
        <v>3</v>
      </c>
      <c r="E1146" s="33">
        <f>F1132</f>
        <v>7332.024957292474</v>
      </c>
      <c r="F1146" s="117">
        <f aca="true" t="shared" si="17" ref="F1146:F1149">D1146*E1146/100</f>
        <v>219.96074871877423</v>
      </c>
    </row>
    <row r="1147" spans="1:6" ht="14.25">
      <c r="A1147" s="65" t="s">
        <v>15</v>
      </c>
      <c r="B1147" s="8" t="s">
        <v>369</v>
      </c>
      <c r="C1147" s="32" t="s">
        <v>83</v>
      </c>
      <c r="D1147" s="33">
        <v>4</v>
      </c>
      <c r="E1147" s="66"/>
      <c r="F1147" s="66">
        <f>D1147*F1132/100</f>
        <v>293.28099829169895</v>
      </c>
    </row>
    <row r="1148" spans="1:6" ht="14.25">
      <c r="A1148" s="8" t="s">
        <v>21</v>
      </c>
      <c r="B1148" s="8" t="s">
        <v>370</v>
      </c>
      <c r="C1148" s="32" t="s">
        <v>83</v>
      </c>
      <c r="D1148" s="118">
        <v>4.5</v>
      </c>
      <c r="E1148" s="33">
        <f>F1131</f>
        <v>7845.266704302947</v>
      </c>
      <c r="F1148" s="117">
        <f t="shared" si="17"/>
        <v>353.03700169363265</v>
      </c>
    </row>
    <row r="1149" spans="1:6" ht="14.25">
      <c r="A1149" s="8" t="s">
        <v>250</v>
      </c>
      <c r="B1149" s="8" t="s">
        <v>371</v>
      </c>
      <c r="C1149" s="32" t="s">
        <v>83</v>
      </c>
      <c r="D1149" s="33">
        <v>7</v>
      </c>
      <c r="E1149" s="33">
        <f>F1131+F1148</f>
        <v>8198.303705996579</v>
      </c>
      <c r="F1149" s="117">
        <f t="shared" si="17"/>
        <v>573.8812594197606</v>
      </c>
    </row>
    <row r="1150" spans="1:6" ht="14.25">
      <c r="A1150" s="8" t="s">
        <v>372</v>
      </c>
      <c r="B1150" s="8" t="s">
        <v>373</v>
      </c>
      <c r="C1150" s="119" t="s">
        <v>83</v>
      </c>
      <c r="D1150" s="33">
        <v>9</v>
      </c>
      <c r="E1150" s="33">
        <f>F1131+F1148+F1149</f>
        <v>8772.18496541634</v>
      </c>
      <c r="F1150" s="33">
        <f>E1150*D1150/100</f>
        <v>789.4966468874705</v>
      </c>
    </row>
    <row r="1151" spans="1:6" ht="15.75">
      <c r="A1151" s="45" t="s">
        <v>7</v>
      </c>
      <c r="B1151" s="120"/>
      <c r="C1151" s="121"/>
      <c r="D1151" s="121"/>
      <c r="E1151" s="33"/>
      <c r="F1151" s="117">
        <f>SUM(F1131,F1148,F1149,F1150)</f>
        <v>9561.68161230381</v>
      </c>
    </row>
  </sheetData>
  <sheetProtection/>
  <mergeCells count="300">
    <mergeCell ref="A2:F2"/>
    <mergeCell ref="A3:C3"/>
    <mergeCell ref="D3:F3"/>
    <mergeCell ref="A4:F4"/>
    <mergeCell ref="A19:B19"/>
    <mergeCell ref="A21:F21"/>
    <mergeCell ref="A22:C22"/>
    <mergeCell ref="D22:F22"/>
    <mergeCell ref="A23:F23"/>
    <mergeCell ref="A37:B37"/>
    <mergeCell ref="A39:F39"/>
    <mergeCell ref="A40:D40"/>
    <mergeCell ref="E40:F40"/>
    <mergeCell ref="A41:F41"/>
    <mergeCell ref="A56:B56"/>
    <mergeCell ref="A58:F58"/>
    <mergeCell ref="A59:D59"/>
    <mergeCell ref="E59:F59"/>
    <mergeCell ref="A60:F60"/>
    <mergeCell ref="A75:B75"/>
    <mergeCell ref="A77:F77"/>
    <mergeCell ref="A78:D78"/>
    <mergeCell ref="E78:F78"/>
    <mergeCell ref="A79:F79"/>
    <mergeCell ref="A94:B94"/>
    <mergeCell ref="A96:F96"/>
    <mergeCell ref="A97:D97"/>
    <mergeCell ref="E97:F97"/>
    <mergeCell ref="A98:F98"/>
    <mergeCell ref="A113:B113"/>
    <mergeCell ref="A115:F115"/>
    <mergeCell ref="A116:D116"/>
    <mergeCell ref="E116:F116"/>
    <mergeCell ref="A117:F117"/>
    <mergeCell ref="A132:B132"/>
    <mergeCell ref="A134:F134"/>
    <mergeCell ref="A135:D135"/>
    <mergeCell ref="E135:F135"/>
    <mergeCell ref="A136:F136"/>
    <mergeCell ref="A151:B151"/>
    <mergeCell ref="A153:F153"/>
    <mergeCell ref="A154:D154"/>
    <mergeCell ref="E154:F154"/>
    <mergeCell ref="A155:F155"/>
    <mergeCell ref="A170:B170"/>
    <mergeCell ref="A172:F172"/>
    <mergeCell ref="A173:D173"/>
    <mergeCell ref="E173:F173"/>
    <mergeCell ref="A174:F174"/>
    <mergeCell ref="A189:B189"/>
    <mergeCell ref="A191:F191"/>
    <mergeCell ref="A192:D192"/>
    <mergeCell ref="E192:F192"/>
    <mergeCell ref="A193:F193"/>
    <mergeCell ref="A208:B208"/>
    <mergeCell ref="A210:F210"/>
    <mergeCell ref="A211:D211"/>
    <mergeCell ref="E211:F211"/>
    <mergeCell ref="A212:F212"/>
    <mergeCell ref="A227:B227"/>
    <mergeCell ref="A229:F229"/>
    <mergeCell ref="A230:D230"/>
    <mergeCell ref="E230:F230"/>
    <mergeCell ref="A231:F231"/>
    <mergeCell ref="A246:B246"/>
    <mergeCell ref="A248:F248"/>
    <mergeCell ref="A249:D249"/>
    <mergeCell ref="E249:F249"/>
    <mergeCell ref="A250:F250"/>
    <mergeCell ref="A265:B265"/>
    <mergeCell ref="A267:F267"/>
    <mergeCell ref="A268:D268"/>
    <mergeCell ref="E268:F268"/>
    <mergeCell ref="A269:F269"/>
    <mergeCell ref="A284:B284"/>
    <mergeCell ref="A286:F286"/>
    <mergeCell ref="A287:D287"/>
    <mergeCell ref="E287:F287"/>
    <mergeCell ref="A288:F288"/>
    <mergeCell ref="A303:B303"/>
    <mergeCell ref="A305:F305"/>
    <mergeCell ref="A306:D306"/>
    <mergeCell ref="E306:F306"/>
    <mergeCell ref="A307:F307"/>
    <mergeCell ref="A322:B322"/>
    <mergeCell ref="A324:F324"/>
    <mergeCell ref="A325:D325"/>
    <mergeCell ref="E325:F325"/>
    <mergeCell ref="A326:F326"/>
    <mergeCell ref="A341:B341"/>
    <mergeCell ref="A343:F343"/>
    <mergeCell ref="A344:D344"/>
    <mergeCell ref="E344:F344"/>
    <mergeCell ref="A345:F345"/>
    <mergeCell ref="A360:B360"/>
    <mergeCell ref="A362:F362"/>
    <mergeCell ref="A363:D363"/>
    <mergeCell ref="E363:F363"/>
    <mergeCell ref="A364:F364"/>
    <mergeCell ref="A379:B379"/>
    <mergeCell ref="A381:F381"/>
    <mergeCell ref="A382:D382"/>
    <mergeCell ref="E382:F382"/>
    <mergeCell ref="A383:F383"/>
    <mergeCell ref="A398:B398"/>
    <mergeCell ref="A400:F400"/>
    <mergeCell ref="A401:D401"/>
    <mergeCell ref="E401:F401"/>
    <mergeCell ref="A402:F402"/>
    <mergeCell ref="A417:B417"/>
    <mergeCell ref="A419:F419"/>
    <mergeCell ref="A420:D420"/>
    <mergeCell ref="E420:F420"/>
    <mergeCell ref="A421:F421"/>
    <mergeCell ref="A436:B436"/>
    <mergeCell ref="A438:F438"/>
    <mergeCell ref="A439:D439"/>
    <mergeCell ref="E439:F439"/>
    <mergeCell ref="A440:F440"/>
    <mergeCell ref="A455:B455"/>
    <mergeCell ref="A457:F457"/>
    <mergeCell ref="A458:D458"/>
    <mergeCell ref="E458:F458"/>
    <mergeCell ref="A459:F459"/>
    <mergeCell ref="A474:B474"/>
    <mergeCell ref="A476:F476"/>
    <mergeCell ref="A477:D477"/>
    <mergeCell ref="E477:F477"/>
    <mergeCell ref="A478:F478"/>
    <mergeCell ref="A493:B493"/>
    <mergeCell ref="A495:F495"/>
    <mergeCell ref="A496:D496"/>
    <mergeCell ref="E496:F496"/>
    <mergeCell ref="A497:F497"/>
    <mergeCell ref="A512:B512"/>
    <mergeCell ref="A514:F514"/>
    <mergeCell ref="A515:D515"/>
    <mergeCell ref="E515:F515"/>
    <mergeCell ref="A516:F516"/>
    <mergeCell ref="A531:B531"/>
    <mergeCell ref="A533:F533"/>
    <mergeCell ref="A534:D534"/>
    <mergeCell ref="E534:F534"/>
    <mergeCell ref="A535:F535"/>
    <mergeCell ref="A550:B550"/>
    <mergeCell ref="A552:F552"/>
    <mergeCell ref="A553:D553"/>
    <mergeCell ref="E553:F553"/>
    <mergeCell ref="A554:F554"/>
    <mergeCell ref="A569:B569"/>
    <mergeCell ref="A571:F571"/>
    <mergeCell ref="A572:D572"/>
    <mergeCell ref="E572:F572"/>
    <mergeCell ref="A573:F573"/>
    <mergeCell ref="A588:B588"/>
    <mergeCell ref="A590:F590"/>
    <mergeCell ref="A591:D591"/>
    <mergeCell ref="E591:F591"/>
    <mergeCell ref="A592:F592"/>
    <mergeCell ref="A607:B607"/>
    <mergeCell ref="A609:F609"/>
    <mergeCell ref="A610:D610"/>
    <mergeCell ref="E610:F610"/>
    <mergeCell ref="A611:F611"/>
    <mergeCell ref="A626:B626"/>
    <mergeCell ref="A628:F628"/>
    <mergeCell ref="A629:D629"/>
    <mergeCell ref="E629:F629"/>
    <mergeCell ref="A630:F630"/>
    <mergeCell ref="A645:B645"/>
    <mergeCell ref="A647:F647"/>
    <mergeCell ref="A648:D648"/>
    <mergeCell ref="E648:F648"/>
    <mergeCell ref="A649:F649"/>
    <mergeCell ref="A664:B664"/>
    <mergeCell ref="A666:F666"/>
    <mergeCell ref="A667:D667"/>
    <mergeCell ref="E667:F667"/>
    <mergeCell ref="A668:F668"/>
    <mergeCell ref="A683:B683"/>
    <mergeCell ref="A685:F685"/>
    <mergeCell ref="A686:D686"/>
    <mergeCell ref="E686:F686"/>
    <mergeCell ref="A687:F687"/>
    <mergeCell ref="A702:B702"/>
    <mergeCell ref="A704:F704"/>
    <mergeCell ref="A705:D705"/>
    <mergeCell ref="E705:F705"/>
    <mergeCell ref="A706:F706"/>
    <mergeCell ref="A721:B721"/>
    <mergeCell ref="A723:F723"/>
    <mergeCell ref="A724:D724"/>
    <mergeCell ref="E724:F724"/>
    <mergeCell ref="A725:F725"/>
    <mergeCell ref="A740:B740"/>
    <mergeCell ref="A742:F742"/>
    <mergeCell ref="A743:D743"/>
    <mergeCell ref="E743:F743"/>
    <mergeCell ref="A744:F744"/>
    <mergeCell ref="A759:B759"/>
    <mergeCell ref="A761:F761"/>
    <mergeCell ref="A762:D762"/>
    <mergeCell ref="E762:F762"/>
    <mergeCell ref="A763:F763"/>
    <mergeCell ref="A778:B778"/>
    <mergeCell ref="A780:F780"/>
    <mergeCell ref="A781:D781"/>
    <mergeCell ref="E781:F781"/>
    <mergeCell ref="A782:F782"/>
    <mergeCell ref="A797:B797"/>
    <mergeCell ref="A799:F799"/>
    <mergeCell ref="A800:D800"/>
    <mergeCell ref="E800:F800"/>
    <mergeCell ref="A801:F801"/>
    <mergeCell ref="A816:B816"/>
    <mergeCell ref="A818:F818"/>
    <mergeCell ref="A819:D819"/>
    <mergeCell ref="E819:F819"/>
    <mergeCell ref="A820:F820"/>
    <mergeCell ref="A835:B835"/>
    <mergeCell ref="A837:F837"/>
    <mergeCell ref="A838:D838"/>
    <mergeCell ref="E838:F838"/>
    <mergeCell ref="A839:F839"/>
    <mergeCell ref="A854:B854"/>
    <mergeCell ref="A856:F856"/>
    <mergeCell ref="A857:D857"/>
    <mergeCell ref="E857:F857"/>
    <mergeCell ref="A858:F858"/>
    <mergeCell ref="A873:B873"/>
    <mergeCell ref="A875:F875"/>
    <mergeCell ref="A876:D876"/>
    <mergeCell ref="E876:F876"/>
    <mergeCell ref="A877:F877"/>
    <mergeCell ref="A892:B892"/>
    <mergeCell ref="A894:F894"/>
    <mergeCell ref="A895:D895"/>
    <mergeCell ref="E895:F895"/>
    <mergeCell ref="A896:F896"/>
    <mergeCell ref="A911:B911"/>
    <mergeCell ref="A913:F913"/>
    <mergeCell ref="A914:D914"/>
    <mergeCell ref="E914:F914"/>
    <mergeCell ref="A915:F915"/>
    <mergeCell ref="A930:B930"/>
    <mergeCell ref="A932:F932"/>
    <mergeCell ref="A933:D933"/>
    <mergeCell ref="E933:F933"/>
    <mergeCell ref="A934:F934"/>
    <mergeCell ref="A949:B949"/>
    <mergeCell ref="A951:F951"/>
    <mergeCell ref="A952:D952"/>
    <mergeCell ref="E952:F952"/>
    <mergeCell ref="A953:F953"/>
    <mergeCell ref="A968:B968"/>
    <mergeCell ref="A970:F970"/>
    <mergeCell ref="A971:D971"/>
    <mergeCell ref="E971:F971"/>
    <mergeCell ref="A972:F972"/>
    <mergeCell ref="A985:B985"/>
    <mergeCell ref="A987:F987"/>
    <mergeCell ref="A988:D988"/>
    <mergeCell ref="E988:F988"/>
    <mergeCell ref="A989:F989"/>
    <mergeCell ref="A1004:F1004"/>
    <mergeCell ref="A1005:D1005"/>
    <mergeCell ref="E1005:F1005"/>
    <mergeCell ref="A1006:F1006"/>
    <mergeCell ref="A1022:F1022"/>
    <mergeCell ref="A1023:C1023"/>
    <mergeCell ref="D1023:F1023"/>
    <mergeCell ref="A1024:F1024"/>
    <mergeCell ref="A1036:B1036"/>
    <mergeCell ref="A1038:F1038"/>
    <mergeCell ref="A1039:C1039"/>
    <mergeCell ref="D1039:F1039"/>
    <mergeCell ref="A1040:F1040"/>
    <mergeCell ref="A1052:B1052"/>
    <mergeCell ref="A1054:F1054"/>
    <mergeCell ref="A1055:C1055"/>
    <mergeCell ref="D1055:F1055"/>
    <mergeCell ref="A1056:F1056"/>
    <mergeCell ref="A1070:B1070"/>
    <mergeCell ref="A1072:F1072"/>
    <mergeCell ref="A1073:C1073"/>
    <mergeCell ref="D1073:F1073"/>
    <mergeCell ref="A1074:F1074"/>
    <mergeCell ref="A1088:B1088"/>
    <mergeCell ref="A1090:F1090"/>
    <mergeCell ref="A1091:D1091"/>
    <mergeCell ref="A1092:F1092"/>
    <mergeCell ref="A1105:B1105"/>
    <mergeCell ref="A1107:F1107"/>
    <mergeCell ref="A1108:D1108"/>
    <mergeCell ref="A1109:F1109"/>
    <mergeCell ref="A1125:B1125"/>
    <mergeCell ref="A1127:F1127"/>
    <mergeCell ref="A1128:D1128"/>
    <mergeCell ref="A1129:F1129"/>
    <mergeCell ref="A1151:B115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H19" sqref="H19"/>
    </sheetView>
  </sheetViews>
  <sheetFormatPr defaultColWidth="9.00390625" defaultRowHeight="14.25"/>
  <cols>
    <col min="1" max="1" width="4.50390625" style="47" customWidth="1"/>
    <col min="2" max="2" width="15.75390625" style="47" customWidth="1"/>
    <col min="3" max="3" width="9.00390625" style="47" customWidth="1"/>
    <col min="4" max="4" width="5.75390625" style="47" customWidth="1"/>
    <col min="5" max="5" width="11.125" style="47" bestFit="1" customWidth="1"/>
    <col min="6" max="8" width="9.00390625" style="47" customWidth="1"/>
  </cols>
  <sheetData>
    <row r="2" spans="1:8" ht="14.25">
      <c r="A2" s="49" t="s">
        <v>577</v>
      </c>
      <c r="B2" s="50"/>
      <c r="C2" s="50"/>
      <c r="D2" s="50"/>
      <c r="E2" s="50"/>
      <c r="F2" s="50"/>
      <c r="G2" s="50"/>
      <c r="H2" s="50"/>
    </row>
    <row r="3" spans="1:8" ht="14.25">
      <c r="A3" s="51" t="s">
        <v>256</v>
      </c>
      <c r="B3" s="51" t="s">
        <v>578</v>
      </c>
      <c r="C3" s="51" t="s">
        <v>579</v>
      </c>
      <c r="D3" s="51" t="s">
        <v>580</v>
      </c>
      <c r="E3" s="51"/>
      <c r="F3" s="51"/>
      <c r="G3" s="51"/>
      <c r="H3" s="51"/>
    </row>
    <row r="4" spans="1:8" ht="24">
      <c r="A4" s="51"/>
      <c r="B4" s="51"/>
      <c r="C4" s="51"/>
      <c r="D4" s="51" t="s">
        <v>581</v>
      </c>
      <c r="E4" s="51" t="s">
        <v>582</v>
      </c>
      <c r="F4" s="51" t="s">
        <v>583</v>
      </c>
      <c r="G4" s="51" t="s">
        <v>262</v>
      </c>
      <c r="H4" s="51" t="s">
        <v>584</v>
      </c>
    </row>
    <row r="5" spans="1:8" ht="15.75" customHeight="1">
      <c r="A5" s="52">
        <v>1</v>
      </c>
      <c r="B5" s="52" t="s">
        <v>585</v>
      </c>
      <c r="C5" s="53">
        <f>SUM(D5:H5)</f>
        <v>53.12888933993667</v>
      </c>
      <c r="D5" s="9">
        <f>3.04/1.13</f>
        <v>2.690265486725664</v>
      </c>
      <c r="E5" s="9">
        <f>3.65/1.09</f>
        <v>3.348623853211009</v>
      </c>
      <c r="F5" s="52">
        <v>0.16</v>
      </c>
      <c r="G5" s="52">
        <f>1.3*8.1</f>
        <v>10.53</v>
      </c>
      <c r="H5" s="52">
        <f>5*'主要材料费'!D8</f>
        <v>36.4</v>
      </c>
    </row>
    <row r="6" spans="1:8" ht="15.75" customHeight="1">
      <c r="A6" s="52">
        <v>2</v>
      </c>
      <c r="B6" s="52" t="s">
        <v>586</v>
      </c>
      <c r="C6" s="53">
        <f>SUM(D6:H6)</f>
        <v>81.47469172688155</v>
      </c>
      <c r="D6" s="9">
        <f>11.29/1.13</f>
        <v>9.991150442477876</v>
      </c>
      <c r="E6" s="9">
        <f>12.48/1.09</f>
        <v>11.449541284403669</v>
      </c>
      <c r="F6" s="52"/>
      <c r="G6" s="52">
        <f>1.3*8.1</f>
        <v>10.53</v>
      </c>
      <c r="H6" s="9">
        <f>6.8*'主要材料费'!D8</f>
        <v>49.504</v>
      </c>
    </row>
    <row r="7" spans="1:8" ht="14.25">
      <c r="A7" s="52">
        <v>3</v>
      </c>
      <c r="B7" s="52" t="s">
        <v>587</v>
      </c>
      <c r="C7" s="9">
        <f aca="true" t="shared" si="0" ref="C7:C14">SUM(D7:H7)</f>
        <v>135.20876479662257</v>
      </c>
      <c r="D7" s="9">
        <f>19/1.13</f>
        <v>16.8141592920354</v>
      </c>
      <c r="E7" s="9">
        <f>22.81/1.09</f>
        <v>20.926605504587155</v>
      </c>
      <c r="F7" s="52">
        <v>0.86</v>
      </c>
      <c r="G7" s="9">
        <f>2.4*8.1</f>
        <v>19.439999999999998</v>
      </c>
      <c r="H7" s="9">
        <f>10.6*'主要材料费'!D8</f>
        <v>77.168</v>
      </c>
    </row>
    <row r="8" spans="1:8" ht="14.25">
      <c r="A8" s="36">
        <v>4</v>
      </c>
      <c r="B8" s="34" t="s">
        <v>588</v>
      </c>
      <c r="C8" s="9">
        <f t="shared" si="0"/>
        <v>139.46829438986765</v>
      </c>
      <c r="D8" s="43">
        <f>21.97/1.13</f>
        <v>19.442477876106196</v>
      </c>
      <c r="E8" s="43">
        <f>20.47/1.09</f>
        <v>18.779816513761464</v>
      </c>
      <c r="F8" s="43">
        <v>1.48</v>
      </c>
      <c r="G8" s="43">
        <f>2.7*8.1</f>
        <v>21.87</v>
      </c>
      <c r="H8" s="9">
        <f>10.7*'主要材料费'!D8</f>
        <v>77.896</v>
      </c>
    </row>
    <row r="9" spans="1:8" ht="14.25">
      <c r="A9" s="36">
        <v>5</v>
      </c>
      <c r="B9" s="36" t="s">
        <v>589</v>
      </c>
      <c r="C9" s="9">
        <f t="shared" si="0"/>
        <v>18.55204798246326</v>
      </c>
      <c r="D9" s="43">
        <f>0.17/1.13</f>
        <v>0.1504424778761062</v>
      </c>
      <c r="E9" s="43">
        <f>1.01/1.09</f>
        <v>0.9266055045871558</v>
      </c>
      <c r="F9" s="34"/>
      <c r="G9" s="43">
        <f>2*8.1</f>
        <v>16.2</v>
      </c>
      <c r="H9" s="9">
        <f>2.5*'主要材料费'!D6</f>
        <v>1.275</v>
      </c>
    </row>
    <row r="10" spans="1:8" ht="14.25">
      <c r="A10" s="36">
        <v>6</v>
      </c>
      <c r="B10" s="32" t="s">
        <v>571</v>
      </c>
      <c r="C10" s="9">
        <f t="shared" si="0"/>
        <v>18.525819111796704</v>
      </c>
      <c r="D10" s="43">
        <f>1.6/1.13</f>
        <v>1.4159292035398232</v>
      </c>
      <c r="E10" s="43">
        <f>2.69/1.09</f>
        <v>2.4678899082568804</v>
      </c>
      <c r="F10" s="34">
        <v>0.44</v>
      </c>
      <c r="G10" s="43">
        <f aca="true" t="shared" si="1" ref="G10:G14">1.3*8.1</f>
        <v>10.53</v>
      </c>
      <c r="H10" s="9">
        <f>7.2*'主要材料费'!D6</f>
        <v>3.672</v>
      </c>
    </row>
    <row r="11" spans="1:8" ht="14.25">
      <c r="A11" s="36">
        <v>7</v>
      </c>
      <c r="B11" s="8" t="s">
        <v>572</v>
      </c>
      <c r="C11" s="9">
        <f t="shared" si="0"/>
        <v>48.889710481448404</v>
      </c>
      <c r="D11" s="43">
        <f>0.24/1.13</f>
        <v>0.21238938053097348</v>
      </c>
      <c r="E11" s="43">
        <f>0.42/1.09</f>
        <v>0.38532110091743116</v>
      </c>
      <c r="F11" s="34"/>
      <c r="G11" s="43"/>
      <c r="H11" s="9">
        <f>202.5*'主要材料费'!D7+4.1*'主要材料费'!D5</f>
        <v>48.292</v>
      </c>
    </row>
    <row r="12" spans="1:8" ht="14.25">
      <c r="A12" s="36">
        <v>8</v>
      </c>
      <c r="B12" s="32" t="s">
        <v>573</v>
      </c>
      <c r="C12" s="9">
        <f t="shared" si="0"/>
        <v>22.195055127060158</v>
      </c>
      <c r="D12" s="43">
        <f>1.18/1.13</f>
        <v>1.0442477876106195</v>
      </c>
      <c r="E12" s="43">
        <f>1.71/1.09</f>
        <v>1.5688073394495412</v>
      </c>
      <c r="F12" s="34">
        <v>0.28</v>
      </c>
      <c r="G12" s="43">
        <f t="shared" si="1"/>
        <v>10.53</v>
      </c>
      <c r="H12" s="9">
        <f>17.2*'主要材料费'!D6</f>
        <v>8.772</v>
      </c>
    </row>
    <row r="13" spans="1:8" ht="14.25">
      <c r="A13" s="36">
        <v>9</v>
      </c>
      <c r="B13" s="32" t="s">
        <v>574</v>
      </c>
      <c r="C13" s="9">
        <f t="shared" si="0"/>
        <v>15.629301778030365</v>
      </c>
      <c r="D13" s="43">
        <f>0.53/1.13</f>
        <v>0.46902654867256643</v>
      </c>
      <c r="E13" s="43">
        <f>1.45/1.09</f>
        <v>1.330275229357798</v>
      </c>
      <c r="F13" s="34">
        <v>0.24</v>
      </c>
      <c r="G13" s="43">
        <f t="shared" si="1"/>
        <v>10.53</v>
      </c>
      <c r="H13" s="9">
        <f>6*'主要材料费'!D6</f>
        <v>3.06</v>
      </c>
    </row>
    <row r="14" spans="1:8" ht="14.25">
      <c r="A14" s="36">
        <v>10</v>
      </c>
      <c r="B14" s="32" t="s">
        <v>575</v>
      </c>
      <c r="C14" s="9">
        <f t="shared" si="0"/>
        <v>8.152264756028254</v>
      </c>
      <c r="D14" s="43">
        <f>0.33/1.13</f>
        <v>0.29203539823008856</v>
      </c>
      <c r="E14" s="43">
        <f>0.3/1.09</f>
        <v>0.2752293577981651</v>
      </c>
      <c r="F14" s="34">
        <v>0.19</v>
      </c>
      <c r="G14" s="43"/>
      <c r="H14" s="9">
        <f>14.5*'主要材料费'!D6</f>
        <v>7.3950000000000005</v>
      </c>
    </row>
  </sheetData>
  <sheetProtection/>
  <mergeCells count="5">
    <mergeCell ref="A2:H2"/>
    <mergeCell ref="D3:H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6"/>
  <sheetViews>
    <sheetView zoomScale="115" zoomScaleNormal="115" zoomScaleSheetLayoutView="130" workbookViewId="0" topLeftCell="A1">
      <pane ySplit="4" topLeftCell="A56" activePane="bottomLeft" state="frozen"/>
      <selection pane="bottomLeft" activeCell="D65" sqref="D65"/>
    </sheetView>
  </sheetViews>
  <sheetFormatPr defaultColWidth="9.00390625" defaultRowHeight="14.25"/>
  <cols>
    <col min="1" max="1" width="5.125" style="30" customWidth="1"/>
    <col min="2" max="2" width="39.00390625" style="30" customWidth="1"/>
    <col min="3" max="3" width="4.375" style="30" customWidth="1"/>
    <col min="4" max="4" width="7.875" style="30" customWidth="1"/>
    <col min="5" max="5" width="9.25390625" style="30" customWidth="1"/>
    <col min="6" max="8" width="6.375" style="30" customWidth="1"/>
    <col min="9" max="9" width="7.125" style="30" customWidth="1"/>
  </cols>
  <sheetData>
    <row r="1" spans="1:15" s="29" customFormat="1" ht="14.25">
      <c r="A1" s="31"/>
      <c r="B1" s="31"/>
      <c r="C1" s="31"/>
      <c r="D1" s="31"/>
      <c r="E1" s="31"/>
      <c r="F1" s="31"/>
      <c r="G1" s="31"/>
      <c r="H1" s="31"/>
      <c r="I1" s="31"/>
      <c r="N1" s="37"/>
      <c r="O1" s="37"/>
    </row>
    <row r="2" spans="1:15" s="29" customFormat="1" ht="14.25">
      <c r="A2" s="4" t="s">
        <v>35</v>
      </c>
      <c r="B2" s="3" t="s">
        <v>350</v>
      </c>
      <c r="C2" s="3" t="s">
        <v>351</v>
      </c>
      <c r="D2" s="3" t="s">
        <v>590</v>
      </c>
      <c r="E2" s="3" t="s">
        <v>591</v>
      </c>
      <c r="F2" s="4"/>
      <c r="G2" s="4"/>
      <c r="H2" s="4"/>
      <c r="I2" s="3" t="s">
        <v>41</v>
      </c>
      <c r="J2" s="38"/>
      <c r="N2" s="39"/>
      <c r="O2" s="40"/>
    </row>
    <row r="3" spans="1:15" s="29" customFormat="1" ht="14.25">
      <c r="A3" s="4"/>
      <c r="B3" s="4"/>
      <c r="C3" s="4"/>
      <c r="D3" s="4"/>
      <c r="E3" s="3" t="s">
        <v>592</v>
      </c>
      <c r="F3" s="3" t="s">
        <v>593</v>
      </c>
      <c r="G3" s="3" t="s">
        <v>594</v>
      </c>
      <c r="H3" s="3" t="s">
        <v>595</v>
      </c>
      <c r="I3" s="4"/>
      <c r="J3" s="38"/>
      <c r="N3" s="39"/>
      <c r="O3" s="40"/>
    </row>
    <row r="4" spans="1:15" s="29" customFormat="1" ht="14.25">
      <c r="A4" s="4"/>
      <c r="B4" s="4"/>
      <c r="C4" s="4"/>
      <c r="D4" s="4"/>
      <c r="E4" s="4"/>
      <c r="F4" s="4"/>
      <c r="G4" s="4"/>
      <c r="H4" s="4"/>
      <c r="I4" s="4"/>
      <c r="J4" s="38"/>
      <c r="N4" s="39"/>
      <c r="O4" s="40"/>
    </row>
    <row r="5" spans="1:15" s="29" customFormat="1" ht="14.25">
      <c r="A5" s="32">
        <v>1</v>
      </c>
      <c r="B5" s="8" t="s">
        <v>389</v>
      </c>
      <c r="C5" s="32" t="s">
        <v>49</v>
      </c>
      <c r="D5" s="33">
        <v>4.37</v>
      </c>
      <c r="E5" s="33"/>
      <c r="F5" s="33"/>
      <c r="G5" s="33"/>
      <c r="H5" s="33"/>
      <c r="I5" s="8" t="s">
        <v>596</v>
      </c>
      <c r="J5" s="38"/>
      <c r="N5" s="39"/>
      <c r="O5" s="40"/>
    </row>
    <row r="6" spans="1:15" s="29" customFormat="1" ht="14.25">
      <c r="A6" s="32">
        <v>2</v>
      </c>
      <c r="B6" s="8" t="s">
        <v>597</v>
      </c>
      <c r="C6" s="32" t="s">
        <v>598</v>
      </c>
      <c r="D6" s="33">
        <v>0.51</v>
      </c>
      <c r="E6" s="33"/>
      <c r="F6" s="33"/>
      <c r="G6" s="33"/>
      <c r="H6" s="33"/>
      <c r="I6" s="8" t="s">
        <v>596</v>
      </c>
      <c r="J6" s="38"/>
      <c r="N6" s="39"/>
      <c r="O6" s="40"/>
    </row>
    <row r="7" spans="1:15" s="29" customFormat="1" ht="14.25">
      <c r="A7" s="32">
        <v>3</v>
      </c>
      <c r="B7" s="8" t="s">
        <v>599</v>
      </c>
      <c r="C7" s="32" t="s">
        <v>49</v>
      </c>
      <c r="D7" s="33">
        <v>0.15</v>
      </c>
      <c r="E7" s="33"/>
      <c r="F7" s="33"/>
      <c r="G7" s="33"/>
      <c r="H7" s="33"/>
      <c r="I7" s="8" t="s">
        <v>600</v>
      </c>
      <c r="J7" s="38"/>
      <c r="N7" s="39"/>
      <c r="O7" s="40"/>
    </row>
    <row r="8" spans="1:15" s="29" customFormat="1" ht="14.25">
      <c r="A8" s="32">
        <v>4</v>
      </c>
      <c r="B8" s="8" t="s">
        <v>601</v>
      </c>
      <c r="C8" s="32" t="s">
        <v>560</v>
      </c>
      <c r="D8" s="33">
        <v>7.28</v>
      </c>
      <c r="E8" s="33"/>
      <c r="F8" s="33"/>
      <c r="G8" s="33"/>
      <c r="H8" s="33"/>
      <c r="I8" s="8" t="s">
        <v>596</v>
      </c>
      <c r="J8" s="38"/>
      <c r="N8" s="39"/>
      <c r="O8" s="40"/>
    </row>
    <row r="9" spans="1:15" s="29" customFormat="1" ht="14.25">
      <c r="A9" s="32">
        <v>5</v>
      </c>
      <c r="B9" s="8" t="s">
        <v>602</v>
      </c>
      <c r="C9" s="32" t="s">
        <v>560</v>
      </c>
      <c r="D9" s="33">
        <v>7.63</v>
      </c>
      <c r="E9" s="33"/>
      <c r="F9" s="33"/>
      <c r="G9" s="33"/>
      <c r="H9" s="33"/>
      <c r="I9" s="8" t="s">
        <v>596</v>
      </c>
      <c r="J9" s="38"/>
      <c r="N9" s="39"/>
      <c r="O9" s="40"/>
    </row>
    <row r="10" spans="1:15" s="29" customFormat="1" ht="14.25">
      <c r="A10" s="32">
        <v>6</v>
      </c>
      <c r="B10" s="8" t="s">
        <v>362</v>
      </c>
      <c r="C10" s="32" t="s">
        <v>49</v>
      </c>
      <c r="D10" s="33">
        <f>E10+F10+H10+G10</f>
        <v>48.4</v>
      </c>
      <c r="E10" s="33">
        <v>40</v>
      </c>
      <c r="F10" s="33"/>
      <c r="G10" s="33">
        <f>E10*0.2</f>
        <v>8</v>
      </c>
      <c r="H10" s="33">
        <f aca="true" t="shared" si="0" ref="H10:H15">E10*0.01</f>
        <v>0.4</v>
      </c>
      <c r="I10" s="8" t="s">
        <v>600</v>
      </c>
      <c r="J10" s="38"/>
      <c r="N10" s="39"/>
      <c r="O10" s="40"/>
    </row>
    <row r="11" spans="1:15" s="29" customFormat="1" ht="14.25">
      <c r="A11" s="32">
        <v>7</v>
      </c>
      <c r="B11" s="8" t="s">
        <v>603</v>
      </c>
      <c r="C11" s="8" t="s">
        <v>388</v>
      </c>
      <c r="D11" s="33">
        <f>E11+F11+H11+G11</f>
        <v>234.22109999999998</v>
      </c>
      <c r="E11" s="33">
        <v>211.01</v>
      </c>
      <c r="F11" s="33"/>
      <c r="G11" s="33">
        <f>E11*0.1</f>
        <v>21.101</v>
      </c>
      <c r="H11" s="33">
        <f t="shared" si="0"/>
        <v>2.1101</v>
      </c>
      <c r="I11" s="8" t="s">
        <v>596</v>
      </c>
      <c r="J11" s="38"/>
      <c r="N11" s="39"/>
      <c r="O11" s="40"/>
    </row>
    <row r="12" spans="1:15" s="29" customFormat="1" ht="14.25">
      <c r="A12" s="32">
        <v>8</v>
      </c>
      <c r="B12" s="8" t="s">
        <v>604</v>
      </c>
      <c r="C12" s="8" t="s">
        <v>388</v>
      </c>
      <c r="D12" s="33">
        <f>E12+F12+H12+G12</f>
        <v>162.93689999999998</v>
      </c>
      <c r="E12" s="33">
        <v>146.79</v>
      </c>
      <c r="F12" s="33"/>
      <c r="G12" s="33">
        <f>E12*0.1</f>
        <v>14.679</v>
      </c>
      <c r="H12" s="33">
        <f t="shared" si="0"/>
        <v>1.4679</v>
      </c>
      <c r="I12" s="8" t="s">
        <v>596</v>
      </c>
      <c r="J12" s="38"/>
      <c r="N12" s="41"/>
      <c r="O12" s="42"/>
    </row>
    <row r="13" spans="1:9" ht="14.25">
      <c r="A13" s="32">
        <v>9</v>
      </c>
      <c r="B13" s="8" t="s">
        <v>605</v>
      </c>
      <c r="C13" s="8" t="s">
        <v>388</v>
      </c>
      <c r="D13" s="33">
        <f>E13+F13+H13+G13</f>
        <v>285.1368</v>
      </c>
      <c r="E13" s="33">
        <v>256.88</v>
      </c>
      <c r="F13" s="33"/>
      <c r="G13" s="33">
        <f>E13*0.1</f>
        <v>25.688000000000002</v>
      </c>
      <c r="H13" s="33">
        <f t="shared" si="0"/>
        <v>2.5688</v>
      </c>
      <c r="I13" s="8" t="s">
        <v>596</v>
      </c>
    </row>
    <row r="14" spans="1:9" ht="14.25">
      <c r="A14" s="32">
        <v>10</v>
      </c>
      <c r="B14" s="8" t="s">
        <v>606</v>
      </c>
      <c r="C14" s="8" t="s">
        <v>388</v>
      </c>
      <c r="D14" s="33">
        <f>E14+F14+H14+G14</f>
        <v>25.4634</v>
      </c>
      <c r="E14" s="33">
        <v>22.94</v>
      </c>
      <c r="F14" s="33"/>
      <c r="G14" s="33">
        <f>E14*0.1</f>
        <v>2.294</v>
      </c>
      <c r="H14" s="33">
        <f t="shared" si="0"/>
        <v>0.22940000000000002</v>
      </c>
      <c r="I14" s="8" t="s">
        <v>596</v>
      </c>
    </row>
    <row r="15" spans="1:9" ht="14.25">
      <c r="A15" s="32">
        <v>11</v>
      </c>
      <c r="B15" s="8" t="s">
        <v>607</v>
      </c>
      <c r="C15" s="8" t="s">
        <v>388</v>
      </c>
      <c r="D15" s="33">
        <f aca="true" t="shared" si="1" ref="D15:D22">E15+F15+H15+G15</f>
        <v>30.5472</v>
      </c>
      <c r="E15" s="33">
        <v>27.52</v>
      </c>
      <c r="F15" s="33"/>
      <c r="G15" s="33">
        <f>E15*0.1</f>
        <v>2.7520000000000002</v>
      </c>
      <c r="H15" s="33">
        <f t="shared" si="0"/>
        <v>0.2752</v>
      </c>
      <c r="I15" s="8" t="s">
        <v>596</v>
      </c>
    </row>
    <row r="16" spans="1:9" ht="14.25">
      <c r="A16" s="32">
        <v>12</v>
      </c>
      <c r="B16" s="8" t="s">
        <v>608</v>
      </c>
      <c r="C16" s="8" t="s">
        <v>388</v>
      </c>
      <c r="D16" s="33">
        <f t="shared" si="1"/>
        <v>35.6421</v>
      </c>
      <c r="E16" s="33">
        <v>32.11</v>
      </c>
      <c r="F16" s="33"/>
      <c r="G16" s="33">
        <f aca="true" t="shared" si="2" ref="G16:G22">E16*0.1</f>
        <v>3.2110000000000003</v>
      </c>
      <c r="H16" s="33">
        <f aca="true" t="shared" si="3" ref="H16:H22">E16*0.01</f>
        <v>0.3211</v>
      </c>
      <c r="I16" s="8" t="s">
        <v>596</v>
      </c>
    </row>
    <row r="17" spans="1:9" ht="14.25">
      <c r="A17" s="32">
        <v>13</v>
      </c>
      <c r="B17" s="8" t="s">
        <v>609</v>
      </c>
      <c r="C17" s="8" t="s">
        <v>388</v>
      </c>
      <c r="D17" s="33">
        <f t="shared" si="1"/>
        <v>61.1055</v>
      </c>
      <c r="E17" s="33">
        <v>55.05</v>
      </c>
      <c r="F17" s="33"/>
      <c r="G17" s="33">
        <f t="shared" si="2"/>
        <v>5.505</v>
      </c>
      <c r="H17" s="33">
        <f t="shared" si="3"/>
        <v>0.5505</v>
      </c>
      <c r="I17" s="8" t="s">
        <v>596</v>
      </c>
    </row>
    <row r="18" spans="1:9" ht="14.25">
      <c r="A18" s="32">
        <v>14</v>
      </c>
      <c r="B18" s="8" t="s">
        <v>610</v>
      </c>
      <c r="C18" s="8" t="s">
        <v>388</v>
      </c>
      <c r="D18" s="33">
        <f t="shared" si="1"/>
        <v>30.5472</v>
      </c>
      <c r="E18" s="33">
        <v>27.52</v>
      </c>
      <c r="F18" s="33"/>
      <c r="G18" s="33">
        <f t="shared" si="2"/>
        <v>2.7520000000000002</v>
      </c>
      <c r="H18" s="33">
        <f t="shared" si="3"/>
        <v>0.2752</v>
      </c>
      <c r="I18" s="8" t="s">
        <v>596</v>
      </c>
    </row>
    <row r="19" spans="1:9" ht="14.25">
      <c r="A19" s="32">
        <v>15</v>
      </c>
      <c r="B19" s="8" t="s">
        <v>611</v>
      </c>
      <c r="C19" s="8" t="s">
        <v>388</v>
      </c>
      <c r="D19" s="33">
        <f t="shared" si="1"/>
        <v>45.8208</v>
      </c>
      <c r="E19" s="33">
        <v>41.28</v>
      </c>
      <c r="F19" s="33"/>
      <c r="G19" s="33">
        <f t="shared" si="2"/>
        <v>4.128</v>
      </c>
      <c r="H19" s="33">
        <f t="shared" si="3"/>
        <v>0.4128</v>
      </c>
      <c r="I19" s="8" t="s">
        <v>596</v>
      </c>
    </row>
    <row r="20" spans="1:9" ht="14.25">
      <c r="A20" s="32">
        <v>16</v>
      </c>
      <c r="B20" s="8" t="s">
        <v>612</v>
      </c>
      <c r="C20" s="8" t="s">
        <v>388</v>
      </c>
      <c r="D20" s="33">
        <f t="shared" si="1"/>
        <v>81.4629</v>
      </c>
      <c r="E20" s="33">
        <v>73.39</v>
      </c>
      <c r="F20" s="33"/>
      <c r="G20" s="33">
        <f t="shared" si="2"/>
        <v>7.339</v>
      </c>
      <c r="H20" s="33">
        <f t="shared" si="3"/>
        <v>0.7339</v>
      </c>
      <c r="I20" s="8" t="s">
        <v>596</v>
      </c>
    </row>
    <row r="21" spans="1:9" ht="14.25">
      <c r="A21" s="32">
        <v>17</v>
      </c>
      <c r="B21" s="8" t="s">
        <v>613</v>
      </c>
      <c r="C21" s="8" t="s">
        <v>388</v>
      </c>
      <c r="D21" s="33">
        <f t="shared" si="1"/>
        <v>99.9</v>
      </c>
      <c r="E21" s="33">
        <v>90</v>
      </c>
      <c r="F21" s="33"/>
      <c r="G21" s="33">
        <f t="shared" si="2"/>
        <v>9</v>
      </c>
      <c r="H21" s="33">
        <f t="shared" si="3"/>
        <v>0.9</v>
      </c>
      <c r="I21" s="8" t="s">
        <v>596</v>
      </c>
    </row>
    <row r="22" spans="1:9" ht="14.25">
      <c r="A22" s="32">
        <v>18</v>
      </c>
      <c r="B22" s="8" t="s">
        <v>614</v>
      </c>
      <c r="C22" s="8" t="s">
        <v>388</v>
      </c>
      <c r="D22" s="33">
        <f t="shared" si="1"/>
        <v>19.98</v>
      </c>
      <c r="E22" s="33">
        <v>18</v>
      </c>
      <c r="F22" s="33"/>
      <c r="G22" s="33">
        <f t="shared" si="2"/>
        <v>1.8</v>
      </c>
      <c r="H22" s="33">
        <f t="shared" si="3"/>
        <v>0.18</v>
      </c>
      <c r="I22" s="8" t="s">
        <v>596</v>
      </c>
    </row>
    <row r="23" spans="1:9" ht="14.25">
      <c r="A23" s="32">
        <v>19</v>
      </c>
      <c r="B23" s="8" t="s">
        <v>615</v>
      </c>
      <c r="C23" s="8" t="s">
        <v>388</v>
      </c>
      <c r="D23" s="33">
        <f aca="true" t="shared" si="4" ref="D23:D59">E23+F23+H23+G23</f>
        <v>18.3261</v>
      </c>
      <c r="E23" s="33">
        <v>16.51</v>
      </c>
      <c r="F23" s="34"/>
      <c r="G23" s="33">
        <f aca="true" t="shared" si="5" ref="G23:G59">E23*0.1</f>
        <v>1.6510000000000002</v>
      </c>
      <c r="H23" s="33">
        <f aca="true" t="shared" si="6" ref="H23:H59">E23*0.01</f>
        <v>0.16510000000000002</v>
      </c>
      <c r="I23" s="8" t="s">
        <v>596</v>
      </c>
    </row>
    <row r="24" spans="1:9" ht="14.25">
      <c r="A24" s="32">
        <v>20</v>
      </c>
      <c r="B24" s="8" t="s">
        <v>616</v>
      </c>
      <c r="C24" s="8" t="s">
        <v>388</v>
      </c>
      <c r="D24" s="33">
        <f t="shared" si="4"/>
        <v>18.3261</v>
      </c>
      <c r="E24" s="33">
        <v>16.51</v>
      </c>
      <c r="F24" s="34"/>
      <c r="G24" s="33">
        <f t="shared" si="5"/>
        <v>1.6510000000000002</v>
      </c>
      <c r="H24" s="33">
        <f t="shared" si="6"/>
        <v>0.16510000000000002</v>
      </c>
      <c r="I24" s="8" t="s">
        <v>596</v>
      </c>
    </row>
    <row r="25" spans="1:9" ht="14.25">
      <c r="A25" s="32">
        <v>21</v>
      </c>
      <c r="B25" s="35" t="s">
        <v>617</v>
      </c>
      <c r="C25" s="8" t="s">
        <v>388</v>
      </c>
      <c r="D25" s="33">
        <f t="shared" si="4"/>
        <v>437.895</v>
      </c>
      <c r="E25" s="33">
        <v>394.5</v>
      </c>
      <c r="F25" s="34"/>
      <c r="G25" s="33">
        <f t="shared" si="5"/>
        <v>39.45</v>
      </c>
      <c r="H25" s="33">
        <f t="shared" si="6"/>
        <v>3.9450000000000003</v>
      </c>
      <c r="I25" s="8" t="s">
        <v>596</v>
      </c>
    </row>
    <row r="26" spans="1:9" ht="14.25">
      <c r="A26" s="32">
        <v>22</v>
      </c>
      <c r="B26" s="35" t="s">
        <v>618</v>
      </c>
      <c r="C26" s="8" t="s">
        <v>388</v>
      </c>
      <c r="D26" s="33">
        <f t="shared" si="4"/>
        <v>336.05249999999995</v>
      </c>
      <c r="E26" s="33">
        <v>302.75</v>
      </c>
      <c r="F26" s="34"/>
      <c r="G26" s="33">
        <f t="shared" si="5"/>
        <v>30.275000000000002</v>
      </c>
      <c r="H26" s="33">
        <f t="shared" si="6"/>
        <v>3.0275</v>
      </c>
      <c r="I26" s="8" t="s">
        <v>596</v>
      </c>
    </row>
    <row r="27" spans="1:9" ht="14.25">
      <c r="A27" s="32">
        <v>23</v>
      </c>
      <c r="B27" s="35" t="s">
        <v>619</v>
      </c>
      <c r="C27" s="8" t="s">
        <v>388</v>
      </c>
      <c r="D27" s="33">
        <f t="shared" si="4"/>
        <v>305.50530000000003</v>
      </c>
      <c r="E27" s="33">
        <v>275.23</v>
      </c>
      <c r="F27" s="34"/>
      <c r="G27" s="33">
        <f t="shared" si="5"/>
        <v>27.523000000000003</v>
      </c>
      <c r="H27" s="33">
        <f t="shared" si="6"/>
        <v>2.7523000000000004</v>
      </c>
      <c r="I27" s="8" t="s">
        <v>596</v>
      </c>
    </row>
    <row r="28" spans="1:9" ht="14.25">
      <c r="A28" s="32">
        <v>24</v>
      </c>
      <c r="B28" s="35" t="s">
        <v>620</v>
      </c>
      <c r="C28" s="8" t="s">
        <v>388</v>
      </c>
      <c r="D28" s="33">
        <f t="shared" si="4"/>
        <v>264.7683</v>
      </c>
      <c r="E28" s="33">
        <v>238.53</v>
      </c>
      <c r="F28" s="34"/>
      <c r="G28" s="33">
        <f t="shared" si="5"/>
        <v>23.853</v>
      </c>
      <c r="H28" s="33">
        <f t="shared" si="6"/>
        <v>2.3853</v>
      </c>
      <c r="I28" s="8" t="s">
        <v>596</v>
      </c>
    </row>
    <row r="29" spans="1:9" ht="14.25">
      <c r="A29" s="32">
        <v>25</v>
      </c>
      <c r="B29" s="35" t="s">
        <v>621</v>
      </c>
      <c r="C29" s="8" t="s">
        <v>388</v>
      </c>
      <c r="D29" s="33">
        <f t="shared" si="4"/>
        <v>50.9157</v>
      </c>
      <c r="E29" s="33">
        <v>45.87</v>
      </c>
      <c r="F29" s="34"/>
      <c r="G29" s="33">
        <f t="shared" si="5"/>
        <v>4.587</v>
      </c>
      <c r="H29" s="33">
        <f t="shared" si="6"/>
        <v>0.4587</v>
      </c>
      <c r="I29" s="8" t="s">
        <v>596</v>
      </c>
    </row>
    <row r="30" spans="1:9" ht="14.25">
      <c r="A30" s="32">
        <v>26</v>
      </c>
      <c r="B30" s="35" t="s">
        <v>622</v>
      </c>
      <c r="C30" s="8" t="s">
        <v>388</v>
      </c>
      <c r="D30" s="33">
        <f t="shared" si="4"/>
        <v>61.1055</v>
      </c>
      <c r="E30" s="33">
        <v>55.05</v>
      </c>
      <c r="F30" s="34"/>
      <c r="G30" s="33">
        <f t="shared" si="5"/>
        <v>5.505</v>
      </c>
      <c r="H30" s="33">
        <f t="shared" si="6"/>
        <v>0.5505</v>
      </c>
      <c r="I30" s="8" t="s">
        <v>596</v>
      </c>
    </row>
    <row r="31" spans="1:9" ht="14.25">
      <c r="A31" s="32">
        <v>27</v>
      </c>
      <c r="B31" s="35" t="s">
        <v>623</v>
      </c>
      <c r="C31" s="8" t="s">
        <v>388</v>
      </c>
      <c r="D31" s="33">
        <f t="shared" si="4"/>
        <v>285.1368</v>
      </c>
      <c r="E31" s="33">
        <v>256.88</v>
      </c>
      <c r="F31" s="34"/>
      <c r="G31" s="33">
        <f t="shared" si="5"/>
        <v>25.688000000000002</v>
      </c>
      <c r="H31" s="33">
        <f t="shared" si="6"/>
        <v>2.5688</v>
      </c>
      <c r="I31" s="8" t="s">
        <v>596</v>
      </c>
    </row>
    <row r="32" spans="1:9" ht="14.25">
      <c r="A32" s="32">
        <v>28</v>
      </c>
      <c r="B32" s="35" t="s">
        <v>624</v>
      </c>
      <c r="C32" s="8" t="s">
        <v>388</v>
      </c>
      <c r="D32" s="33">
        <f t="shared" si="4"/>
        <v>152.74710000000002</v>
      </c>
      <c r="E32" s="33">
        <v>137.61</v>
      </c>
      <c r="F32" s="34"/>
      <c r="G32" s="33">
        <f t="shared" si="5"/>
        <v>13.761000000000003</v>
      </c>
      <c r="H32" s="33">
        <f t="shared" si="6"/>
        <v>1.3761</v>
      </c>
      <c r="I32" s="8" t="s">
        <v>596</v>
      </c>
    </row>
    <row r="33" spans="1:9" ht="14.25">
      <c r="A33" s="32">
        <v>29</v>
      </c>
      <c r="B33" s="35" t="s">
        <v>625</v>
      </c>
      <c r="C33" s="8" t="s">
        <v>388</v>
      </c>
      <c r="D33" s="33">
        <f t="shared" si="4"/>
        <v>132.3897</v>
      </c>
      <c r="E33" s="33">
        <v>119.27</v>
      </c>
      <c r="F33" s="34"/>
      <c r="G33" s="33">
        <f t="shared" si="5"/>
        <v>11.927</v>
      </c>
      <c r="H33" s="33">
        <f t="shared" si="6"/>
        <v>1.1927</v>
      </c>
      <c r="I33" s="8" t="s">
        <v>596</v>
      </c>
    </row>
    <row r="34" spans="1:9" ht="14.25">
      <c r="A34" s="32">
        <v>30</v>
      </c>
      <c r="B34" s="35" t="s">
        <v>626</v>
      </c>
      <c r="C34" s="8" t="s">
        <v>388</v>
      </c>
      <c r="D34" s="33">
        <f t="shared" si="4"/>
        <v>132.3897</v>
      </c>
      <c r="E34" s="33">
        <v>119.27</v>
      </c>
      <c r="F34" s="34"/>
      <c r="G34" s="33">
        <f t="shared" si="5"/>
        <v>11.927</v>
      </c>
      <c r="H34" s="33">
        <f t="shared" si="6"/>
        <v>1.1927</v>
      </c>
      <c r="I34" s="8" t="s">
        <v>596</v>
      </c>
    </row>
    <row r="35" spans="1:9" ht="14.25">
      <c r="A35" s="32">
        <v>31</v>
      </c>
      <c r="B35" s="35" t="s">
        <v>627</v>
      </c>
      <c r="C35" s="8" t="s">
        <v>388</v>
      </c>
      <c r="D35" s="33">
        <f t="shared" si="4"/>
        <v>61.1055</v>
      </c>
      <c r="E35" s="33">
        <v>55.05</v>
      </c>
      <c r="F35" s="34"/>
      <c r="G35" s="33">
        <f t="shared" si="5"/>
        <v>5.505</v>
      </c>
      <c r="H35" s="33">
        <f t="shared" si="6"/>
        <v>0.5505</v>
      </c>
      <c r="I35" s="8" t="s">
        <v>596</v>
      </c>
    </row>
    <row r="36" spans="1:9" ht="14.25">
      <c r="A36" s="32">
        <v>32</v>
      </c>
      <c r="B36" s="35" t="s">
        <v>628</v>
      </c>
      <c r="C36" s="8" t="s">
        <v>388</v>
      </c>
      <c r="D36" s="33">
        <f t="shared" si="4"/>
        <v>112.02120000000001</v>
      </c>
      <c r="E36" s="33">
        <v>100.92</v>
      </c>
      <c r="F36" s="34"/>
      <c r="G36" s="33">
        <f t="shared" si="5"/>
        <v>10.092</v>
      </c>
      <c r="H36" s="33">
        <f t="shared" si="6"/>
        <v>1.0092</v>
      </c>
      <c r="I36" s="8" t="s">
        <v>596</v>
      </c>
    </row>
    <row r="37" spans="1:9" ht="14.25">
      <c r="A37" s="32">
        <v>33</v>
      </c>
      <c r="B37" s="35" t="s">
        <v>629</v>
      </c>
      <c r="C37" s="8" t="s">
        <v>388</v>
      </c>
      <c r="D37" s="33">
        <f t="shared" si="4"/>
        <v>71.2842</v>
      </c>
      <c r="E37" s="33">
        <v>64.22</v>
      </c>
      <c r="F37" s="34"/>
      <c r="G37" s="33">
        <f t="shared" si="5"/>
        <v>6.422000000000001</v>
      </c>
      <c r="H37" s="33">
        <f t="shared" si="6"/>
        <v>0.6422</v>
      </c>
      <c r="I37" s="8" t="s">
        <v>596</v>
      </c>
    </row>
    <row r="38" spans="1:9" ht="14.25">
      <c r="A38" s="32">
        <v>34</v>
      </c>
      <c r="B38" s="35" t="s">
        <v>630</v>
      </c>
      <c r="C38" s="8" t="s">
        <v>388</v>
      </c>
      <c r="D38" s="33">
        <f t="shared" si="4"/>
        <v>45.8208</v>
      </c>
      <c r="E38" s="33">
        <v>41.28</v>
      </c>
      <c r="F38" s="34"/>
      <c r="G38" s="33">
        <f t="shared" si="5"/>
        <v>4.128</v>
      </c>
      <c r="H38" s="33">
        <f t="shared" si="6"/>
        <v>0.4128</v>
      </c>
      <c r="I38" s="8" t="s">
        <v>596</v>
      </c>
    </row>
    <row r="39" spans="1:9" ht="14.25">
      <c r="A39" s="32">
        <v>35</v>
      </c>
      <c r="B39" s="35" t="s">
        <v>631</v>
      </c>
      <c r="C39" s="8" t="s">
        <v>388</v>
      </c>
      <c r="D39" s="33">
        <f t="shared" si="4"/>
        <v>25.4634</v>
      </c>
      <c r="E39" s="33">
        <v>22.94</v>
      </c>
      <c r="F39" s="34"/>
      <c r="G39" s="33">
        <f t="shared" si="5"/>
        <v>2.294</v>
      </c>
      <c r="H39" s="33">
        <f t="shared" si="6"/>
        <v>0.22940000000000002</v>
      </c>
      <c r="I39" s="8" t="s">
        <v>596</v>
      </c>
    </row>
    <row r="40" spans="1:9" ht="14.25">
      <c r="A40" s="32">
        <v>36</v>
      </c>
      <c r="B40" s="35" t="s">
        <v>632</v>
      </c>
      <c r="C40" s="8" t="s">
        <v>388</v>
      </c>
      <c r="D40" s="33">
        <f t="shared" si="4"/>
        <v>15.2736</v>
      </c>
      <c r="E40" s="33">
        <v>13.76</v>
      </c>
      <c r="F40" s="34"/>
      <c r="G40" s="33">
        <f t="shared" si="5"/>
        <v>1.3760000000000001</v>
      </c>
      <c r="H40" s="33">
        <f t="shared" si="6"/>
        <v>0.1376</v>
      </c>
      <c r="I40" s="8" t="s">
        <v>596</v>
      </c>
    </row>
    <row r="41" spans="1:9" ht="14.25">
      <c r="A41" s="32">
        <v>37</v>
      </c>
      <c r="B41" s="35" t="s">
        <v>633</v>
      </c>
      <c r="C41" s="8" t="s">
        <v>388</v>
      </c>
      <c r="D41" s="33">
        <f t="shared" si="4"/>
        <v>3.5631</v>
      </c>
      <c r="E41" s="33">
        <v>3.21</v>
      </c>
      <c r="F41" s="34"/>
      <c r="G41" s="33">
        <f t="shared" si="5"/>
        <v>0.321</v>
      </c>
      <c r="H41" s="33">
        <f t="shared" si="6"/>
        <v>0.032100000000000004</v>
      </c>
      <c r="I41" s="8" t="s">
        <v>596</v>
      </c>
    </row>
    <row r="42" spans="1:9" ht="14.25">
      <c r="A42" s="32">
        <v>38</v>
      </c>
      <c r="B42" s="35" t="s">
        <v>634</v>
      </c>
      <c r="C42" s="8" t="s">
        <v>388</v>
      </c>
      <c r="D42" s="33">
        <f t="shared" si="4"/>
        <v>0.9768</v>
      </c>
      <c r="E42" s="33">
        <v>0.88</v>
      </c>
      <c r="F42" s="34"/>
      <c r="G42" s="33">
        <f t="shared" si="5"/>
        <v>0.08800000000000001</v>
      </c>
      <c r="H42" s="33">
        <f t="shared" si="6"/>
        <v>0.0088</v>
      </c>
      <c r="I42" s="8" t="s">
        <v>596</v>
      </c>
    </row>
    <row r="43" spans="1:9" ht="14.25">
      <c r="A43" s="32">
        <v>39</v>
      </c>
      <c r="B43" s="35" t="s">
        <v>635</v>
      </c>
      <c r="C43" s="8" t="s">
        <v>388</v>
      </c>
      <c r="D43" s="33">
        <f t="shared" si="4"/>
        <v>0.6105</v>
      </c>
      <c r="E43" s="33">
        <v>0.55</v>
      </c>
      <c r="F43" s="34"/>
      <c r="G43" s="33">
        <f t="shared" si="5"/>
        <v>0.05500000000000001</v>
      </c>
      <c r="H43" s="33">
        <f t="shared" si="6"/>
        <v>0.0055000000000000005</v>
      </c>
      <c r="I43" s="8" t="s">
        <v>596</v>
      </c>
    </row>
    <row r="44" spans="1:9" ht="14.25">
      <c r="A44" s="32">
        <v>40</v>
      </c>
      <c r="B44" s="35" t="s">
        <v>636</v>
      </c>
      <c r="C44" s="8" t="s">
        <v>388</v>
      </c>
      <c r="D44" s="33">
        <f t="shared" si="4"/>
        <v>28.515900000000002</v>
      </c>
      <c r="E44" s="33">
        <v>25.69</v>
      </c>
      <c r="F44" s="34"/>
      <c r="G44" s="33">
        <f t="shared" si="5"/>
        <v>2.5690000000000004</v>
      </c>
      <c r="H44" s="33">
        <f t="shared" si="6"/>
        <v>0.2569</v>
      </c>
      <c r="I44" s="8" t="s">
        <v>596</v>
      </c>
    </row>
    <row r="45" spans="1:9" ht="14.25">
      <c r="A45" s="32">
        <v>41</v>
      </c>
      <c r="B45" s="35" t="s">
        <v>637</v>
      </c>
      <c r="C45" s="8" t="s">
        <v>388</v>
      </c>
      <c r="D45" s="33">
        <f t="shared" si="4"/>
        <v>35.6421</v>
      </c>
      <c r="E45" s="33">
        <v>32.11</v>
      </c>
      <c r="F45" s="34"/>
      <c r="G45" s="33">
        <f t="shared" si="5"/>
        <v>3.2110000000000003</v>
      </c>
      <c r="H45" s="33">
        <f t="shared" si="6"/>
        <v>0.3211</v>
      </c>
      <c r="I45" s="8" t="s">
        <v>596</v>
      </c>
    </row>
    <row r="46" spans="1:9" ht="14.25">
      <c r="A46" s="32">
        <v>42</v>
      </c>
      <c r="B46" s="35" t="s">
        <v>638</v>
      </c>
      <c r="C46" s="8" t="s">
        <v>388</v>
      </c>
      <c r="D46" s="33">
        <f t="shared" si="4"/>
        <v>35.6421</v>
      </c>
      <c r="E46" s="33">
        <v>32.11</v>
      </c>
      <c r="F46" s="34"/>
      <c r="G46" s="33">
        <f t="shared" si="5"/>
        <v>3.2110000000000003</v>
      </c>
      <c r="H46" s="33">
        <f t="shared" si="6"/>
        <v>0.3211</v>
      </c>
      <c r="I46" s="8" t="s">
        <v>596</v>
      </c>
    </row>
    <row r="47" spans="1:9" ht="14.25">
      <c r="A47" s="32">
        <v>43</v>
      </c>
      <c r="B47" s="35" t="s">
        <v>639</v>
      </c>
      <c r="C47" s="8" t="s">
        <v>388</v>
      </c>
      <c r="D47" s="33">
        <f t="shared" si="4"/>
        <v>22.3998</v>
      </c>
      <c r="E47" s="33">
        <v>20.18</v>
      </c>
      <c r="F47" s="34"/>
      <c r="G47" s="33">
        <f t="shared" si="5"/>
        <v>2.0180000000000002</v>
      </c>
      <c r="H47" s="33">
        <f t="shared" si="6"/>
        <v>0.2018</v>
      </c>
      <c r="I47" s="8" t="s">
        <v>596</v>
      </c>
    </row>
    <row r="48" spans="1:9" ht="14.25">
      <c r="A48" s="32">
        <v>44</v>
      </c>
      <c r="B48" s="35" t="s">
        <v>640</v>
      </c>
      <c r="C48" s="8" t="s">
        <v>388</v>
      </c>
      <c r="D48" s="33">
        <f t="shared" si="4"/>
        <v>30.5472</v>
      </c>
      <c r="E48" s="33">
        <v>27.52</v>
      </c>
      <c r="F48" s="34"/>
      <c r="G48" s="33">
        <f t="shared" si="5"/>
        <v>2.7520000000000002</v>
      </c>
      <c r="H48" s="33">
        <f t="shared" si="6"/>
        <v>0.2752</v>
      </c>
      <c r="I48" s="8" t="s">
        <v>596</v>
      </c>
    </row>
    <row r="49" spans="1:9" ht="14.25">
      <c r="A49" s="32">
        <v>45</v>
      </c>
      <c r="B49" s="35" t="s">
        <v>641</v>
      </c>
      <c r="C49" s="8" t="s">
        <v>388</v>
      </c>
      <c r="D49" s="33">
        <f t="shared" si="4"/>
        <v>1.0212</v>
      </c>
      <c r="E49" s="33">
        <v>0.92</v>
      </c>
      <c r="F49" s="34"/>
      <c r="G49" s="33">
        <f t="shared" si="5"/>
        <v>0.09200000000000001</v>
      </c>
      <c r="H49" s="33">
        <f t="shared" si="6"/>
        <v>0.0092</v>
      </c>
      <c r="I49" s="8" t="s">
        <v>596</v>
      </c>
    </row>
    <row r="50" spans="1:9" ht="14.25">
      <c r="A50" s="32">
        <v>46</v>
      </c>
      <c r="B50" s="35" t="s">
        <v>642</v>
      </c>
      <c r="C50" s="8" t="s">
        <v>388</v>
      </c>
      <c r="D50" s="33">
        <f t="shared" si="4"/>
        <v>2.5419</v>
      </c>
      <c r="E50" s="33">
        <v>2.29</v>
      </c>
      <c r="F50" s="34"/>
      <c r="G50" s="33">
        <f t="shared" si="5"/>
        <v>0.229</v>
      </c>
      <c r="H50" s="33">
        <f t="shared" si="6"/>
        <v>0.0229</v>
      </c>
      <c r="I50" s="8" t="s">
        <v>596</v>
      </c>
    </row>
    <row r="51" spans="1:9" ht="14.25">
      <c r="A51" s="32">
        <v>47</v>
      </c>
      <c r="B51" s="35" t="s">
        <v>643</v>
      </c>
      <c r="C51" s="8" t="s">
        <v>388</v>
      </c>
      <c r="D51" s="33">
        <f t="shared" si="4"/>
        <v>2.5419</v>
      </c>
      <c r="E51" s="33">
        <v>2.29</v>
      </c>
      <c r="F51" s="34"/>
      <c r="G51" s="33">
        <f t="shared" si="5"/>
        <v>0.229</v>
      </c>
      <c r="H51" s="33">
        <f t="shared" si="6"/>
        <v>0.0229</v>
      </c>
      <c r="I51" s="8" t="s">
        <v>596</v>
      </c>
    </row>
    <row r="52" spans="1:9" ht="14.25">
      <c r="A52" s="32">
        <v>48</v>
      </c>
      <c r="B52" s="35" t="s">
        <v>644</v>
      </c>
      <c r="C52" s="8" t="s">
        <v>388</v>
      </c>
      <c r="D52" s="33">
        <f t="shared" si="4"/>
        <v>2.0313</v>
      </c>
      <c r="E52" s="33">
        <v>1.83</v>
      </c>
      <c r="F52" s="34"/>
      <c r="G52" s="33">
        <f t="shared" si="5"/>
        <v>0.18300000000000002</v>
      </c>
      <c r="H52" s="33">
        <f t="shared" si="6"/>
        <v>0.0183</v>
      </c>
      <c r="I52" s="8" t="s">
        <v>596</v>
      </c>
    </row>
    <row r="53" spans="1:9" ht="14.25">
      <c r="A53" s="32">
        <v>49</v>
      </c>
      <c r="B53" s="35" t="s">
        <v>645</v>
      </c>
      <c r="C53" s="8" t="s">
        <v>388</v>
      </c>
      <c r="D53" s="33">
        <f t="shared" si="4"/>
        <v>0.8102999999999999</v>
      </c>
      <c r="E53" s="33">
        <v>0.73</v>
      </c>
      <c r="F53" s="34"/>
      <c r="G53" s="33">
        <f t="shared" si="5"/>
        <v>0.073</v>
      </c>
      <c r="H53" s="33">
        <f t="shared" si="6"/>
        <v>0.0073</v>
      </c>
      <c r="I53" s="8" t="s">
        <v>596</v>
      </c>
    </row>
    <row r="54" spans="1:9" ht="14.25">
      <c r="A54" s="32">
        <v>50</v>
      </c>
      <c r="B54" s="35" t="s">
        <v>646</v>
      </c>
      <c r="C54" s="8" t="s">
        <v>388</v>
      </c>
      <c r="D54" s="33">
        <f t="shared" si="4"/>
        <v>0.8102999999999999</v>
      </c>
      <c r="E54" s="33">
        <v>0.73</v>
      </c>
      <c r="F54" s="34"/>
      <c r="G54" s="33">
        <f t="shared" si="5"/>
        <v>0.073</v>
      </c>
      <c r="H54" s="33">
        <f t="shared" si="6"/>
        <v>0.0073</v>
      </c>
      <c r="I54" s="8" t="s">
        <v>596</v>
      </c>
    </row>
    <row r="55" spans="1:9" ht="14.25">
      <c r="A55" s="32">
        <v>51</v>
      </c>
      <c r="B55" s="35" t="s">
        <v>647</v>
      </c>
      <c r="C55" s="8" t="s">
        <v>388</v>
      </c>
      <c r="D55" s="33">
        <f t="shared" si="4"/>
        <v>0.8102999999999999</v>
      </c>
      <c r="E55" s="33">
        <v>0.73</v>
      </c>
      <c r="F55" s="34"/>
      <c r="G55" s="33">
        <f t="shared" si="5"/>
        <v>0.073</v>
      </c>
      <c r="H55" s="33">
        <f t="shared" si="6"/>
        <v>0.0073</v>
      </c>
      <c r="I55" s="8" t="s">
        <v>596</v>
      </c>
    </row>
    <row r="56" spans="1:9" ht="14.25">
      <c r="A56" s="32">
        <v>52</v>
      </c>
      <c r="B56" s="35" t="s">
        <v>648</v>
      </c>
      <c r="C56" s="8" t="s">
        <v>388</v>
      </c>
      <c r="D56" s="33">
        <f t="shared" si="4"/>
        <v>8.147400000000001</v>
      </c>
      <c r="E56" s="33">
        <v>7.34</v>
      </c>
      <c r="F56" s="34"/>
      <c r="G56" s="33">
        <f t="shared" si="5"/>
        <v>0.734</v>
      </c>
      <c r="H56" s="33">
        <f t="shared" si="6"/>
        <v>0.0734</v>
      </c>
      <c r="I56" s="8" t="s">
        <v>596</v>
      </c>
    </row>
    <row r="57" spans="1:9" ht="14.25">
      <c r="A57" s="32">
        <v>53</v>
      </c>
      <c r="B57" s="36" t="s">
        <v>649</v>
      </c>
      <c r="C57" s="8" t="s">
        <v>388</v>
      </c>
      <c r="D57" s="33">
        <f t="shared" si="4"/>
        <v>1.5317999999999998</v>
      </c>
      <c r="E57" s="33">
        <v>1.38</v>
      </c>
      <c r="F57" s="34"/>
      <c r="G57" s="33">
        <f t="shared" si="5"/>
        <v>0.13799999999999998</v>
      </c>
      <c r="H57" s="33">
        <f t="shared" si="6"/>
        <v>0.0138</v>
      </c>
      <c r="I57" s="8" t="s">
        <v>596</v>
      </c>
    </row>
    <row r="58" spans="1:9" ht="14.25">
      <c r="A58" s="32">
        <v>54</v>
      </c>
      <c r="B58" s="36" t="s">
        <v>650</v>
      </c>
      <c r="C58" s="8" t="s">
        <v>388</v>
      </c>
      <c r="D58" s="33">
        <f t="shared" si="4"/>
        <v>0.8102999999999999</v>
      </c>
      <c r="E58" s="33">
        <v>0.73</v>
      </c>
      <c r="F58" s="34"/>
      <c r="G58" s="33">
        <f t="shared" si="5"/>
        <v>0.073</v>
      </c>
      <c r="H58" s="33">
        <f t="shared" si="6"/>
        <v>0.0073</v>
      </c>
      <c r="I58" s="8" t="s">
        <v>596</v>
      </c>
    </row>
    <row r="59" spans="1:9" ht="14.25">
      <c r="A59" s="32">
        <v>55</v>
      </c>
      <c r="B59" s="36" t="s">
        <v>651</v>
      </c>
      <c r="C59" s="8" t="s">
        <v>388</v>
      </c>
      <c r="D59" s="33">
        <f t="shared" si="4"/>
        <v>0.7103999999999999</v>
      </c>
      <c r="E59" s="33">
        <v>0.64</v>
      </c>
      <c r="F59" s="34"/>
      <c r="G59" s="33">
        <f t="shared" si="5"/>
        <v>0.064</v>
      </c>
      <c r="H59" s="33">
        <f t="shared" si="6"/>
        <v>0.0064</v>
      </c>
      <c r="I59" s="8" t="s">
        <v>596</v>
      </c>
    </row>
    <row r="60" spans="1:9" ht="14.25">
      <c r="A60" s="32">
        <v>56</v>
      </c>
      <c r="B60" s="34" t="s">
        <v>652</v>
      </c>
      <c r="C60" s="32" t="s">
        <v>49</v>
      </c>
      <c r="D60" s="34">
        <v>334.75</v>
      </c>
      <c r="E60" s="36"/>
      <c r="F60" s="34"/>
      <c r="G60" s="33"/>
      <c r="H60" s="33"/>
      <c r="I60" s="8" t="s">
        <v>596</v>
      </c>
    </row>
    <row r="61" spans="1:9" ht="14.25">
      <c r="A61" s="32">
        <v>57</v>
      </c>
      <c r="B61" s="34" t="s">
        <v>653</v>
      </c>
      <c r="C61" s="32" t="s">
        <v>49</v>
      </c>
      <c r="D61" s="34">
        <v>320.33</v>
      </c>
      <c r="E61" s="34"/>
      <c r="F61" s="34"/>
      <c r="G61" s="33"/>
      <c r="H61" s="33"/>
      <c r="I61" s="8" t="s">
        <v>596</v>
      </c>
    </row>
    <row r="62" spans="1:9" ht="14.25">
      <c r="A62" s="32">
        <v>58</v>
      </c>
      <c r="B62" s="34" t="s">
        <v>654</v>
      </c>
      <c r="C62" s="32" t="s">
        <v>49</v>
      </c>
      <c r="D62" s="34">
        <v>310.03</v>
      </c>
      <c r="E62" s="34"/>
      <c r="F62" s="34"/>
      <c r="G62" s="33"/>
      <c r="H62" s="33"/>
      <c r="I62" s="8" t="s">
        <v>596</v>
      </c>
    </row>
    <row r="63" spans="1:9" ht="14.25">
      <c r="A63" s="32">
        <v>59</v>
      </c>
      <c r="B63" s="34" t="s">
        <v>69</v>
      </c>
      <c r="C63" s="34" t="s">
        <v>70</v>
      </c>
      <c r="D63" s="33">
        <v>335</v>
      </c>
      <c r="E63" s="34"/>
      <c r="F63" s="34"/>
      <c r="G63" s="33"/>
      <c r="H63" s="33"/>
      <c r="I63" s="8" t="s">
        <v>596</v>
      </c>
    </row>
    <row r="64" spans="1:9" ht="14.25">
      <c r="A64" s="32">
        <v>60</v>
      </c>
      <c r="B64" s="34" t="s">
        <v>655</v>
      </c>
      <c r="C64" s="32" t="s">
        <v>49</v>
      </c>
      <c r="D64" s="33">
        <f>E64+F64+H64+G64</f>
        <v>105.09119999999999</v>
      </c>
      <c r="E64" s="34">
        <v>85.44</v>
      </c>
      <c r="F64" s="34"/>
      <c r="G64" s="33">
        <f>E64*0.2</f>
        <v>17.088</v>
      </c>
      <c r="H64" s="33">
        <f>E64*0.03</f>
        <v>2.5631999999999997</v>
      </c>
      <c r="I64" s="8" t="s">
        <v>596</v>
      </c>
    </row>
    <row r="65" spans="1:9" ht="14.25">
      <c r="A65" s="32">
        <v>61</v>
      </c>
      <c r="B65" s="34" t="s">
        <v>656</v>
      </c>
      <c r="C65" s="32" t="s">
        <v>54</v>
      </c>
      <c r="D65" s="33">
        <f aca="true" t="shared" si="7" ref="D65:D68">E65+F65+H65+G65</f>
        <v>97.85</v>
      </c>
      <c r="E65" s="34">
        <v>95</v>
      </c>
      <c r="F65" s="34"/>
      <c r="G65" s="33">
        <v>0</v>
      </c>
      <c r="H65" s="33">
        <f aca="true" t="shared" si="8" ref="H65:H68">E65*0.03</f>
        <v>2.85</v>
      </c>
      <c r="I65" s="8" t="s">
        <v>596</v>
      </c>
    </row>
    <row r="66" spans="1:10" ht="17.25">
      <c r="A66" s="32">
        <v>62</v>
      </c>
      <c r="B66" s="36" t="s">
        <v>657</v>
      </c>
      <c r="C66" s="34" t="s">
        <v>70</v>
      </c>
      <c r="D66" s="33">
        <f t="shared" si="7"/>
        <v>334.36319999999995</v>
      </c>
      <c r="E66" s="34">
        <v>271.84</v>
      </c>
      <c r="F66" s="34"/>
      <c r="G66" s="33">
        <f aca="true" t="shared" si="9" ref="G65:G68">E66*0.2</f>
        <v>54.367999999999995</v>
      </c>
      <c r="H66" s="33">
        <f t="shared" si="8"/>
        <v>8.155199999999999</v>
      </c>
      <c r="I66" s="8" t="s">
        <v>596</v>
      </c>
      <c r="J66" s="48" t="s">
        <v>658</v>
      </c>
    </row>
    <row r="67" spans="1:9" ht="14.25">
      <c r="A67" s="32">
        <v>63</v>
      </c>
      <c r="B67" s="36" t="s">
        <v>659</v>
      </c>
      <c r="C67" s="32" t="s">
        <v>49</v>
      </c>
      <c r="D67" s="33">
        <f t="shared" si="7"/>
        <v>6.15</v>
      </c>
      <c r="E67" s="34">
        <v>5</v>
      </c>
      <c r="F67" s="34"/>
      <c r="G67" s="33">
        <f t="shared" si="9"/>
        <v>1</v>
      </c>
      <c r="H67" s="33">
        <f t="shared" si="8"/>
        <v>0.15</v>
      </c>
      <c r="I67" s="8" t="s">
        <v>596</v>
      </c>
    </row>
    <row r="68" spans="1:9" ht="14.25">
      <c r="A68" s="32">
        <v>64</v>
      </c>
      <c r="B68" s="36" t="s">
        <v>660</v>
      </c>
      <c r="C68" s="32" t="s">
        <v>49</v>
      </c>
      <c r="D68" s="33">
        <f t="shared" si="7"/>
        <v>24.6</v>
      </c>
      <c r="E68" s="34">
        <v>20</v>
      </c>
      <c r="F68" s="34"/>
      <c r="G68" s="33">
        <f t="shared" si="9"/>
        <v>4</v>
      </c>
      <c r="H68" s="33">
        <f t="shared" si="8"/>
        <v>0.6</v>
      </c>
      <c r="I68" s="8" t="s">
        <v>596</v>
      </c>
    </row>
    <row r="69" spans="1:9" ht="14.25">
      <c r="A69" s="32">
        <v>65</v>
      </c>
      <c r="B69" s="36" t="s">
        <v>66</v>
      </c>
      <c r="C69" s="36" t="s">
        <v>661</v>
      </c>
      <c r="D69" s="33">
        <f aca="true" t="shared" si="10" ref="D69:D78">E69+F69+H69+G69</f>
        <v>1.4267999999999998</v>
      </c>
      <c r="E69" s="34">
        <v>1.16</v>
      </c>
      <c r="F69" s="34"/>
      <c r="G69" s="33">
        <f aca="true" t="shared" si="11" ref="G69:G78">E69*0.2</f>
        <v>0.23199999999999998</v>
      </c>
      <c r="H69" s="33">
        <f aca="true" t="shared" si="12" ref="H69:H78">E69*0.03</f>
        <v>0.0348</v>
      </c>
      <c r="I69" s="8" t="s">
        <v>596</v>
      </c>
    </row>
    <row r="70" spans="1:9" ht="14.25">
      <c r="A70" s="32">
        <v>66</v>
      </c>
      <c r="B70" s="36" t="s">
        <v>77</v>
      </c>
      <c r="C70" s="36" t="s">
        <v>661</v>
      </c>
      <c r="D70" s="33">
        <f t="shared" si="10"/>
        <v>11.143800000000002</v>
      </c>
      <c r="E70" s="34">
        <v>9.06</v>
      </c>
      <c r="F70" s="34"/>
      <c r="G70" s="33">
        <f t="shared" si="11"/>
        <v>1.8120000000000003</v>
      </c>
      <c r="H70" s="33">
        <f t="shared" si="12"/>
        <v>0.2718</v>
      </c>
      <c r="I70" s="8" t="s">
        <v>596</v>
      </c>
    </row>
    <row r="71" spans="1:9" ht="14.25">
      <c r="A71" s="32">
        <v>67</v>
      </c>
      <c r="B71" s="36" t="s">
        <v>90</v>
      </c>
      <c r="C71" s="36" t="s">
        <v>661</v>
      </c>
      <c r="D71" s="33">
        <f t="shared" si="10"/>
        <v>2.583</v>
      </c>
      <c r="E71" s="34">
        <v>2.1</v>
      </c>
      <c r="F71" s="34"/>
      <c r="G71" s="33">
        <f t="shared" si="11"/>
        <v>0.42000000000000004</v>
      </c>
      <c r="H71" s="33">
        <f t="shared" si="12"/>
        <v>0.063</v>
      </c>
      <c r="I71" s="8" t="s">
        <v>596</v>
      </c>
    </row>
    <row r="72" spans="1:9" ht="14.25">
      <c r="A72" s="32">
        <v>68</v>
      </c>
      <c r="B72" s="36" t="s">
        <v>79</v>
      </c>
      <c r="C72" s="32" t="s">
        <v>49</v>
      </c>
      <c r="D72" s="33">
        <f t="shared" si="10"/>
        <v>2399.2133999999996</v>
      </c>
      <c r="E72" s="34">
        <v>1950.58</v>
      </c>
      <c r="F72" s="34"/>
      <c r="G72" s="33">
        <f t="shared" si="11"/>
        <v>390.116</v>
      </c>
      <c r="H72" s="33">
        <f t="shared" si="12"/>
        <v>58.517399999999995</v>
      </c>
      <c r="I72" s="8" t="s">
        <v>596</v>
      </c>
    </row>
    <row r="73" spans="1:9" ht="14.25">
      <c r="A73" s="32">
        <v>69</v>
      </c>
      <c r="B73" s="36" t="s">
        <v>80</v>
      </c>
      <c r="C73" s="32" t="s">
        <v>49</v>
      </c>
      <c r="D73" s="33">
        <f t="shared" si="10"/>
        <v>2644.8075000000003</v>
      </c>
      <c r="E73" s="34">
        <v>2150.25</v>
      </c>
      <c r="F73" s="34"/>
      <c r="G73" s="33">
        <f t="shared" si="11"/>
        <v>430.05</v>
      </c>
      <c r="H73" s="33">
        <f t="shared" si="12"/>
        <v>64.5075</v>
      </c>
      <c r="I73" s="8" t="s">
        <v>596</v>
      </c>
    </row>
    <row r="74" spans="1:9" ht="14.25">
      <c r="A74" s="32">
        <v>70</v>
      </c>
      <c r="B74" s="36" t="s">
        <v>662</v>
      </c>
      <c r="C74" s="32" t="s">
        <v>54</v>
      </c>
      <c r="D74" s="33">
        <f t="shared" si="10"/>
        <v>202.45799999999997</v>
      </c>
      <c r="E74" s="43">
        <v>164.6</v>
      </c>
      <c r="F74" s="34"/>
      <c r="G74" s="33">
        <f t="shared" si="11"/>
        <v>32.92</v>
      </c>
      <c r="H74" s="33">
        <f t="shared" si="12"/>
        <v>4.938</v>
      </c>
      <c r="I74" s="8" t="s">
        <v>596</v>
      </c>
    </row>
    <row r="75" spans="1:9" ht="14.25">
      <c r="A75" s="32">
        <v>71</v>
      </c>
      <c r="B75" s="34" t="s">
        <v>663</v>
      </c>
      <c r="C75" s="36" t="s">
        <v>63</v>
      </c>
      <c r="D75" s="33">
        <f t="shared" si="10"/>
        <v>3936</v>
      </c>
      <c r="E75" s="43">
        <v>3200</v>
      </c>
      <c r="F75" s="34"/>
      <c r="G75" s="33">
        <f t="shared" si="11"/>
        <v>640</v>
      </c>
      <c r="H75" s="33">
        <f t="shared" si="12"/>
        <v>96</v>
      </c>
      <c r="I75" s="8" t="s">
        <v>596</v>
      </c>
    </row>
    <row r="76" spans="1:9" ht="14.25">
      <c r="A76" s="32">
        <v>72</v>
      </c>
      <c r="B76" s="34" t="s">
        <v>664</v>
      </c>
      <c r="C76" s="36" t="s">
        <v>70</v>
      </c>
      <c r="D76" s="33">
        <f t="shared" si="10"/>
        <v>5292.9852</v>
      </c>
      <c r="E76" s="43">
        <v>4303.24</v>
      </c>
      <c r="F76" s="34"/>
      <c r="G76" s="33">
        <f t="shared" si="11"/>
        <v>860.648</v>
      </c>
      <c r="H76" s="33">
        <f t="shared" si="12"/>
        <v>129.0972</v>
      </c>
      <c r="I76" s="8" t="s">
        <v>596</v>
      </c>
    </row>
    <row r="77" spans="1:9" ht="14.25">
      <c r="A77" s="32">
        <v>73</v>
      </c>
      <c r="B77" s="36" t="s">
        <v>569</v>
      </c>
      <c r="C77" s="36" t="s">
        <v>560</v>
      </c>
      <c r="D77" s="33">
        <f t="shared" si="10"/>
        <v>6.273</v>
      </c>
      <c r="E77" s="43">
        <v>5.1</v>
      </c>
      <c r="F77" s="34"/>
      <c r="G77" s="33">
        <f t="shared" si="11"/>
        <v>1.02</v>
      </c>
      <c r="H77" s="33">
        <f t="shared" si="12"/>
        <v>0.153</v>
      </c>
      <c r="I77" s="8" t="s">
        <v>596</v>
      </c>
    </row>
    <row r="78" spans="1:9" ht="14.25">
      <c r="A78" s="32">
        <v>74</v>
      </c>
      <c r="B78" s="36" t="s">
        <v>570</v>
      </c>
      <c r="C78" s="36" t="s">
        <v>560</v>
      </c>
      <c r="D78" s="33">
        <f t="shared" si="10"/>
        <v>5.8425</v>
      </c>
      <c r="E78" s="43">
        <v>4.75</v>
      </c>
      <c r="F78" s="34"/>
      <c r="G78" s="33">
        <f t="shared" si="11"/>
        <v>0.9500000000000001</v>
      </c>
      <c r="H78" s="33">
        <f t="shared" si="12"/>
        <v>0.1425</v>
      </c>
      <c r="I78" s="8" t="s">
        <v>596</v>
      </c>
    </row>
    <row r="79" spans="1:9" ht="14.25">
      <c r="A79" s="32">
        <v>75</v>
      </c>
      <c r="B79" s="32" t="s">
        <v>111</v>
      </c>
      <c r="C79" s="36" t="s">
        <v>46</v>
      </c>
      <c r="D79" s="32">
        <v>38.74</v>
      </c>
      <c r="E79" s="43"/>
      <c r="F79" s="34"/>
      <c r="G79" s="33"/>
      <c r="H79" s="33"/>
      <c r="I79" s="8" t="s">
        <v>600</v>
      </c>
    </row>
    <row r="80" spans="1:9" ht="14.25">
      <c r="A80" s="32">
        <v>76</v>
      </c>
      <c r="B80" s="32" t="s">
        <v>112</v>
      </c>
      <c r="C80" s="36" t="s">
        <v>46</v>
      </c>
      <c r="D80" s="32">
        <v>30.37</v>
      </c>
      <c r="E80" s="43"/>
      <c r="F80" s="34"/>
      <c r="G80" s="33"/>
      <c r="H80" s="33"/>
      <c r="I80" s="8" t="s">
        <v>600</v>
      </c>
    </row>
    <row r="81" spans="1:9" ht="14.25">
      <c r="A81" s="32">
        <v>77</v>
      </c>
      <c r="B81" s="32" t="s">
        <v>113</v>
      </c>
      <c r="C81" s="36" t="s">
        <v>46</v>
      </c>
      <c r="D81" s="32">
        <v>20.11</v>
      </c>
      <c r="E81" s="43"/>
      <c r="F81" s="34"/>
      <c r="G81" s="33"/>
      <c r="H81" s="33"/>
      <c r="I81" s="8" t="s">
        <v>600</v>
      </c>
    </row>
    <row r="82" spans="1:9" ht="14.25">
      <c r="A82" s="32">
        <v>78</v>
      </c>
      <c r="B82" s="36" t="s">
        <v>665</v>
      </c>
      <c r="C82" s="36" t="s">
        <v>119</v>
      </c>
      <c r="D82" s="33">
        <v>3900</v>
      </c>
      <c r="E82" s="43"/>
      <c r="F82" s="34"/>
      <c r="G82" s="33"/>
      <c r="H82" s="33"/>
      <c r="I82" s="8" t="s">
        <v>600</v>
      </c>
    </row>
    <row r="83" spans="1:9" ht="14.25">
      <c r="A83" s="32">
        <v>79</v>
      </c>
      <c r="B83" s="32" t="s">
        <v>666</v>
      </c>
      <c r="C83" s="36" t="s">
        <v>125</v>
      </c>
      <c r="D83" s="33">
        <v>2900</v>
      </c>
      <c r="E83" s="43"/>
      <c r="F83" s="34"/>
      <c r="G83" s="33"/>
      <c r="H83" s="33"/>
      <c r="I83" s="8" t="s">
        <v>600</v>
      </c>
    </row>
    <row r="84" spans="1:9" ht="14.25">
      <c r="A84" s="32">
        <v>80</v>
      </c>
      <c r="B84" s="32" t="s">
        <v>126</v>
      </c>
      <c r="C84" s="36" t="s">
        <v>125</v>
      </c>
      <c r="D84" s="33">
        <v>750</v>
      </c>
      <c r="E84" s="43"/>
      <c r="F84" s="34"/>
      <c r="G84" s="33"/>
      <c r="H84" s="33"/>
      <c r="I84" s="8" t="s">
        <v>600</v>
      </c>
    </row>
    <row r="85" spans="1:9" ht="14.25">
      <c r="A85" s="32">
        <v>81</v>
      </c>
      <c r="B85" s="32" t="s">
        <v>127</v>
      </c>
      <c r="C85" s="36" t="s">
        <v>125</v>
      </c>
      <c r="D85" s="32">
        <v>490</v>
      </c>
      <c r="E85" s="43"/>
      <c r="F85" s="34"/>
      <c r="G85" s="33"/>
      <c r="H85" s="33"/>
      <c r="I85" s="8" t="s">
        <v>600</v>
      </c>
    </row>
    <row r="86" spans="1:9" ht="14.25">
      <c r="A86" s="32">
        <v>82</v>
      </c>
      <c r="B86" s="32" t="s">
        <v>128</v>
      </c>
      <c r="C86" s="36" t="s">
        <v>125</v>
      </c>
      <c r="D86" s="32">
        <v>420</v>
      </c>
      <c r="E86" s="43"/>
      <c r="F86" s="34"/>
      <c r="G86" s="33"/>
      <c r="H86" s="33"/>
      <c r="I86" s="8" t="s">
        <v>600</v>
      </c>
    </row>
    <row r="87" spans="1:9" ht="14.25">
      <c r="A87" s="32">
        <v>83</v>
      </c>
      <c r="B87" s="32" t="s">
        <v>667</v>
      </c>
      <c r="C87" s="36" t="s">
        <v>125</v>
      </c>
      <c r="D87" s="32">
        <v>19950</v>
      </c>
      <c r="E87" s="43"/>
      <c r="F87" s="34"/>
      <c r="G87" s="33"/>
      <c r="H87" s="33"/>
      <c r="I87" s="8" t="s">
        <v>600</v>
      </c>
    </row>
    <row r="88" spans="1:9" ht="14.25">
      <c r="A88" s="32">
        <v>84</v>
      </c>
      <c r="B88" s="32" t="s">
        <v>668</v>
      </c>
      <c r="C88" s="36" t="s">
        <v>46</v>
      </c>
      <c r="D88" s="33">
        <v>17.97</v>
      </c>
      <c r="E88" s="43"/>
      <c r="F88" s="34"/>
      <c r="G88" s="33"/>
      <c r="H88" s="33"/>
      <c r="I88" s="8" t="s">
        <v>600</v>
      </c>
    </row>
    <row r="89" spans="1:9" ht="14.25">
      <c r="A89" s="32">
        <v>85</v>
      </c>
      <c r="B89" s="32" t="s">
        <v>149</v>
      </c>
      <c r="C89" s="36" t="s">
        <v>46</v>
      </c>
      <c r="D89" s="33">
        <v>11.3</v>
      </c>
      <c r="E89" s="43"/>
      <c r="F89" s="34"/>
      <c r="G89" s="33"/>
      <c r="H89" s="33"/>
      <c r="I89" s="8" t="s">
        <v>600</v>
      </c>
    </row>
    <row r="90" spans="1:9" ht="14.25">
      <c r="A90" s="32">
        <v>86</v>
      </c>
      <c r="B90" s="32" t="s">
        <v>669</v>
      </c>
      <c r="C90" s="32" t="s">
        <v>125</v>
      </c>
      <c r="D90" s="32">
        <v>18.56</v>
      </c>
      <c r="E90" s="43"/>
      <c r="F90" s="34"/>
      <c r="G90" s="33"/>
      <c r="H90" s="33"/>
      <c r="I90" s="8" t="s">
        <v>600</v>
      </c>
    </row>
    <row r="91" spans="1:9" ht="14.25">
      <c r="A91" s="32">
        <v>87</v>
      </c>
      <c r="B91" s="32" t="s">
        <v>670</v>
      </c>
      <c r="C91" s="8" t="s">
        <v>117</v>
      </c>
      <c r="D91" s="32">
        <v>500</v>
      </c>
      <c r="E91" s="43"/>
      <c r="F91" s="34"/>
      <c r="G91" s="33"/>
      <c r="H91" s="33"/>
      <c r="I91" s="8" t="s">
        <v>600</v>
      </c>
    </row>
    <row r="92" spans="1:9" ht="14.25">
      <c r="A92" s="32">
        <v>88</v>
      </c>
      <c r="B92" s="32" t="s">
        <v>671</v>
      </c>
      <c r="C92" s="32" t="s">
        <v>46</v>
      </c>
      <c r="D92" s="32">
        <v>4.14</v>
      </c>
      <c r="E92" s="43"/>
      <c r="F92" s="34"/>
      <c r="G92" s="33"/>
      <c r="H92" s="33"/>
      <c r="I92" s="8" t="s">
        <v>600</v>
      </c>
    </row>
    <row r="93" spans="1:9" ht="14.25">
      <c r="A93" s="32">
        <v>89</v>
      </c>
      <c r="B93" s="32" t="s">
        <v>157</v>
      </c>
      <c r="C93" s="32" t="s">
        <v>46</v>
      </c>
      <c r="D93" s="32">
        <v>2</v>
      </c>
      <c r="E93" s="43"/>
      <c r="F93" s="34"/>
      <c r="G93" s="33"/>
      <c r="H93" s="33"/>
      <c r="I93" s="8" t="s">
        <v>600</v>
      </c>
    </row>
    <row r="94" spans="1:9" ht="14.25">
      <c r="A94" s="32">
        <v>90</v>
      </c>
      <c r="B94" s="36" t="s">
        <v>156</v>
      </c>
      <c r="C94" s="36" t="s">
        <v>119</v>
      </c>
      <c r="D94" s="33">
        <v>1</v>
      </c>
      <c r="E94" s="43"/>
      <c r="F94" s="34"/>
      <c r="G94" s="33"/>
      <c r="H94" s="33"/>
      <c r="I94" s="8" t="s">
        <v>600</v>
      </c>
    </row>
    <row r="95" spans="1:9" ht="14.25">
      <c r="A95" s="32">
        <v>91</v>
      </c>
      <c r="B95" s="36" t="s">
        <v>672</v>
      </c>
      <c r="C95" s="36" t="s">
        <v>159</v>
      </c>
      <c r="D95" s="33">
        <v>0.5</v>
      </c>
      <c r="E95" s="43"/>
      <c r="F95" s="34"/>
      <c r="G95" s="33"/>
      <c r="H95" s="33"/>
      <c r="I95" s="8" t="s">
        <v>600</v>
      </c>
    </row>
    <row r="96" spans="1:9" ht="14.25">
      <c r="A96" s="32">
        <v>92</v>
      </c>
      <c r="B96" s="8" t="s">
        <v>673</v>
      </c>
      <c r="C96" s="32" t="s">
        <v>133</v>
      </c>
      <c r="D96" s="33">
        <v>25000</v>
      </c>
      <c r="E96" s="43"/>
      <c r="F96" s="34"/>
      <c r="G96" s="33"/>
      <c r="H96" s="33"/>
      <c r="I96" s="8" t="s">
        <v>600</v>
      </c>
    </row>
    <row r="97" spans="1:9" ht="14.25">
      <c r="A97" s="32">
        <v>93</v>
      </c>
      <c r="B97" s="32" t="s">
        <v>674</v>
      </c>
      <c r="C97" s="32" t="s">
        <v>133</v>
      </c>
      <c r="D97" s="33">
        <v>360</v>
      </c>
      <c r="E97" s="43"/>
      <c r="F97" s="34"/>
      <c r="G97" s="33"/>
      <c r="H97" s="33"/>
      <c r="I97" s="8" t="s">
        <v>600</v>
      </c>
    </row>
    <row r="98" spans="1:9" ht="14.25">
      <c r="A98" s="32">
        <v>94</v>
      </c>
      <c r="B98" s="32" t="s">
        <v>675</v>
      </c>
      <c r="C98" s="32" t="s">
        <v>136</v>
      </c>
      <c r="D98" s="33">
        <v>1550</v>
      </c>
      <c r="E98" s="43"/>
      <c r="F98" s="34"/>
      <c r="G98" s="33"/>
      <c r="H98" s="33"/>
      <c r="I98" s="8" t="s">
        <v>600</v>
      </c>
    </row>
    <row r="99" spans="1:9" ht="14.25">
      <c r="A99" s="32">
        <v>95</v>
      </c>
      <c r="B99" s="32" t="s">
        <v>676</v>
      </c>
      <c r="C99" s="32" t="s">
        <v>136</v>
      </c>
      <c r="D99" s="33">
        <v>11300</v>
      </c>
      <c r="E99" s="43"/>
      <c r="F99" s="34"/>
      <c r="G99" s="33"/>
      <c r="H99" s="33"/>
      <c r="I99" s="8" t="s">
        <v>600</v>
      </c>
    </row>
    <row r="100" spans="1:9" ht="14.25">
      <c r="A100" s="32">
        <v>96</v>
      </c>
      <c r="B100" s="32" t="s">
        <v>677</v>
      </c>
      <c r="C100" s="32" t="s">
        <v>136</v>
      </c>
      <c r="D100" s="33">
        <v>8500</v>
      </c>
      <c r="E100" s="43"/>
      <c r="F100" s="34"/>
      <c r="G100" s="33"/>
      <c r="H100" s="33"/>
      <c r="I100" s="8" t="s">
        <v>600</v>
      </c>
    </row>
    <row r="101" spans="1:9" ht="14.25">
      <c r="A101" s="32">
        <v>97</v>
      </c>
      <c r="B101" s="32" t="s">
        <v>678</v>
      </c>
      <c r="C101" s="32" t="s">
        <v>136</v>
      </c>
      <c r="D101" s="33">
        <v>12000</v>
      </c>
      <c r="E101" s="43"/>
      <c r="F101" s="34"/>
      <c r="G101" s="33"/>
      <c r="H101" s="33"/>
      <c r="I101" s="8" t="s">
        <v>600</v>
      </c>
    </row>
    <row r="102" spans="1:9" ht="16.5">
      <c r="A102" s="32">
        <v>98</v>
      </c>
      <c r="B102" s="32" t="s">
        <v>679</v>
      </c>
      <c r="C102" s="32" t="s">
        <v>167</v>
      </c>
      <c r="D102" s="33">
        <v>19010</v>
      </c>
      <c r="E102" s="43"/>
      <c r="F102" s="34"/>
      <c r="G102" s="33"/>
      <c r="H102" s="33"/>
      <c r="I102" s="8" t="s">
        <v>600</v>
      </c>
    </row>
    <row r="103" spans="1:9" ht="14.25">
      <c r="A103" s="32">
        <v>99</v>
      </c>
      <c r="B103" s="8" t="s">
        <v>680</v>
      </c>
      <c r="C103" s="32" t="s">
        <v>136</v>
      </c>
      <c r="D103" s="33">
        <v>18500</v>
      </c>
      <c r="E103" s="43"/>
      <c r="F103" s="34"/>
      <c r="G103" s="33"/>
      <c r="H103" s="33"/>
      <c r="I103" s="8" t="s">
        <v>600</v>
      </c>
    </row>
    <row r="104" spans="1:9" ht="14.25">
      <c r="A104" s="32">
        <v>100</v>
      </c>
      <c r="B104" s="8" t="s">
        <v>681</v>
      </c>
      <c r="C104" s="32" t="s">
        <v>682</v>
      </c>
      <c r="D104" s="33">
        <v>28500</v>
      </c>
      <c r="E104" s="43"/>
      <c r="F104" s="34"/>
      <c r="G104" s="33"/>
      <c r="H104" s="33"/>
      <c r="I104" s="8" t="s">
        <v>600</v>
      </c>
    </row>
    <row r="105" spans="1:9" ht="14.25">
      <c r="A105" s="32">
        <v>101</v>
      </c>
      <c r="B105" s="8" t="s">
        <v>683</v>
      </c>
      <c r="C105" s="32" t="s">
        <v>136</v>
      </c>
      <c r="D105" s="33">
        <v>3500</v>
      </c>
      <c r="E105" s="43"/>
      <c r="F105" s="34"/>
      <c r="G105" s="33"/>
      <c r="H105" s="33"/>
      <c r="I105" s="8" t="s">
        <v>600</v>
      </c>
    </row>
    <row r="106" spans="1:9" ht="14.25">
      <c r="A106" s="32">
        <v>102</v>
      </c>
      <c r="B106" s="8" t="s">
        <v>172</v>
      </c>
      <c r="C106" s="32" t="s">
        <v>133</v>
      </c>
      <c r="D106" s="33">
        <v>50</v>
      </c>
      <c r="E106" s="43"/>
      <c r="F106" s="34"/>
      <c r="G106" s="33"/>
      <c r="H106" s="33"/>
      <c r="I106" s="8" t="s">
        <v>600</v>
      </c>
    </row>
    <row r="107" spans="1:9" ht="14.25">
      <c r="A107" s="32">
        <v>103</v>
      </c>
      <c r="B107" s="8" t="s">
        <v>173</v>
      </c>
      <c r="C107" s="32" t="s">
        <v>133</v>
      </c>
      <c r="D107" s="33">
        <v>800</v>
      </c>
      <c r="E107" s="43"/>
      <c r="F107" s="34"/>
      <c r="G107" s="33"/>
      <c r="H107" s="33"/>
      <c r="I107" s="8" t="s">
        <v>600</v>
      </c>
    </row>
    <row r="108" spans="1:9" ht="14.25">
      <c r="A108" s="44"/>
      <c r="B108" s="45"/>
      <c r="C108" s="44"/>
      <c r="D108" s="33"/>
      <c r="E108" s="43"/>
      <c r="F108" s="34"/>
      <c r="G108" s="33"/>
      <c r="H108" s="33"/>
      <c r="I108" s="8"/>
    </row>
    <row r="109" spans="1:9" ht="14.25">
      <c r="A109" s="34"/>
      <c r="B109" s="36"/>
      <c r="C109" s="36"/>
      <c r="D109" s="33"/>
      <c r="E109" s="43"/>
      <c r="F109" s="34"/>
      <c r="G109" s="33"/>
      <c r="H109" s="33"/>
      <c r="I109" s="8"/>
    </row>
    <row r="110" spans="1:9" ht="14.25">
      <c r="A110" s="34"/>
      <c r="B110" s="36"/>
      <c r="C110" s="36"/>
      <c r="D110" s="33"/>
      <c r="E110" s="43"/>
      <c r="F110" s="34"/>
      <c r="G110" s="33"/>
      <c r="H110" s="33"/>
      <c r="I110" s="8"/>
    </row>
    <row r="111" spans="1:9" ht="14.25">
      <c r="A111" s="34"/>
      <c r="B111" s="36"/>
      <c r="C111" s="36"/>
      <c r="D111" s="33"/>
      <c r="E111" s="43"/>
      <c r="F111" s="34"/>
      <c r="G111" s="33"/>
      <c r="H111" s="33"/>
      <c r="I111" s="8"/>
    </row>
    <row r="112" spans="1:9" ht="14.25">
      <c r="A112" s="34"/>
      <c r="B112" s="36"/>
      <c r="C112" s="36"/>
      <c r="D112" s="33"/>
      <c r="E112" s="43"/>
      <c r="F112" s="34"/>
      <c r="G112" s="33"/>
      <c r="H112" s="33"/>
      <c r="I112" s="8"/>
    </row>
    <row r="113" spans="1:9" ht="14.25">
      <c r="A113" s="34">
        <v>71</v>
      </c>
      <c r="B113" s="34" t="s">
        <v>684</v>
      </c>
      <c r="C113" s="34" t="s">
        <v>70</v>
      </c>
      <c r="D113" s="33">
        <f>E113+F113+H113+G113</f>
        <v>5401.495800000001</v>
      </c>
      <c r="E113" s="34">
        <v>4391.46</v>
      </c>
      <c r="F113" s="34"/>
      <c r="G113" s="33">
        <f>E113*0.2</f>
        <v>878.292</v>
      </c>
      <c r="H113" s="33">
        <f>E113*0.03</f>
        <v>131.7438</v>
      </c>
      <c r="I113" s="8" t="s">
        <v>596</v>
      </c>
    </row>
    <row r="114" spans="1:9" ht="14.25">
      <c r="A114" s="34">
        <v>72</v>
      </c>
      <c r="B114" s="36" t="s">
        <v>561</v>
      </c>
      <c r="C114" s="30" t="s">
        <v>560</v>
      </c>
      <c r="D114" s="33">
        <f>E114+F114+H114+G114</f>
        <v>5.2520999999999995</v>
      </c>
      <c r="E114" s="34">
        <v>4.27</v>
      </c>
      <c r="F114" s="34"/>
      <c r="G114" s="33">
        <f>E114*0.2</f>
        <v>0.854</v>
      </c>
      <c r="H114" s="33">
        <f>E114*0.03</f>
        <v>0.1281</v>
      </c>
      <c r="I114" s="8" t="s">
        <v>596</v>
      </c>
    </row>
    <row r="115" spans="1:9" ht="14.25">
      <c r="A115" s="34">
        <v>73</v>
      </c>
      <c r="B115" s="36" t="s">
        <v>685</v>
      </c>
      <c r="C115" s="46" t="s">
        <v>49</v>
      </c>
      <c r="D115" s="33">
        <f>E115+F115+H115+G115</f>
        <v>2646.0375</v>
      </c>
      <c r="E115" s="34">
        <v>2151.25</v>
      </c>
      <c r="F115" s="34"/>
      <c r="G115" s="33">
        <f>E115*0.2</f>
        <v>430.25</v>
      </c>
      <c r="H115" s="33">
        <f>E115*0.03</f>
        <v>64.5375</v>
      </c>
      <c r="I115" s="8" t="s">
        <v>596</v>
      </c>
    </row>
    <row r="116" ht="14.25">
      <c r="B116" s="47"/>
    </row>
  </sheetData>
  <sheetProtection/>
  <mergeCells count="10">
    <mergeCell ref="E2:H2"/>
    <mergeCell ref="A2:A4"/>
    <mergeCell ref="B2:B4"/>
    <mergeCell ref="C2:C4"/>
    <mergeCell ref="D2:D4"/>
    <mergeCell ref="E3:E4"/>
    <mergeCell ref="F3:F4"/>
    <mergeCell ref="G3:G4"/>
    <mergeCell ref="H3:H4"/>
    <mergeCell ref="I2:I4"/>
  </mergeCells>
  <printOptions/>
  <pageMargins left="0.75" right="0.75" top="1" bottom="1" header="0.5" footer="0.5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E19" sqref="E19"/>
    </sheetView>
  </sheetViews>
  <sheetFormatPr defaultColWidth="9.00390625" defaultRowHeight="14.25"/>
  <sheetData>
    <row r="1" spans="1:14" ht="14.25">
      <c r="A1" s="23" t="s">
        <v>686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>
      <c r="A2" s="25" t="s">
        <v>687</v>
      </c>
      <c r="B2" s="25" t="s">
        <v>688</v>
      </c>
      <c r="C2" s="26"/>
      <c r="D2" s="26"/>
      <c r="E2" s="25" t="s">
        <v>689</v>
      </c>
      <c r="F2" s="26"/>
      <c r="G2" s="26"/>
      <c r="H2" s="25" t="s">
        <v>690</v>
      </c>
      <c r="I2" s="26"/>
      <c r="J2" s="26"/>
      <c r="K2" s="25" t="s">
        <v>691</v>
      </c>
      <c r="L2" s="26"/>
      <c r="M2" s="26"/>
      <c r="N2" s="25" t="s">
        <v>354</v>
      </c>
    </row>
    <row r="3" spans="1:14" ht="14.25">
      <c r="A3" s="26"/>
      <c r="B3" s="25" t="s">
        <v>352</v>
      </c>
      <c r="C3" s="25" t="s">
        <v>555</v>
      </c>
      <c r="D3" s="25" t="s">
        <v>692</v>
      </c>
      <c r="E3" s="25" t="s">
        <v>352</v>
      </c>
      <c r="F3" s="25" t="s">
        <v>555</v>
      </c>
      <c r="G3" s="25" t="s">
        <v>692</v>
      </c>
      <c r="H3" s="25" t="s">
        <v>352</v>
      </c>
      <c r="I3" s="25" t="s">
        <v>555</v>
      </c>
      <c r="J3" s="25" t="s">
        <v>692</v>
      </c>
      <c r="K3" s="25" t="s">
        <v>352</v>
      </c>
      <c r="L3" s="25" t="s">
        <v>555</v>
      </c>
      <c r="M3" s="25" t="s">
        <v>692</v>
      </c>
      <c r="N3" s="26"/>
    </row>
    <row r="4" spans="1:14" ht="14.25" hidden="1">
      <c r="A4" s="27" t="s">
        <v>693</v>
      </c>
      <c r="B4" s="26">
        <v>244</v>
      </c>
      <c r="C4" s="26">
        <f>C5</f>
        <v>0.32033</v>
      </c>
      <c r="D4" s="26">
        <f>B4*C4</f>
        <v>78.16052</v>
      </c>
      <c r="E4" s="26">
        <v>1.12</v>
      </c>
      <c r="F4" s="26" t="e">
        <f>F5</f>
        <v>#REF!</v>
      </c>
      <c r="G4" s="26" t="e">
        <f>E4*F4</f>
        <v>#REF!</v>
      </c>
      <c r="H4" s="26">
        <v>0.278</v>
      </c>
      <c r="I4" s="26">
        <f>I5</f>
        <v>4.37</v>
      </c>
      <c r="J4" s="26">
        <f>H4*I4</f>
        <v>1.21486</v>
      </c>
      <c r="K4" s="26"/>
      <c r="L4" s="26"/>
      <c r="M4" s="26"/>
      <c r="N4" s="26" t="e">
        <f>D4+G4+J4</f>
        <v>#REF!</v>
      </c>
    </row>
    <row r="5" spans="1:14" ht="14.25">
      <c r="A5" s="27" t="s">
        <v>694</v>
      </c>
      <c r="B5" s="27">
        <v>292</v>
      </c>
      <c r="C5" s="27">
        <f>'主要材料费'!D61/1000</f>
        <v>0.32033</v>
      </c>
      <c r="D5" s="27">
        <f>C5*B5</f>
        <v>93.53636</v>
      </c>
      <c r="E5" s="27">
        <v>1.11</v>
      </c>
      <c r="F5" s="27" t="e">
        <f>主要材料费!#REF!</f>
        <v>#REF!</v>
      </c>
      <c r="G5" s="27" t="e">
        <f>F5*E5</f>
        <v>#REF!</v>
      </c>
      <c r="H5" s="27">
        <v>0.289</v>
      </c>
      <c r="I5" s="27">
        <f>'主要材料费'!D5</f>
        <v>4.37</v>
      </c>
      <c r="J5" s="27">
        <f>I5*H5</f>
        <v>1.2629299999999999</v>
      </c>
      <c r="K5" s="27"/>
      <c r="L5" s="27"/>
      <c r="M5" s="27"/>
      <c r="N5" s="27" t="e">
        <f>D5+G5+J5</f>
        <v>#REF!</v>
      </c>
    </row>
    <row r="6" spans="1:14" ht="14.25" hidden="1">
      <c r="A6" s="28" t="s">
        <v>695</v>
      </c>
      <c r="B6" s="28">
        <v>270</v>
      </c>
      <c r="C6" s="27" t="e">
        <f>主要材料费!#REF!/1000</f>
        <v>#REF!</v>
      </c>
      <c r="D6" s="27" t="e">
        <f>C6*B6</f>
        <v>#REF!</v>
      </c>
      <c r="E6" s="28">
        <v>0.57</v>
      </c>
      <c r="F6" s="27" t="e">
        <f>主要材料费!#REF!</f>
        <v>#REF!</v>
      </c>
      <c r="G6" s="27" t="e">
        <f>F6*E6</f>
        <v>#REF!</v>
      </c>
      <c r="H6" s="28">
        <v>0.172</v>
      </c>
      <c r="I6" s="27">
        <f>I5</f>
        <v>4.37</v>
      </c>
      <c r="J6" s="27">
        <f>I6*H6</f>
        <v>0.75164</v>
      </c>
      <c r="K6" s="28">
        <v>0.74</v>
      </c>
      <c r="L6" s="28" t="e">
        <f>主要材料费!#REF!</f>
        <v>#REF!</v>
      </c>
      <c r="M6" s="28" t="e">
        <f>K6*L6</f>
        <v>#REF!</v>
      </c>
      <c r="N6" s="27" t="e">
        <f>D6+G6+J6+M6</f>
        <v>#REF!</v>
      </c>
    </row>
  </sheetData>
  <sheetProtection/>
  <mergeCells count="7">
    <mergeCell ref="A1:N1"/>
    <mergeCell ref="B2:D2"/>
    <mergeCell ref="E2:G2"/>
    <mergeCell ref="H2:J2"/>
    <mergeCell ref="K2:M2"/>
    <mergeCell ref="A2:A3"/>
    <mergeCell ref="N2:N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WPS_1178778167</cp:lastModifiedBy>
  <cp:lastPrinted>2020-04-20T03:06:52Z</cp:lastPrinted>
  <dcterms:created xsi:type="dcterms:W3CDTF">1996-12-17T01:32:42Z</dcterms:created>
  <dcterms:modified xsi:type="dcterms:W3CDTF">2024-04-03T07:34:23Z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E65B3C4C5E614A08A33F2F10958D2C7F_13</vt:lpwstr>
  </property>
</Properties>
</file>