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54"/>
  </bookViews>
  <sheets>
    <sheet name="总投资概算表" sheetId="38" r:id="rId1"/>
    <sheet name="工程建设其他费用计算表" sheetId="52" r:id="rId2"/>
  </sheets>
  <externalReferences>
    <externalReference r:id="rId3"/>
    <externalReference r:id="rId4"/>
    <externalReference r:id="rId5"/>
  </externalReferences>
  <definedNames>
    <definedName name="HTML_CodePage" hidden="1">936</definedName>
    <definedName name="HTML_Control" localSheetId="1" hidden="1">{"'现金流量表（全部投资）'!$B$4:$P$23"}</definedName>
    <definedName name="HTML_Control" hidden="1">{"'现金流量表（全部投资）'!$B$4:$P$23"}</definedName>
    <definedName name="HTML_Description" hidden="1">"lin zijian"</definedName>
    <definedName name="HTML_Email" hidden="1">""</definedName>
    <definedName name="HTML_Header" hidden="1">"现金流量表（全部投资）"</definedName>
    <definedName name="HTML_LastUpdate" hidden="1">"96-12-2"</definedName>
    <definedName name="HTML_LineAfter" hidden="1">TRUE</definedName>
    <definedName name="HTML_LineBefore" hidden="1">TRUE</definedName>
    <definedName name="HTML_Name" hidden="1">"linzijia"</definedName>
    <definedName name="HTML_OBDlg2" hidden="1">TRUE</definedName>
    <definedName name="HTML_OBDlg4" hidden="1">TRUE</definedName>
    <definedName name="HTML_OS" hidden="1">0</definedName>
    <definedName name="HTML_PathFile" hidden="1">"C:\lin\bk\MyHTML.htm"</definedName>
    <definedName name="HTML_Title" hidden="1">"PROJECT11"</definedName>
    <definedName name="_xlnm.Print_Titles" localSheetId="1">工程建设其他费用计算表!$1:$6</definedName>
    <definedName name="_xlnm.Print_Titles" localSheetId="0">总投资概算表!$3:$4</definedName>
    <definedName name="变化项目">OFFSET(#REF!,TRUNC((ROW()-ROW(#REF!))/(ROW(#REF!)-ROW(#REF!)),0)*(ROW(#REF!)-ROW(#REF!))+2,1)</definedName>
    <definedName name="成本表2">[1]技经03.1.19!#REF!</definedName>
    <definedName name="固资折旧">#REF!</definedName>
    <definedName name="固资折旧表">#REF!</definedName>
    <definedName name="还本付息表">#REF!</definedName>
    <definedName name="汇率">#REF!</definedName>
    <definedName name="流动资金">#REF!</definedName>
    <definedName name="流动资金表">#REF!</definedName>
    <definedName name="敏感度系数和临界点分析表">#REF!</definedName>
    <definedName name="敏感性表">#REF!</definedName>
    <definedName name="模拟变化率">#REF!</definedName>
    <definedName name="模拟项目">#REF!</definedName>
    <definedName name="模拟运算">#REF!</definedName>
    <definedName name="全现金流">#REF!</definedName>
    <definedName name="全现金流表">#REF!</definedName>
    <definedName name="生产列11">'[2]3'!#REF!</definedName>
    <definedName name="生产列15">'[2]7'!#REF!</definedName>
    <definedName name="生产列16">#REF!</definedName>
    <definedName name="生产列17">'[2]8'!#REF!</definedName>
    <definedName name="生产列2">'[2]10'!#REF!</definedName>
    <definedName name="生产列20">#REF!</definedName>
    <definedName name="生产列3">'[2]9'!#REF!</definedName>
    <definedName name="生产列4">#REF!</definedName>
    <definedName name="生产列5">#REF!</definedName>
    <definedName name="生产列7">'[2]1'!#REF!</definedName>
    <definedName name="生产列8">#REF!</definedName>
    <definedName name="生产期">'[2]10'!#REF!</definedName>
    <definedName name="生产期11">'[2]3'!#REF!</definedName>
    <definedName name="生产期15">'[2]7'!#REF!</definedName>
    <definedName name="生产期16">#REF!</definedName>
    <definedName name="生产期17">'[2]8'!#REF!</definedName>
    <definedName name="生产期2">'[2]10'!#REF!</definedName>
    <definedName name="生产期20">#REF!</definedName>
    <definedName name="生产期3">'[2]9'!#REF!</definedName>
    <definedName name="生产期4">#REF!</definedName>
    <definedName name="生产期5">#REF!</definedName>
    <definedName name="生产期7">'[2]1'!#REF!</definedName>
    <definedName name="生产期8">#REF!</definedName>
    <definedName name="税前收益率">[3]原工作簿定义名称!$B$3</definedName>
    <definedName name="损益表">#REF!</definedName>
    <definedName name="摊销表">#REF!</definedName>
    <definedName name="条件表">#REF!</definedName>
    <definedName name="外购原辅动燃">#REF!</definedName>
    <definedName name="现有仪器设备" localSheetId="1" hidden="1">{"'现金流量表（全部投资）'!$B$4:$P$23"}</definedName>
    <definedName name="现有仪器设备" hidden="1">{"'现金流量表（全部投资）'!$B$4:$P$23"}</definedName>
    <definedName name="销售收入">#REF!</definedName>
    <definedName name="新总估算">#REF!</definedName>
    <definedName name="指标表">#REF!</definedName>
    <definedName name="资产负债表">#REF!</definedName>
    <definedName name="资金筹措">#REF!</definedName>
    <definedName name="资金筹措表">#REF!</definedName>
    <definedName name="资金来源表">#REF!</definedName>
    <definedName name="自有现金流">#REF!</definedName>
    <definedName name="自有现金流表">#REF!</definedName>
    <definedName name="总成本表">#REF!</definedName>
    <definedName name="总估算">#REF!</definedName>
    <definedName name="总估算表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<sst xmlns="http://schemas.openxmlformats.org/spreadsheetml/2006/main" count="236" uniqueCount="186">
  <si>
    <t>工程审定概算表</t>
  </si>
  <si>
    <t>项目名称：平罗工业园区红崖子园天然气管道基础设施提升工程（非穿黄段）</t>
  </si>
  <si>
    <t>序号</t>
  </si>
  <si>
    <t>概算编号</t>
  </si>
  <si>
    <t>工程项目或费用名称</t>
  </si>
  <si>
    <t>设计规模或主要工程量</t>
  </si>
  <si>
    <r>
      <rPr>
        <sz val="10"/>
        <rFont val="宋体"/>
        <charset val="134"/>
      </rPr>
      <t>设备</t>
    </r>
    <r>
      <rPr>
        <sz val="10"/>
        <rFont val="Arial Narrow"/>
        <charset val="134"/>
      </rPr>
      <t xml:space="preserve">
</t>
    </r>
    <r>
      <rPr>
        <sz val="10"/>
        <rFont val="宋体"/>
        <charset val="134"/>
      </rPr>
      <t>购置费</t>
    </r>
  </si>
  <si>
    <t>安装工程费</t>
  </si>
  <si>
    <r>
      <rPr>
        <sz val="10"/>
        <rFont val="宋体"/>
        <charset val="134"/>
      </rPr>
      <t>建筑</t>
    </r>
    <r>
      <rPr>
        <sz val="10"/>
        <rFont val="Arial Narrow"/>
        <charset val="134"/>
      </rPr>
      <t xml:space="preserve">
</t>
    </r>
    <r>
      <rPr>
        <sz val="10"/>
        <rFont val="宋体"/>
        <charset val="134"/>
      </rPr>
      <t>工程费</t>
    </r>
  </si>
  <si>
    <r>
      <rPr>
        <sz val="10"/>
        <rFont val="宋体"/>
        <charset val="134"/>
      </rPr>
      <t>其他</t>
    </r>
    <r>
      <rPr>
        <sz val="10"/>
        <rFont val="Arial Narrow"/>
        <charset val="134"/>
      </rPr>
      <t xml:space="preserve">
</t>
    </r>
    <r>
      <rPr>
        <sz val="10"/>
        <rFont val="宋体"/>
        <charset val="134"/>
      </rPr>
      <t>费用</t>
    </r>
  </si>
  <si>
    <t>合计</t>
  </si>
  <si>
    <r>
      <rPr>
        <sz val="10"/>
        <rFont val="宋体"/>
        <charset val="134"/>
      </rPr>
      <t>占总投资</t>
    </r>
    <r>
      <rPr>
        <sz val="10"/>
        <rFont val="Arial Narrow"/>
        <charset val="134"/>
      </rPr>
      <t xml:space="preserve">
</t>
    </r>
    <r>
      <rPr>
        <sz val="10"/>
        <rFont val="宋体"/>
        <charset val="134"/>
      </rPr>
      <t>比例</t>
    </r>
  </si>
  <si>
    <t>主要材料费</t>
  </si>
  <si>
    <t>安装费</t>
  </si>
  <si>
    <r>
      <rPr>
        <b/>
        <sz val="10"/>
        <rFont val="宋体"/>
        <charset val="134"/>
      </rPr>
      <t>建设项目总投资（Ⅰ</t>
    </r>
    <r>
      <rPr>
        <b/>
        <sz val="10"/>
        <rFont val="Arial Narrow"/>
        <charset val="134"/>
      </rPr>
      <t>+</t>
    </r>
    <r>
      <rPr>
        <b/>
        <sz val="10"/>
        <rFont val="宋体"/>
        <charset val="134"/>
      </rPr>
      <t>Ⅱ</t>
    </r>
    <r>
      <rPr>
        <b/>
        <sz val="10"/>
        <rFont val="Arial Narrow"/>
        <charset val="134"/>
      </rPr>
      <t>+</t>
    </r>
    <r>
      <rPr>
        <b/>
        <sz val="10"/>
        <rFont val="宋体"/>
        <charset val="134"/>
      </rPr>
      <t>Ⅲ</t>
    </r>
    <r>
      <rPr>
        <b/>
        <sz val="10"/>
        <rFont val="Arial Narrow"/>
        <charset val="134"/>
      </rPr>
      <t>+</t>
    </r>
    <r>
      <rPr>
        <b/>
        <sz val="10"/>
        <rFont val="宋体"/>
        <charset val="134"/>
      </rPr>
      <t>Ⅳ）</t>
    </r>
  </si>
  <si>
    <r>
      <rPr>
        <b/>
        <sz val="10"/>
        <rFont val="宋体"/>
        <charset val="134"/>
      </rPr>
      <t>建设项目总投资（不含增值税Ⅰ</t>
    </r>
    <r>
      <rPr>
        <b/>
        <sz val="10"/>
        <rFont val="Arial Narrow"/>
        <charset val="134"/>
      </rPr>
      <t>+</t>
    </r>
    <r>
      <rPr>
        <b/>
        <sz val="10"/>
        <rFont val="宋体"/>
        <charset val="134"/>
      </rPr>
      <t>Ⅱ</t>
    </r>
    <r>
      <rPr>
        <b/>
        <sz val="10"/>
        <rFont val="Arial Narrow"/>
        <charset val="134"/>
      </rPr>
      <t>+</t>
    </r>
    <r>
      <rPr>
        <b/>
        <sz val="10"/>
        <rFont val="宋体"/>
        <charset val="134"/>
      </rPr>
      <t>Ⅲ</t>
    </r>
    <r>
      <rPr>
        <b/>
        <sz val="10"/>
        <rFont val="Arial Narrow"/>
        <charset val="134"/>
      </rPr>
      <t>+</t>
    </r>
    <r>
      <rPr>
        <b/>
        <sz val="10"/>
        <rFont val="宋体"/>
        <charset val="134"/>
      </rPr>
      <t>Ⅳ</t>
    </r>
    <r>
      <rPr>
        <b/>
        <sz val="10"/>
        <rFont val="Arial Narrow"/>
        <charset val="134"/>
      </rPr>
      <t>-</t>
    </r>
    <r>
      <rPr>
        <b/>
        <sz val="10"/>
        <rFont val="宋体"/>
        <charset val="134"/>
      </rPr>
      <t>Ⅴ）</t>
    </r>
  </si>
  <si>
    <r>
      <rPr>
        <b/>
        <sz val="10"/>
        <rFont val="宋体"/>
        <charset val="134"/>
      </rPr>
      <t>建设投资（Ⅰ</t>
    </r>
    <r>
      <rPr>
        <b/>
        <sz val="10"/>
        <rFont val="Arial Narrow"/>
        <charset val="134"/>
      </rPr>
      <t>+</t>
    </r>
    <r>
      <rPr>
        <b/>
        <sz val="10"/>
        <rFont val="宋体"/>
        <charset val="134"/>
      </rPr>
      <t>Ⅱ</t>
    </r>
    <r>
      <rPr>
        <b/>
        <sz val="10"/>
        <rFont val="Arial Narrow"/>
        <charset val="134"/>
      </rPr>
      <t>+</t>
    </r>
    <r>
      <rPr>
        <b/>
        <sz val="10"/>
        <rFont val="宋体"/>
        <charset val="134"/>
      </rPr>
      <t>Ⅲ）</t>
    </r>
  </si>
  <si>
    <t>Ⅰ</t>
  </si>
  <si>
    <r>
      <rPr>
        <b/>
        <sz val="10"/>
        <rFont val="Arial Narrow"/>
        <charset val="134"/>
      </rPr>
      <t xml:space="preserve"> </t>
    </r>
    <r>
      <rPr>
        <b/>
        <sz val="10"/>
        <rFont val="宋体"/>
        <charset val="134"/>
      </rPr>
      <t>第一部分</t>
    </r>
    <r>
      <rPr>
        <b/>
        <sz val="10"/>
        <rFont val="Arial Narrow"/>
        <charset val="134"/>
      </rPr>
      <t xml:space="preserve"> </t>
    </r>
    <r>
      <rPr>
        <b/>
        <sz val="10"/>
        <rFont val="宋体"/>
        <charset val="134"/>
      </rPr>
      <t>工程费用</t>
    </r>
  </si>
  <si>
    <t>一</t>
  </si>
  <si>
    <t>线路部分</t>
  </si>
  <si>
    <t>管网及附件安装工程</t>
  </si>
  <si>
    <t>19.08km</t>
  </si>
  <si>
    <t>穿跨越工程</t>
  </si>
  <si>
    <t>4620m</t>
  </si>
  <si>
    <t>阴极保护</t>
  </si>
  <si>
    <t>25.1km</t>
  </si>
  <si>
    <t>线路土建工程</t>
  </si>
  <si>
    <t>二</t>
  </si>
  <si>
    <t>场站部分</t>
  </si>
  <si>
    <t>工艺设备及管网</t>
  </si>
  <si>
    <t>设备购置费</t>
  </si>
  <si>
    <t>自控工程</t>
  </si>
  <si>
    <t>建筑工程费</t>
  </si>
  <si>
    <t>通信工程</t>
  </si>
  <si>
    <t>电气工程</t>
  </si>
  <si>
    <t>工程建设其他费用</t>
  </si>
  <si>
    <t>给排水工程</t>
  </si>
  <si>
    <t>铺底流动资金</t>
  </si>
  <si>
    <t>Ⅱ</t>
  </si>
  <si>
    <t>第二部分 工程建设其他费用</t>
  </si>
  <si>
    <t>建设项目总投资</t>
  </si>
  <si>
    <t>建设用地费和赔偿费</t>
  </si>
  <si>
    <t>前期工作费</t>
  </si>
  <si>
    <t>三</t>
  </si>
  <si>
    <t>建设管理费</t>
  </si>
  <si>
    <t>四</t>
  </si>
  <si>
    <t>专项评价及验收费</t>
  </si>
  <si>
    <t>五</t>
  </si>
  <si>
    <t>检验试验费</t>
  </si>
  <si>
    <t>六</t>
  </si>
  <si>
    <t>勘察设计费</t>
  </si>
  <si>
    <t>七</t>
  </si>
  <si>
    <t>场地准备费和临时设施费</t>
  </si>
  <si>
    <t>八</t>
  </si>
  <si>
    <t>工程保险费</t>
  </si>
  <si>
    <t>九</t>
  </si>
  <si>
    <t>联合试运转费</t>
  </si>
  <si>
    <t>十</t>
  </si>
  <si>
    <t>特殊设备安全监督检验标定费</t>
  </si>
  <si>
    <t>十一</t>
  </si>
  <si>
    <t>生产准备费</t>
  </si>
  <si>
    <t>十二</t>
  </si>
  <si>
    <t>市政公用设施费</t>
  </si>
  <si>
    <t>十三</t>
  </si>
  <si>
    <t>招标代理服务费</t>
  </si>
  <si>
    <t>Ⅲ</t>
  </si>
  <si>
    <r>
      <rPr>
        <b/>
        <sz val="10"/>
        <rFont val="宋体"/>
        <charset val="134"/>
      </rPr>
      <t>第三部分</t>
    </r>
    <r>
      <rPr>
        <b/>
        <sz val="10"/>
        <rFont val="Arial Narrow"/>
        <charset val="134"/>
      </rPr>
      <t xml:space="preserve"> </t>
    </r>
    <r>
      <rPr>
        <b/>
        <sz val="10"/>
        <rFont val="宋体"/>
        <charset val="134"/>
      </rPr>
      <t xml:space="preserve">基本预备费 </t>
    </r>
  </si>
  <si>
    <r>
      <rPr>
        <sz val="10"/>
        <rFont val="宋体"/>
        <charset val="134"/>
      </rPr>
      <t>基本预备费</t>
    </r>
    <r>
      <rPr>
        <sz val="10"/>
        <rFont val="Arial Narrow"/>
        <charset val="134"/>
      </rPr>
      <t xml:space="preserve">   </t>
    </r>
    <r>
      <rPr>
        <sz val="10"/>
        <rFont val="宋体"/>
        <charset val="134"/>
      </rPr>
      <t>（3</t>
    </r>
    <r>
      <rPr>
        <sz val="10"/>
        <rFont val="Arial Narrow"/>
        <charset val="134"/>
      </rPr>
      <t>%</t>
    </r>
    <r>
      <rPr>
        <sz val="10"/>
        <rFont val="宋体"/>
        <charset val="134"/>
      </rPr>
      <t>）</t>
    </r>
  </si>
  <si>
    <t>Ⅳ</t>
  </si>
  <si>
    <t>增值税抵扣额</t>
  </si>
  <si>
    <t>Ⅴ</t>
  </si>
  <si>
    <t>应列入总投资中的几项费用</t>
  </si>
  <si>
    <t>建设期利息</t>
  </si>
  <si>
    <t>其他费用计算表</t>
  </si>
  <si>
    <t>概算编号：</t>
  </si>
  <si>
    <t>设计阶段：初步设计</t>
  </si>
  <si>
    <t>金额单位：万元</t>
  </si>
  <si>
    <r>
      <rPr>
        <sz val="10"/>
        <rFont val="宋体"/>
        <charset val="134"/>
      </rPr>
      <t>共</t>
    </r>
    <r>
      <rPr>
        <sz val="10"/>
        <rFont val="Arial Narrow"/>
        <charset val="134"/>
      </rPr>
      <t xml:space="preserve"> </t>
    </r>
    <r>
      <rPr>
        <sz val="10"/>
        <rFont val="宋体"/>
        <charset val="134"/>
      </rPr>
      <t>页</t>
    </r>
    <r>
      <rPr>
        <sz val="10"/>
        <rFont val="Arial Narrow"/>
        <charset val="134"/>
      </rPr>
      <t xml:space="preserve"> </t>
    </r>
    <r>
      <rPr>
        <sz val="10"/>
        <rFont val="宋体"/>
        <charset val="134"/>
      </rPr>
      <t>第</t>
    </r>
    <r>
      <rPr>
        <sz val="10"/>
        <rFont val="Arial Narrow"/>
        <charset val="134"/>
      </rPr>
      <t xml:space="preserve"> </t>
    </r>
    <r>
      <rPr>
        <sz val="10"/>
        <rFont val="宋体"/>
        <charset val="134"/>
      </rPr>
      <t>页</t>
    </r>
  </si>
  <si>
    <t>费用项目名称</t>
  </si>
  <si>
    <t>费用计算基数</t>
  </si>
  <si>
    <t>费率</t>
  </si>
  <si>
    <t>金额</t>
  </si>
  <si>
    <t>其中含增值税</t>
  </si>
  <si>
    <t>计算式及说明</t>
  </si>
  <si>
    <t>其他费用合计</t>
  </si>
  <si>
    <t>管网施工协调赔偿费（直埋管段）</t>
  </si>
  <si>
    <t>暂估</t>
  </si>
  <si>
    <t>永久征地费</t>
  </si>
  <si>
    <r>
      <rPr>
        <sz val="10"/>
        <rFont val="宋体"/>
        <charset val="134"/>
      </rPr>
      <t>建设单位提供数据：360元/m</t>
    </r>
    <r>
      <rPr>
        <vertAlign val="superscript"/>
        <sz val="10"/>
        <rFont val="宋体"/>
        <charset val="134"/>
      </rPr>
      <t>2</t>
    </r>
    <r>
      <rPr>
        <sz val="10"/>
        <rFont val="宋体"/>
        <charset val="134"/>
      </rPr>
      <t>，共计636m</t>
    </r>
    <r>
      <rPr>
        <vertAlign val="superscript"/>
        <sz val="10"/>
        <rFont val="宋体"/>
        <charset val="134"/>
      </rPr>
      <t>2</t>
    </r>
  </si>
  <si>
    <t>文物保护费用</t>
  </si>
  <si>
    <t>根据建设单位提供数据计列</t>
  </si>
  <si>
    <t>穿跨协调赔偿费</t>
  </si>
  <si>
    <t>项目建议书编制费</t>
  </si>
  <si>
    <t>参考《国家发展改革委关于进一步放开建设项目专业服务价格的通知（发改价格〔2015〕299号）》文件，并考虑市场调节因素：可行性研究报告编制费=工程费用*项目建议书编制费费率</t>
  </si>
  <si>
    <t>项目建议书评估费</t>
  </si>
  <si>
    <t>参考《国家发展改革委关于进一步放开建设项目专业服务价格的通知（发改价格〔2015〕299号）》文件，并考虑市场调节因素：可行性研究报告编制费=工程费用*项目建议书评估费费率</t>
  </si>
  <si>
    <t>可行性研究报告编制费</t>
  </si>
  <si>
    <r>
      <rPr>
        <sz val="10"/>
        <rFont val="宋体"/>
        <charset val="134"/>
      </rPr>
      <t>参考《国家发展改革委关于进一步放开建设项目专业服务价格的通知（发改价格〔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299</t>
    </r>
    <r>
      <rPr>
        <sz val="10"/>
        <rFont val="宋体"/>
        <charset val="134"/>
      </rPr>
      <t>号）》文件，并考虑市场调节因素：可行性研究报告编制费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工程费用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可行性研究报告编制费费率</t>
    </r>
  </si>
  <si>
    <t>可行性研究报告评估费</t>
  </si>
  <si>
    <r>
      <rPr>
        <sz val="10"/>
        <rFont val="宋体"/>
        <charset val="134"/>
      </rPr>
      <t>参考《国家发展改革委关于进一步放开建设项目专业服务价格的通知（发改价格〔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299</t>
    </r>
    <r>
      <rPr>
        <sz val="10"/>
        <rFont val="宋体"/>
        <charset val="134"/>
      </rPr>
      <t>号）》文件，并考虑市场调节因素：可行性研究报告评估费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工程费用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可行性研究报告评估费费率</t>
    </r>
  </si>
  <si>
    <t>申报核准资料附件获取费</t>
  </si>
  <si>
    <r>
      <rPr>
        <sz val="10"/>
        <color rgb="FFFF0000"/>
        <rFont val="宋体"/>
        <charset val="134"/>
      </rPr>
      <t>依据《〈中国石油天然气集团公司建设项目其他费用和相关费用规定〉（中油计〔</t>
    </r>
    <r>
      <rPr>
        <sz val="10"/>
        <color rgb="FFFF0000"/>
        <rFont val="Arial Narrow"/>
        <charset val="134"/>
      </rPr>
      <t>2012</t>
    </r>
    <r>
      <rPr>
        <sz val="10"/>
        <color rgb="FFFF0000"/>
        <rFont val="宋体"/>
        <charset val="134"/>
      </rPr>
      <t>〕</t>
    </r>
    <r>
      <rPr>
        <sz val="10"/>
        <color rgb="FFFF0000"/>
        <rFont val="Arial Narrow"/>
        <charset val="134"/>
      </rPr>
      <t>534</t>
    </r>
    <r>
      <rPr>
        <sz val="10"/>
        <color rgb="FFFF0000"/>
        <rFont val="宋体"/>
        <charset val="134"/>
      </rPr>
      <t>号）》估算</t>
    </r>
  </si>
  <si>
    <t>未计取</t>
  </si>
  <si>
    <t>建设单位管理费</t>
  </si>
  <si>
    <r>
      <rPr>
        <sz val="10"/>
        <rFont val="宋体"/>
        <charset val="134"/>
      </rPr>
      <t>依据《财政部关于印发〈基本建设项目建设成本管理规定〉的通知（财建〔</t>
    </r>
    <r>
      <rPr>
        <sz val="10"/>
        <rFont val="Arial Narrow"/>
        <charset val="134"/>
      </rPr>
      <t>2016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504</t>
    </r>
    <r>
      <rPr>
        <sz val="10"/>
        <rFont val="宋体"/>
        <charset val="134"/>
      </rPr>
      <t>号）》文件：建设单位管理费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工程投资额（不含设备进项税、土地费用及建设单位管理费）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建设单位管理费费率</t>
    </r>
    <r>
      <rPr>
        <sz val="10"/>
        <rFont val="Arial Narrow"/>
        <charset val="134"/>
      </rPr>
      <t xml:space="preserve"> (</t>
    </r>
    <r>
      <rPr>
        <sz val="10"/>
        <rFont val="宋体"/>
        <charset val="134"/>
      </rPr>
      <t>差额定率分档累进法</t>
    </r>
    <r>
      <rPr>
        <sz val="10"/>
        <rFont val="Arial Narrow"/>
        <charset val="134"/>
      </rPr>
      <t>)</t>
    </r>
  </si>
  <si>
    <t>工程质量监督费</t>
  </si>
  <si>
    <r>
      <rPr>
        <sz val="10"/>
        <color rgb="FFFF0000"/>
        <rFont val="宋体"/>
        <charset val="134"/>
      </rPr>
      <t>工程质量监管费</t>
    </r>
    <r>
      <rPr>
        <sz val="10"/>
        <color rgb="FFFF0000"/>
        <rFont val="Arial Narrow"/>
        <charset val="134"/>
      </rPr>
      <t>=</t>
    </r>
    <r>
      <rPr>
        <sz val="10"/>
        <color rgb="FFFF0000"/>
        <rFont val="宋体"/>
        <charset val="134"/>
      </rPr>
      <t>工程费用</t>
    </r>
    <r>
      <rPr>
        <sz val="10"/>
        <color rgb="FFFF0000"/>
        <rFont val="Arial Narrow"/>
        <charset val="134"/>
      </rPr>
      <t>*</t>
    </r>
    <r>
      <rPr>
        <sz val="10"/>
        <color rgb="FFFF0000"/>
        <rFont val="宋体"/>
        <charset val="134"/>
      </rPr>
      <t>工程质量监管费率</t>
    </r>
    <r>
      <rPr>
        <sz val="10"/>
        <color rgb="FFFF0000"/>
        <rFont val="Arial Narrow"/>
        <charset val="134"/>
      </rPr>
      <t xml:space="preserve"> </t>
    </r>
    <r>
      <rPr>
        <sz val="10"/>
        <color rgb="FFFF0000"/>
        <rFont val="宋体"/>
        <charset val="134"/>
      </rPr>
      <t>（采用直线内插法）</t>
    </r>
  </si>
  <si>
    <t>建设工程监理费</t>
  </si>
  <si>
    <r>
      <rPr>
        <sz val="10"/>
        <rFont val="宋体"/>
        <charset val="134"/>
      </rPr>
      <t>参考《国家发展改革委关于进一步放开建设项目专业服务价格的通知（发改价格〔2015〕299号）》文件，并考虑市场调节因素：工程监理费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（工程费用包含穿黄段</t>
    </r>
    <r>
      <rPr>
        <sz val="10"/>
        <rFont val="Arial Narrow"/>
        <charset val="134"/>
      </rPr>
      <t>+</t>
    </r>
    <r>
      <rPr>
        <sz val="10"/>
        <rFont val="宋体"/>
        <charset val="134"/>
      </rPr>
      <t>联合试运转费）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工程质量监管费率</t>
    </r>
    <r>
      <rPr>
        <sz val="10"/>
        <rFont val="Arial Narrow"/>
        <charset val="134"/>
      </rPr>
      <t xml:space="preserve"> </t>
    </r>
    <r>
      <rPr>
        <sz val="10"/>
        <rFont val="宋体"/>
        <charset val="134"/>
      </rPr>
      <t>（采用直线内插法）</t>
    </r>
  </si>
  <si>
    <t>造价咨询费（含清单控制价编审费、全过程跟踪审计及结算审核、财务决算审核）</t>
  </si>
  <si>
    <t>依据《宁夏回族自治区物价局关于建设工程造价咨询服务收费标准（宁价费发〔2010〕87号）》：造价咨询费=工程直接费*造价咨询费费率</t>
  </si>
  <si>
    <t>建设单位健康安全环境管理费</t>
  </si>
  <si>
    <t>依据《中国石油天然气集团公司关于印发〈石油建设项目其他费用和相关费用计价方法与费用标准（2022版）〉的通知（中油计划〔2022〕22号）》：建设单位健康安全环境管理费=建设单位管理费*建设单位健康安全环境管理费费率</t>
  </si>
  <si>
    <t>环境影响报告书编制费</t>
  </si>
  <si>
    <t>依据《国务院关于修改〈建设项目环境保护管理条例〉的决定〔国务院令第682号〕》及《国家发展改革委关于进一步放开建设项目专业服务价格的通知（发改价格〔2015〕299号）》文件，并考虑市场调节因素：环境影响报告书编制费=工程费用*环境影响报告书编制费费率</t>
  </si>
  <si>
    <t>安全预评价及验收费</t>
  </si>
  <si>
    <t>依据《中国石油天然气集团公司关于印发〈石油建设项目其他费用和相关费用计价方法与费用标准（2022版）〉的通知（中油计划〔2022〕22号）》：安全预评价及验收费=工程费用*安全预评价及验收费费率（直线内插法）</t>
  </si>
  <si>
    <t>职业病危害预评价及控制效果评价费</t>
  </si>
  <si>
    <r>
      <rPr>
        <sz val="10"/>
        <color rgb="FFFF0000"/>
        <rFont val="宋体"/>
        <charset val="134"/>
      </rPr>
      <t>依据《〈中国石油天然气集团公司建设项目其他费用和相关费用规定〉（中油计〔</t>
    </r>
    <r>
      <rPr>
        <sz val="10"/>
        <color rgb="FFFF0000"/>
        <rFont val="Arial Narrow"/>
        <charset val="134"/>
      </rPr>
      <t>2012</t>
    </r>
    <r>
      <rPr>
        <sz val="10"/>
        <color rgb="FFFF0000"/>
        <rFont val="宋体"/>
        <charset val="134"/>
      </rPr>
      <t>〕</t>
    </r>
    <r>
      <rPr>
        <sz val="10"/>
        <color rgb="FFFF0000"/>
        <rFont val="Arial Narrow"/>
        <charset val="134"/>
      </rPr>
      <t>534</t>
    </r>
    <r>
      <rPr>
        <sz val="10"/>
        <color rgb="FFFF0000"/>
        <rFont val="宋体"/>
        <charset val="134"/>
      </rPr>
      <t>号）》：职业病危害预评价及控制效果评价费</t>
    </r>
    <r>
      <rPr>
        <sz val="10"/>
        <color rgb="FFFF0000"/>
        <rFont val="Arial Narrow"/>
        <charset val="134"/>
      </rPr>
      <t>=</t>
    </r>
    <r>
      <rPr>
        <sz val="10"/>
        <color rgb="FFFF0000"/>
        <rFont val="宋体"/>
        <charset val="134"/>
      </rPr>
      <t>工程费用</t>
    </r>
    <r>
      <rPr>
        <sz val="10"/>
        <color rgb="FFFF0000"/>
        <rFont val="Arial Narrow"/>
        <charset val="134"/>
      </rPr>
      <t>*</t>
    </r>
    <r>
      <rPr>
        <sz val="10"/>
        <color rgb="FFFF0000"/>
        <rFont val="宋体"/>
        <charset val="134"/>
      </rPr>
      <t>职业病危害预评价及控制效果评价费费率（直线内插法）</t>
    </r>
  </si>
  <si>
    <t>地震安全性评价费</t>
  </si>
  <si>
    <t>依据《中国石油天然气集团公司关于印发〈石油建设项目其他费用和相关费用计价方法与费用标准（2022版）〉的通知（中油计划〔2022〕22号）》：管线长度=工程费用*地震安全性评价费费率</t>
  </si>
  <si>
    <t>地质灾害危险性评价费</t>
  </si>
  <si>
    <t>依据《中国石油天然气集团公司关于印发〈石油建设项目其他费用和相关费用计价方法与费用标准（2022版）〉的通知（中油计划〔2022〕22号）》：地质灾害危险性评价费=工程费用*地质灾害危险性评价费费率（直线内插法）</t>
  </si>
  <si>
    <t>水土保持评价及验收费</t>
  </si>
  <si>
    <t>依据《中国石油天然气集团公司关于印发〈石油建设项目其他费用和相关费用计价方法与费用标准（2022版）〉的通知（中油计划〔2022〕22号）》：水土保持评价及验收费=管线长度*水土保持评价及验收费费率（直线内插法）</t>
  </si>
  <si>
    <t>压覆矿产资源评价费</t>
  </si>
  <si>
    <t>依据《中国石油天然气集团公司关于印发〈石油建设项目其他费用和相关费用计价方法与费用标准（2022版）〉的通知（中油计划〔2022〕22号）》估算</t>
  </si>
  <si>
    <t>节能评估费</t>
  </si>
  <si>
    <t>依据《中国石油天然气集团公司关于印发〈石油建设项目其他费用和相关费用计价方法与费用标准（2022版）〉的通知（中油计划〔2022〕22号）》：节能评估费=工程费*节能评估费费率（直线内插法）</t>
  </si>
  <si>
    <t>危险与可操作性分析及安全完整性评价费</t>
  </si>
  <si>
    <t>依据《中国石油天然气集团公司关于印发〈石油建设项目其他费用和相关费用计价方法与费用标准（2022版）〉的通知（中油计划〔2022〕22号）》：危险与可操作性分析及安全完整性评价费=建设项目估算投资额*危险与可操作性分析及安全完整性评价费费率（直线内插法）</t>
  </si>
  <si>
    <t>防洪评价费</t>
  </si>
  <si>
    <t>依据《国务院关于修改〈建设项目环境保护管理条例〉的决定〔国务院令第682号〕》及《国家发展改革委关于进一步放开建设项目专业服务价格的通知（发改价格〔2015〕299号）》文件，并考虑市场调节因素：防洪评价费=工程费用*防洪评价费费率</t>
  </si>
  <si>
    <t>社会稳定性报告编制及评价费</t>
  </si>
  <si>
    <t>考虑工程所在地类似项目指标暂计</t>
  </si>
  <si>
    <t>施工图审查费</t>
  </si>
  <si>
    <r>
      <rPr>
        <sz val="10"/>
        <rFont val="宋体"/>
        <charset val="134"/>
      </rPr>
      <t>依据《宁价费发〔2001〕71号）》：施工图审查费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勘察设计费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施工图审查费费率（累进计费率）</t>
    </r>
  </si>
  <si>
    <t>勘察费</t>
  </si>
  <si>
    <r>
      <rPr>
        <sz val="10"/>
        <rFont val="宋体"/>
        <charset val="134"/>
      </rPr>
      <t>参考《国家发展改革委关于进一步放开建设项目专业服务价格的通知（发改价格〔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299</t>
    </r>
    <r>
      <rPr>
        <sz val="10"/>
        <rFont val="宋体"/>
        <charset val="134"/>
      </rPr>
      <t>号）》文件，并考虑市场调节因素：勘察费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工程费用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勘察费费率</t>
    </r>
  </si>
  <si>
    <t>设计费</t>
  </si>
  <si>
    <r>
      <rPr>
        <sz val="10"/>
        <rFont val="宋体"/>
        <charset val="134"/>
      </rPr>
      <t>参考《国家发展改革委关于进一步放开建设项目专业服务价格的通知（发改价格〔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299</t>
    </r>
    <r>
      <rPr>
        <sz val="10"/>
        <rFont val="宋体"/>
        <charset val="134"/>
      </rPr>
      <t>号）》文件，并考虑市场调节因素：设计费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（工程费用</t>
    </r>
    <r>
      <rPr>
        <sz val="10"/>
        <rFont val="Arial Narrow"/>
        <charset val="134"/>
      </rPr>
      <t>+</t>
    </r>
    <r>
      <rPr>
        <sz val="10"/>
        <rFont val="宋体"/>
        <charset val="134"/>
      </rPr>
      <t>联合试运转费）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设计费费率</t>
    </r>
  </si>
  <si>
    <t>施工图预算编制费</t>
  </si>
  <si>
    <r>
      <rPr>
        <sz val="10"/>
        <color rgb="FFFF0000"/>
        <rFont val="宋体"/>
        <charset val="134"/>
      </rPr>
      <t>参考《国家发展改革委关于进一步放开建设项目专业服务价格的通知（发改价格〔</t>
    </r>
    <r>
      <rPr>
        <sz val="10"/>
        <color rgb="FFFF0000"/>
        <rFont val="Arial Narrow"/>
        <charset val="134"/>
      </rPr>
      <t>2015</t>
    </r>
    <r>
      <rPr>
        <sz val="10"/>
        <color rgb="FFFF0000"/>
        <rFont val="宋体"/>
        <charset val="134"/>
      </rPr>
      <t>〕</t>
    </r>
    <r>
      <rPr>
        <sz val="10"/>
        <color rgb="FFFF0000"/>
        <rFont val="Arial Narrow"/>
        <charset val="134"/>
      </rPr>
      <t>299</t>
    </r>
    <r>
      <rPr>
        <sz val="10"/>
        <color rgb="FFFF0000"/>
        <rFont val="宋体"/>
        <charset val="134"/>
      </rPr>
      <t>号）》文件估算：施工图预算编制费</t>
    </r>
    <r>
      <rPr>
        <sz val="10"/>
        <color rgb="FFFF0000"/>
        <rFont val="Arial Narrow"/>
        <charset val="134"/>
      </rPr>
      <t>=</t>
    </r>
    <r>
      <rPr>
        <sz val="10"/>
        <color rgb="FFFF0000"/>
        <rFont val="宋体"/>
        <charset val="134"/>
      </rPr>
      <t>设计费</t>
    </r>
    <r>
      <rPr>
        <sz val="10"/>
        <color rgb="FFFF0000"/>
        <rFont val="Arial Narrow"/>
        <charset val="134"/>
      </rPr>
      <t>*</t>
    </r>
    <r>
      <rPr>
        <sz val="10"/>
        <color rgb="FFFF0000"/>
        <rFont val="宋体"/>
        <charset val="134"/>
      </rPr>
      <t>施工图预算编制费费率</t>
    </r>
  </si>
  <si>
    <t>竣工图编制费</t>
  </si>
  <si>
    <r>
      <rPr>
        <sz val="10"/>
        <rFont val="宋体"/>
        <charset val="134"/>
      </rPr>
      <t>参考《国家发展改革委关于进一步放开建设项目专业服务价格的通知（发改价格〔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299</t>
    </r>
    <r>
      <rPr>
        <sz val="10"/>
        <rFont val="宋体"/>
        <charset val="134"/>
      </rPr>
      <t>号）》文件，并考虑市场调节因素：竣工图编制费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设计费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竣工图编制费费率</t>
    </r>
  </si>
  <si>
    <t>场地准备费</t>
  </si>
  <si>
    <t>临时设施费</t>
  </si>
  <si>
    <t>依据《中国石油天然气集团公司关于印发〈石油建设项目其他费用和相关费用计价方法与费用标准（2022版）〉的通知（中油计划〔2022〕22号）》：临时设施费=工程费用*临时设施费费率</t>
  </si>
  <si>
    <t>引进技术和进口设备材料其他费</t>
  </si>
  <si>
    <t>依据《中国石油天然气集团公司关于印发〈石油建设项目其他费用和相关费用计价方法与费用标准（2022版）〉的通知（中油计划〔2022〕22号）》：工程保险费=工程费用*工程保险费费率</t>
  </si>
  <si>
    <t>依据《中国石油天然气集团公司关于印发〈石油建设项目其他费用和相关费用计价方法与费用标准（2022版）〉的通知（中油计划〔2022〕22号）》：联合试运转费=(建筑工程费+安装工程费)*联合试运转费费率</t>
  </si>
  <si>
    <t>特殊设备安全监督检验标定费（含管道检测费）</t>
  </si>
  <si>
    <t>超限设备运输特殊措施费</t>
  </si>
  <si>
    <t>施工队伍调遣费</t>
  </si>
  <si>
    <t>专利专有技术使用费</t>
  </si>
  <si>
    <t>提前进场费</t>
  </si>
  <si>
    <r>
      <rPr>
        <sz val="10"/>
        <rFont val="Arial Narrow"/>
        <charset val="134"/>
      </rPr>
      <t>8</t>
    </r>
    <r>
      <rPr>
        <sz val="10"/>
        <rFont val="宋体"/>
        <charset val="134"/>
      </rPr>
      <t>人</t>
    </r>
  </si>
  <si>
    <r>
      <rPr>
        <sz val="10"/>
        <rFont val="Arial Narrow"/>
        <charset val="134"/>
      </rPr>
      <t>2.45</t>
    </r>
    <r>
      <rPr>
        <sz val="10"/>
        <rFont val="宋体"/>
        <charset val="134"/>
      </rPr>
      <t>万元</t>
    </r>
    <r>
      <rPr>
        <sz val="10"/>
        <rFont val="Arial Narrow"/>
        <charset val="134"/>
      </rPr>
      <t>/</t>
    </r>
    <r>
      <rPr>
        <sz val="10"/>
        <rFont val="宋体"/>
        <charset val="134"/>
      </rPr>
      <t>人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年</t>
    </r>
  </si>
  <si>
    <r>
      <rPr>
        <sz val="10"/>
        <rFont val="宋体"/>
        <charset val="134"/>
      </rPr>
      <t>依据《中国石油天然气集团公司关于印发〈石油建设项目其他费用和相关费用计价方法与费用标准（2022版）〉的通知（中油计划〔2022〕22号）》：提前进厂费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新增设计定员（人）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提前进厂指标（元</t>
    </r>
    <r>
      <rPr>
        <sz val="10"/>
        <rFont val="Arial Narrow"/>
        <charset val="134"/>
      </rPr>
      <t>/</t>
    </r>
    <r>
      <rPr>
        <sz val="10"/>
        <rFont val="宋体"/>
        <charset val="134"/>
      </rPr>
      <t>人</t>
    </r>
    <r>
      <rPr>
        <sz val="10"/>
        <rFont val="Arial Narrow"/>
        <charset val="134"/>
      </rPr>
      <t>.</t>
    </r>
    <r>
      <rPr>
        <sz val="10"/>
        <rFont val="宋体"/>
        <charset val="134"/>
      </rPr>
      <t>年）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提前进厂期（年）</t>
    </r>
  </si>
  <si>
    <t>生产人员培训费</t>
  </si>
  <si>
    <r>
      <rPr>
        <sz val="10"/>
        <rFont val="Arial Narrow"/>
        <charset val="134"/>
      </rPr>
      <t>0.5</t>
    </r>
    <r>
      <rPr>
        <sz val="10"/>
        <rFont val="宋体"/>
        <charset val="134"/>
      </rPr>
      <t>万元</t>
    </r>
    <r>
      <rPr>
        <sz val="10"/>
        <rFont val="Arial Narrow"/>
        <charset val="134"/>
      </rPr>
      <t>/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</si>
  <si>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依据《中国石油天然气集团公司关于印发〈石油建设项目其他费用和相关费用计价方法与费用标准（2022版）〉的通知（中油计划〔2022〕22号）》：生产人员培训费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新增设计定员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培训费指标</t>
    </r>
  </si>
  <si>
    <t>工器具及生产家具购置费</t>
  </si>
  <si>
    <r>
      <rPr>
        <sz val="10"/>
        <rFont val="Arial Narrow"/>
        <charset val="134"/>
      </rPr>
      <t>0.25</t>
    </r>
    <r>
      <rPr>
        <sz val="10"/>
        <rFont val="宋体"/>
        <charset val="134"/>
      </rPr>
      <t>万元</t>
    </r>
    <r>
      <rPr>
        <sz val="10"/>
        <rFont val="Arial Narrow"/>
        <charset val="134"/>
      </rPr>
      <t>/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</si>
  <si>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依据《中国石油天然气集团公司关于印发〈石油建设项目其他费用和相关费用计价方法与费用标准（2022版）〉的通知（中油计划〔2022〕22号）》：工器具及生产家具购置费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新增设计定员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工器具及生产家具购置费指标</t>
    </r>
  </si>
  <si>
    <t>办公及生活家具购置费</t>
  </si>
  <si>
    <r>
      <rPr>
        <sz val="10"/>
        <rFont val="Arial Narrow"/>
        <charset val="134"/>
      </rPr>
      <t>0.4</t>
    </r>
    <r>
      <rPr>
        <sz val="10"/>
        <rFont val="宋体"/>
        <charset val="134"/>
      </rPr>
      <t>万元</t>
    </r>
    <r>
      <rPr>
        <sz val="10"/>
        <rFont val="Arial Narrow"/>
        <charset val="134"/>
      </rPr>
      <t>/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</si>
  <si>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依据《中国石油天然气集团公司关于印发〈石油建设项目其他费用和相关费用计价方法与费用标准（2022版）〉的通知（中油计划〔2022〕22号）》：办公及生活家具购置费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新增设计定员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办公及生活家具购置费指标</t>
    </r>
  </si>
  <si>
    <t>应急救援物资及仪器</t>
  </si>
  <si>
    <t>巡线车辆</t>
  </si>
  <si>
    <r>
      <rPr>
        <sz val="10"/>
        <rFont val="Arial Narrow"/>
        <charset val="134"/>
      </rPr>
      <t>1</t>
    </r>
    <r>
      <rPr>
        <sz val="10"/>
        <rFont val="宋体"/>
        <charset val="134"/>
      </rPr>
      <t>辆</t>
    </r>
  </si>
  <si>
    <t>抢险车辆</t>
  </si>
  <si>
    <r>
      <rPr>
        <sz val="10"/>
        <rFont val="宋体"/>
        <charset val="134"/>
      </rPr>
      <t>参考《关于印发贯彻</t>
    </r>
    <r>
      <rPr>
        <sz val="10"/>
        <rFont val="Arial Narrow"/>
        <charset val="134"/>
      </rPr>
      <t>&lt;</t>
    </r>
    <r>
      <rPr>
        <sz val="10"/>
        <rFont val="宋体"/>
        <charset val="134"/>
      </rPr>
      <t>国家发展改革委关于进一步放开建设项目专业服务价格的通知（发改价格〔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299</t>
    </r>
    <r>
      <rPr>
        <sz val="10"/>
        <rFont val="宋体"/>
        <charset val="134"/>
      </rPr>
      <t>号）的指导意见〉的通知（中招协〔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028</t>
    </r>
    <r>
      <rPr>
        <sz val="10"/>
        <rFont val="宋体"/>
        <charset val="134"/>
      </rPr>
      <t>号）》，考虑工程所在地市场调节因素计算</t>
    </r>
  </si>
  <si>
    <t>设备招标</t>
  </si>
  <si>
    <r>
      <rPr>
        <sz val="10"/>
        <rFont val="宋体"/>
        <charset val="134"/>
      </rPr>
      <t>参考《关于印发贯彻</t>
    </r>
    <r>
      <rPr>
        <sz val="10"/>
        <rFont val="Arial Narrow"/>
        <charset val="134"/>
      </rPr>
      <t>&lt;</t>
    </r>
    <r>
      <rPr>
        <sz val="10"/>
        <rFont val="宋体"/>
        <charset val="134"/>
      </rPr>
      <t>国家发展改革委关于进一步放开建设项目专业服务价格的通知（发改价格〔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299</t>
    </r>
    <r>
      <rPr>
        <sz val="10"/>
        <rFont val="宋体"/>
        <charset val="134"/>
      </rPr>
      <t>号）的指导意见〉的通知（中招协〔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028</t>
    </r>
    <r>
      <rPr>
        <sz val="10"/>
        <rFont val="宋体"/>
        <charset val="134"/>
      </rPr>
      <t>号）》，考虑工程所在地市场调节因素计算</t>
    </r>
    <r>
      <rPr>
        <sz val="10"/>
        <rFont val="Arial Narrow"/>
        <charset val="134"/>
      </rPr>
      <t>:</t>
    </r>
    <r>
      <rPr>
        <sz val="10"/>
        <rFont val="宋体"/>
        <charset val="134"/>
      </rPr>
      <t>设备招标费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设备购置费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招标费费率</t>
    </r>
  </si>
  <si>
    <t>建安工程招标</t>
  </si>
  <si>
    <r>
      <rPr>
        <sz val="10"/>
        <rFont val="宋体"/>
        <charset val="134"/>
      </rPr>
      <t>参考《关于印发贯彻</t>
    </r>
    <r>
      <rPr>
        <sz val="10"/>
        <rFont val="Arial Narrow"/>
        <charset val="134"/>
      </rPr>
      <t>&lt;</t>
    </r>
    <r>
      <rPr>
        <sz val="10"/>
        <rFont val="宋体"/>
        <charset val="134"/>
      </rPr>
      <t>国家发展改革委关于进一步放开建设项目专业服务价格的通知（发改价格〔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299</t>
    </r>
    <r>
      <rPr>
        <sz val="10"/>
        <rFont val="宋体"/>
        <charset val="134"/>
      </rPr>
      <t>号）的指导意见〉的通知（中招协〔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028</t>
    </r>
    <r>
      <rPr>
        <sz val="10"/>
        <rFont val="宋体"/>
        <charset val="134"/>
      </rPr>
      <t>号）》，考虑工程所在地市场调节因素计算</t>
    </r>
    <r>
      <rPr>
        <sz val="10"/>
        <rFont val="Arial Narrow"/>
        <charset val="134"/>
      </rPr>
      <t>:</t>
    </r>
    <r>
      <rPr>
        <sz val="10"/>
        <rFont val="宋体"/>
        <charset val="134"/>
      </rPr>
      <t>建安工程招标费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建安工程费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招标费费率</t>
    </r>
  </si>
  <si>
    <t>前期咨询、监理及勘察设计招标</t>
  </si>
  <si>
    <r>
      <rPr>
        <sz val="10"/>
        <rFont val="宋体"/>
        <charset val="134"/>
      </rPr>
      <t>参考《关于印发贯彻</t>
    </r>
    <r>
      <rPr>
        <sz val="10"/>
        <rFont val="Arial Narrow"/>
        <charset val="134"/>
      </rPr>
      <t>&lt;</t>
    </r>
    <r>
      <rPr>
        <sz val="10"/>
        <rFont val="宋体"/>
        <charset val="134"/>
      </rPr>
      <t>国家发展改革委关于进一步放开建设项目专业服务价格的通知（发改价格〔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299</t>
    </r>
    <r>
      <rPr>
        <sz val="10"/>
        <rFont val="宋体"/>
        <charset val="134"/>
      </rPr>
      <t>号）的指导意见〉的通知（中招协〔</t>
    </r>
    <r>
      <rPr>
        <sz val="10"/>
        <rFont val="Arial Narrow"/>
        <charset val="134"/>
      </rPr>
      <t>2015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028</t>
    </r>
    <r>
      <rPr>
        <sz val="10"/>
        <rFont val="宋体"/>
        <charset val="134"/>
      </rPr>
      <t>号）》，考虑工程所在地市场调节因素计算</t>
    </r>
    <r>
      <rPr>
        <sz val="10"/>
        <rFont val="Arial Narrow"/>
        <charset val="134"/>
      </rPr>
      <t>:</t>
    </r>
    <r>
      <rPr>
        <sz val="10"/>
        <rFont val="宋体"/>
        <charset val="134"/>
      </rPr>
      <t>招标费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（前期费</t>
    </r>
    <r>
      <rPr>
        <sz val="10"/>
        <rFont val="Arial Narrow"/>
        <charset val="134"/>
      </rPr>
      <t>+</t>
    </r>
    <r>
      <rPr>
        <sz val="10"/>
        <rFont val="宋体"/>
        <charset val="134"/>
      </rPr>
      <t>监理费</t>
    </r>
    <r>
      <rPr>
        <sz val="10"/>
        <rFont val="Arial Narrow"/>
        <charset val="134"/>
      </rPr>
      <t>+</t>
    </r>
    <r>
      <rPr>
        <sz val="10"/>
        <rFont val="宋体"/>
        <charset val="134"/>
      </rPr>
      <t>勘察设计费）费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招标费费率</t>
    </r>
  </si>
  <si>
    <t>前期咨询及勘察设计招标</t>
  </si>
  <si>
    <r>
      <rPr>
        <sz val="10"/>
        <color rgb="FFFF0000"/>
        <rFont val="宋体"/>
        <charset val="134"/>
      </rPr>
      <t>参考《关于印发贯彻</t>
    </r>
    <r>
      <rPr>
        <sz val="10"/>
        <color rgb="FFFF0000"/>
        <rFont val="Arial Narrow"/>
        <charset val="134"/>
      </rPr>
      <t>&lt;</t>
    </r>
    <r>
      <rPr>
        <sz val="10"/>
        <color rgb="FFFF0000"/>
        <rFont val="宋体"/>
        <charset val="134"/>
      </rPr>
      <t>国家发展改革委关于进一步放开建设项目专业服务价格的通知（发改价格〔</t>
    </r>
    <r>
      <rPr>
        <sz val="10"/>
        <color rgb="FFFF0000"/>
        <rFont val="Arial Narrow"/>
        <charset val="134"/>
      </rPr>
      <t>2015</t>
    </r>
    <r>
      <rPr>
        <sz val="10"/>
        <color rgb="FFFF0000"/>
        <rFont val="宋体"/>
        <charset val="134"/>
      </rPr>
      <t>〕</t>
    </r>
    <r>
      <rPr>
        <sz val="10"/>
        <color rgb="FFFF0000"/>
        <rFont val="Arial Narrow"/>
        <charset val="134"/>
      </rPr>
      <t>299</t>
    </r>
    <r>
      <rPr>
        <sz val="10"/>
        <color rgb="FFFF0000"/>
        <rFont val="宋体"/>
        <charset val="134"/>
      </rPr>
      <t>号）的指导意见〉的通知（中招协〔</t>
    </r>
    <r>
      <rPr>
        <sz val="10"/>
        <color rgb="FFFF0000"/>
        <rFont val="Arial Narrow"/>
        <charset val="134"/>
      </rPr>
      <t>2015</t>
    </r>
    <r>
      <rPr>
        <sz val="10"/>
        <color rgb="FFFF0000"/>
        <rFont val="宋体"/>
        <charset val="134"/>
      </rPr>
      <t>〕</t>
    </r>
    <r>
      <rPr>
        <sz val="10"/>
        <color rgb="FFFF0000"/>
        <rFont val="Arial Narrow"/>
        <charset val="134"/>
      </rPr>
      <t>028</t>
    </r>
    <r>
      <rPr>
        <sz val="10"/>
        <color rgb="FFFF0000"/>
        <rFont val="宋体"/>
        <charset val="134"/>
      </rPr>
      <t>号）》，考虑工程所在地市场调节因素计算</t>
    </r>
    <r>
      <rPr>
        <sz val="10"/>
        <color rgb="FFFF0000"/>
        <rFont val="Arial Narrow"/>
        <charset val="134"/>
      </rPr>
      <t>:</t>
    </r>
    <r>
      <rPr>
        <sz val="10"/>
        <color rgb="FFFF0000"/>
        <rFont val="宋体"/>
        <charset val="134"/>
      </rPr>
      <t>设备招标费</t>
    </r>
    <r>
      <rPr>
        <sz val="10"/>
        <color rgb="FFFF0000"/>
        <rFont val="Arial Narrow"/>
        <charset val="134"/>
      </rPr>
      <t>=</t>
    </r>
    <r>
      <rPr>
        <sz val="10"/>
        <color rgb="FFFF0000"/>
        <rFont val="宋体"/>
        <charset val="134"/>
      </rPr>
      <t>设备购置费</t>
    </r>
    <r>
      <rPr>
        <sz val="10"/>
        <color rgb="FFFF0000"/>
        <rFont val="Arial Narrow"/>
        <charset val="134"/>
      </rPr>
      <t>*</t>
    </r>
    <r>
      <rPr>
        <sz val="10"/>
        <color rgb="FFFF0000"/>
        <rFont val="宋体"/>
        <charset val="134"/>
      </rPr>
      <t>招标费费率</t>
    </r>
  </si>
  <si>
    <t>预备费</t>
  </si>
  <si>
    <t>基本预备费</t>
  </si>
  <si>
    <r>
      <rPr>
        <sz val="10"/>
        <rFont val="宋体"/>
        <charset val="134"/>
      </rPr>
      <t>依据《中国石油天然气集团公司关于印发〈石油建设项目其他费用和相关费用计价方法与费用标准（</t>
    </r>
    <r>
      <rPr>
        <sz val="10"/>
        <rFont val="Arial Narrow"/>
        <charset val="134"/>
      </rPr>
      <t>2022</t>
    </r>
    <r>
      <rPr>
        <sz val="10"/>
        <rFont val="宋体"/>
        <charset val="134"/>
      </rPr>
      <t>版）〉的通知（中油计划〔</t>
    </r>
    <r>
      <rPr>
        <sz val="10"/>
        <rFont val="Arial Narrow"/>
        <charset val="134"/>
      </rPr>
      <t>2022</t>
    </r>
    <r>
      <rPr>
        <sz val="10"/>
        <rFont val="宋体"/>
        <charset val="134"/>
      </rPr>
      <t>〕</t>
    </r>
    <r>
      <rPr>
        <sz val="10"/>
        <rFont val="Arial Narrow"/>
        <charset val="134"/>
      </rPr>
      <t>22</t>
    </r>
    <r>
      <rPr>
        <sz val="10"/>
        <rFont val="宋体"/>
        <charset val="134"/>
      </rPr>
      <t>号）》估算：基本预备费</t>
    </r>
    <r>
      <rPr>
        <sz val="10"/>
        <rFont val="Arial Narrow"/>
        <charset val="134"/>
      </rPr>
      <t>=</t>
    </r>
    <r>
      <rPr>
        <sz val="10"/>
        <rFont val="宋体"/>
        <charset val="134"/>
      </rPr>
      <t>（工程费用</t>
    </r>
    <r>
      <rPr>
        <sz val="10"/>
        <rFont val="Arial Narrow"/>
        <charset val="134"/>
      </rPr>
      <t>+</t>
    </r>
    <r>
      <rPr>
        <sz val="10"/>
        <rFont val="宋体"/>
        <charset val="134"/>
      </rPr>
      <t>工程建设其他费）</t>
    </r>
    <r>
      <rPr>
        <sz val="10"/>
        <rFont val="Arial Narrow"/>
        <charset val="134"/>
      </rPr>
      <t>*</t>
    </r>
    <r>
      <rPr>
        <sz val="10"/>
        <rFont val="宋体"/>
        <charset val="134"/>
      </rPr>
      <t>基本预备费费率</t>
    </r>
  </si>
  <si>
    <t>价差预备费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</si>
</sst>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\ _E_s_c_._-;\-* #,##0.00\ _E_s_c_._-;_-* &quot;-&quot;??\ _E_s_c_._-;_-@_-"/>
    <numFmt numFmtId="177" formatCode="_ &quot;￥&quot;* #,##0.00_ ;_ &quot;￥&quot;* \-#,##0.00_ ;_ &quot;￥&quot;* \-??_ ;_ @_ "/>
    <numFmt numFmtId="178" formatCode="_(* #,##0.00_);_(* \(#,##0.00\);_(* &quot;-&quot;??_);_(@_)"/>
    <numFmt numFmtId="179" formatCode="_(* #,##0_);_(* \(#,##0\);_(* &quot;-&quot;_);_(@_)"/>
    <numFmt numFmtId="180" formatCode="0.00_ "/>
    <numFmt numFmtId="181" formatCode="0.00_);\(0.00\)"/>
    <numFmt numFmtId="182" formatCode="0.00_);[Red]\(0.00\)"/>
  </numFmts>
  <fonts count="49">
    <font>
      <sz val="12"/>
      <name val="宋体"/>
      <charset val="134"/>
    </font>
    <font>
      <sz val="10"/>
      <name val="Arial Narrow"/>
      <charset val="134"/>
    </font>
    <font>
      <b/>
      <sz val="10"/>
      <name val="Arial Narrow"/>
      <charset val="134"/>
    </font>
    <font>
      <sz val="10"/>
      <color rgb="FFFF0000"/>
      <name val="Arial Narrow"/>
      <charset val="134"/>
    </font>
    <font>
      <b/>
      <sz val="10"/>
      <color rgb="FFFF0000"/>
      <name val="Arial Narrow"/>
      <charset val="134"/>
    </font>
    <font>
      <sz val="10"/>
      <name val="宋体"/>
      <charset val="134"/>
    </font>
    <font>
      <sz val="16"/>
      <name val="宋体"/>
      <charset val="134"/>
    </font>
    <font>
      <sz val="16"/>
      <name val="Arial Narrow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2"/>
      <color rgb="FFFF0000"/>
      <name val="Arial Narrow"/>
      <charset val="134"/>
    </font>
    <font>
      <sz val="12"/>
      <name val="Arial Narrow"/>
      <charset val="134"/>
    </font>
    <font>
      <b/>
      <sz val="12"/>
      <name val="Arial Narrow"/>
      <charset val="134"/>
    </font>
    <font>
      <b/>
      <sz val="11"/>
      <name val="Arial Narrow"/>
      <charset val="134"/>
    </font>
    <font>
      <sz val="20"/>
      <color theme="1"/>
      <name val="宋体"/>
      <charset val="134"/>
    </font>
    <font>
      <sz val="20"/>
      <color theme="1"/>
      <name val="Arial Narrow"/>
      <charset val="134"/>
    </font>
    <font>
      <sz val="10"/>
      <color theme="1"/>
      <name val="宋体"/>
      <charset val="134"/>
    </font>
    <font>
      <b/>
      <sz val="12"/>
      <color rgb="FFFF0000"/>
      <name val="Arial Narrow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0"/>
      <name val="Arial"/>
      <charset val="134"/>
    </font>
    <font>
      <sz val="10"/>
      <name val="Helv"/>
      <charset val="134"/>
    </font>
    <font>
      <b/>
      <sz val="10"/>
      <name val="Souvenir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2"/>
      <color indexed="12"/>
      <name val="宋体"/>
      <charset val="134"/>
    </font>
    <font>
      <sz val="11"/>
      <color indexed="17"/>
      <name val="宋体"/>
      <charset val="134"/>
    </font>
    <font>
      <sz val="9"/>
      <color theme="1"/>
      <name val="宋体"/>
      <charset val="134"/>
      <scheme val="minor"/>
    </font>
    <font>
      <vertAlign val="superscript"/>
      <sz val="1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5">
    <xf numFmtId="0" fontId="0" fillId="0" borderId="0"/>
    <xf numFmtId="176" fontId="0" fillId="0" borderId="0" applyFont="0" applyFill="0" applyBorder="0" applyAlignment="0" applyProtection="0"/>
    <xf numFmtId="44" fontId="1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4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6" borderId="12" applyNumberFormat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7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38" fillId="0" borderId="0"/>
    <xf numFmtId="0" fontId="0" fillId="0" borderId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38" fillId="0" borderId="0"/>
    <xf numFmtId="9" fontId="0" fillId="0" borderId="0" applyFont="0" applyFill="0" applyBorder="0" applyAlignment="0" applyProtection="0"/>
    <xf numFmtId="0" fontId="39" fillId="0" borderId="0"/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40" fillId="0" borderId="0"/>
    <xf numFmtId="0" fontId="38" fillId="0" borderId="0"/>
    <xf numFmtId="0" fontId="39" fillId="0" borderId="0"/>
    <xf numFmtId="0" fontId="41" fillId="0" borderId="0"/>
    <xf numFmtId="9" fontId="0" fillId="0" borderId="0" applyFont="0" applyFill="0" applyBorder="0" applyAlignment="0" applyProtection="0"/>
    <xf numFmtId="0" fontId="0" fillId="0" borderId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ill="0" applyBorder="0" applyAlignment="0" applyProtection="0">
      <alignment vertical="top"/>
      <protection locked="0"/>
    </xf>
    <xf numFmtId="0" fontId="46" fillId="36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7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164">
    <xf numFmtId="0" fontId="0" fillId="0" borderId="0" xfId="0"/>
    <xf numFmtId="0" fontId="1" fillId="0" borderId="0" xfId="124" applyFont="1" applyAlignment="1">
      <alignment vertical="center" wrapText="1"/>
    </xf>
    <xf numFmtId="0" fontId="2" fillId="0" borderId="0" xfId="124" applyFont="1" applyAlignment="1">
      <alignment vertical="center" wrapText="1"/>
    </xf>
    <xf numFmtId="0" fontId="3" fillId="0" borderId="0" xfId="124" applyFont="1" applyAlignment="1">
      <alignment vertical="center" wrapText="1"/>
    </xf>
    <xf numFmtId="0" fontId="4" fillId="0" borderId="0" xfId="124" applyFont="1" applyAlignment="1">
      <alignment vertical="center" wrapText="1"/>
    </xf>
    <xf numFmtId="180" fontId="3" fillId="0" borderId="0" xfId="124" applyNumberFormat="1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" xfId="124" applyFont="1" applyFill="1" applyBorder="1" applyAlignment="1">
      <alignment horizontal="center" vertical="center" wrapText="1"/>
    </xf>
    <xf numFmtId="0" fontId="1" fillId="0" borderId="1" xfId="124" applyFont="1" applyFill="1" applyBorder="1" applyAlignment="1">
      <alignment horizontal="center" vertical="center" wrapText="1"/>
    </xf>
    <xf numFmtId="0" fontId="6" fillId="0" borderId="1" xfId="124" applyFont="1" applyFill="1" applyBorder="1" applyAlignment="1">
      <alignment horizontal="center" vertical="center" wrapText="1"/>
    </xf>
    <xf numFmtId="0" fontId="7" fillId="0" borderId="1" xfId="124" applyFont="1" applyFill="1" applyBorder="1" applyAlignment="1">
      <alignment horizontal="center" vertical="center" wrapText="1"/>
    </xf>
    <xf numFmtId="0" fontId="5" fillId="0" borderId="1" xfId="124" applyFont="1" applyFill="1" applyBorder="1" applyAlignment="1">
      <alignment vertical="center" wrapText="1"/>
    </xf>
    <xf numFmtId="0" fontId="5" fillId="0" borderId="1" xfId="124" applyFont="1" applyFill="1" applyBorder="1" applyAlignment="1">
      <alignment horizontal="left" vertical="center" wrapText="1"/>
    </xf>
    <xf numFmtId="180" fontId="5" fillId="0" borderId="1" xfId="124" applyNumberFormat="1" applyFont="1" applyFill="1" applyBorder="1" applyAlignment="1">
      <alignment horizontal="left" vertical="center" wrapText="1"/>
    </xf>
    <xf numFmtId="180" fontId="1" fillId="0" borderId="1" xfId="124" applyNumberFormat="1" applyFont="1" applyFill="1" applyBorder="1" applyAlignment="1">
      <alignment horizontal="left" vertical="center" wrapText="1"/>
    </xf>
    <xf numFmtId="180" fontId="5" fillId="0" borderId="1" xfId="124" applyNumberFormat="1" applyFont="1" applyFill="1" applyBorder="1" applyAlignment="1">
      <alignment vertical="center" wrapText="1"/>
    </xf>
    <xf numFmtId="180" fontId="5" fillId="0" borderId="2" xfId="124" applyNumberFormat="1" applyFont="1" applyFill="1" applyBorder="1" applyAlignment="1">
      <alignment horizontal="center" vertical="center" wrapText="1"/>
    </xf>
    <xf numFmtId="0" fontId="5" fillId="0" borderId="2" xfId="124" applyFont="1" applyFill="1" applyBorder="1" applyAlignment="1">
      <alignment horizontal="center" vertical="center" wrapText="1"/>
    </xf>
    <xf numFmtId="180" fontId="1" fillId="0" borderId="3" xfId="124" applyNumberFormat="1" applyFont="1" applyFill="1" applyBorder="1" applyAlignment="1">
      <alignment horizontal="center" vertical="center" wrapText="1"/>
    </xf>
    <xf numFmtId="0" fontId="1" fillId="0" borderId="3" xfId="124" applyFont="1" applyFill="1" applyBorder="1" applyAlignment="1">
      <alignment horizontal="center" vertical="center" wrapText="1"/>
    </xf>
    <xf numFmtId="0" fontId="8" fillId="0" borderId="1" xfId="124" applyFont="1" applyFill="1" applyBorder="1" applyAlignment="1">
      <alignment horizontal="center" vertical="center" wrapText="1"/>
    </xf>
    <xf numFmtId="0" fontId="8" fillId="0" borderId="1" xfId="124" applyFont="1" applyFill="1" applyBorder="1" applyAlignment="1">
      <alignment horizontal="left" vertical="center" wrapText="1"/>
    </xf>
    <xf numFmtId="180" fontId="2" fillId="0" borderId="3" xfId="124" applyNumberFormat="1" applyFont="1" applyFill="1" applyBorder="1" applyAlignment="1">
      <alignment horizontal="center" vertical="center" wrapText="1"/>
    </xf>
    <xf numFmtId="0" fontId="2" fillId="0" borderId="3" xfId="124" applyFont="1" applyFill="1" applyBorder="1" applyAlignment="1">
      <alignment horizontal="center" vertical="center" wrapText="1"/>
    </xf>
    <xf numFmtId="180" fontId="2" fillId="0" borderId="1" xfId="124" applyNumberFormat="1" applyFont="1" applyFill="1" applyBorder="1" applyAlignment="1">
      <alignment horizontal="center" vertical="center" wrapText="1"/>
    </xf>
    <xf numFmtId="180" fontId="1" fillId="0" borderId="1" xfId="124" applyNumberFormat="1" applyFont="1" applyFill="1" applyBorder="1" applyAlignment="1">
      <alignment horizontal="center" vertical="center" wrapText="1"/>
    </xf>
    <xf numFmtId="10" fontId="1" fillId="0" borderId="1" xfId="124" applyNumberFormat="1" applyFont="1" applyFill="1" applyBorder="1" applyAlignment="1">
      <alignment horizontal="center" vertical="center" wrapText="1"/>
    </xf>
    <xf numFmtId="180" fontId="1" fillId="0" borderId="4" xfId="124" applyNumberFormat="1" applyFont="1" applyFill="1" applyBorder="1" applyAlignment="1">
      <alignment horizontal="center" vertical="center" wrapText="1"/>
    </xf>
    <xf numFmtId="180" fontId="1" fillId="0" borderId="5" xfId="124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80" fontId="1" fillId="0" borderId="6" xfId="124" applyNumberFormat="1" applyFont="1" applyFill="1" applyBorder="1" applyAlignment="1">
      <alignment horizontal="center" vertical="center" wrapText="1"/>
    </xf>
    <xf numFmtId="180" fontId="1" fillId="0" borderId="7" xfId="124" applyNumberFormat="1" applyFont="1" applyFill="1" applyBorder="1" applyAlignment="1">
      <alignment horizontal="center" vertical="center" wrapText="1"/>
    </xf>
    <xf numFmtId="180" fontId="5" fillId="0" borderId="6" xfId="124" applyNumberFormat="1" applyFont="1" applyFill="1" applyBorder="1" applyAlignment="1">
      <alignment horizontal="center" vertical="center" wrapText="1"/>
    </xf>
    <xf numFmtId="0" fontId="5" fillId="0" borderId="6" xfId="124" applyFont="1" applyFill="1" applyBorder="1" applyAlignment="1">
      <alignment horizontal="left" vertical="center" wrapText="1"/>
    </xf>
    <xf numFmtId="0" fontId="1" fillId="0" borderId="7" xfId="124" applyFont="1" applyFill="1" applyBorder="1" applyAlignment="1">
      <alignment horizontal="left" vertical="center" wrapText="1"/>
    </xf>
    <xf numFmtId="0" fontId="3" fillId="0" borderId="1" xfId="124" applyFont="1" applyFill="1" applyBorder="1" applyAlignment="1">
      <alignment horizontal="center" vertical="center" wrapText="1"/>
    </xf>
    <xf numFmtId="0" fontId="9" fillId="0" borderId="1" xfId="124" applyFont="1" applyFill="1" applyBorder="1" applyAlignment="1">
      <alignment vertical="center" wrapText="1"/>
    </xf>
    <xf numFmtId="180" fontId="3" fillId="0" borderId="1" xfId="124" applyNumberFormat="1" applyFont="1" applyFill="1" applyBorder="1" applyAlignment="1">
      <alignment horizontal="center" vertical="center" wrapText="1"/>
    </xf>
    <xf numFmtId="10" fontId="3" fillId="0" borderId="1" xfId="124" applyNumberFormat="1" applyFont="1" applyFill="1" applyBorder="1" applyAlignment="1">
      <alignment horizontal="center" vertical="center" wrapText="1"/>
    </xf>
    <xf numFmtId="0" fontId="9" fillId="0" borderId="6" xfId="124" applyFont="1" applyFill="1" applyBorder="1" applyAlignment="1">
      <alignment horizontal="left" vertical="center" wrapText="1"/>
    </xf>
    <xf numFmtId="0" fontId="3" fillId="0" borderId="7" xfId="124" applyFont="1" applyFill="1" applyBorder="1" applyAlignment="1">
      <alignment horizontal="left" vertical="center" wrapText="1"/>
    </xf>
    <xf numFmtId="180" fontId="1" fillId="2" borderId="1" xfId="124" applyNumberFormat="1" applyFont="1" applyFill="1" applyBorder="1" applyAlignment="1">
      <alignment horizontal="center" vertical="center" wrapText="1"/>
    </xf>
    <xf numFmtId="0" fontId="5" fillId="3" borderId="1" xfId="124" applyFont="1" applyFill="1" applyBorder="1" applyAlignment="1">
      <alignment vertical="center" wrapText="1"/>
    </xf>
    <xf numFmtId="10" fontId="5" fillId="3" borderId="1" xfId="124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9" fillId="0" borderId="1" xfId="124" applyFont="1" applyFill="1" applyBorder="1" applyAlignment="1">
      <alignment vertical="center"/>
    </xf>
    <xf numFmtId="0" fontId="5" fillId="0" borderId="1" xfId="124" applyFont="1" applyFill="1" applyBorder="1" applyAlignment="1">
      <alignment vertical="center"/>
    </xf>
    <xf numFmtId="180" fontId="3" fillId="0" borderId="4" xfId="124" applyNumberFormat="1" applyFont="1" applyFill="1" applyBorder="1" applyAlignment="1">
      <alignment horizontal="center" vertical="center" wrapText="1"/>
    </xf>
    <xf numFmtId="180" fontId="3" fillId="0" borderId="5" xfId="124" applyNumberFormat="1" applyFont="1" applyFill="1" applyBorder="1" applyAlignment="1">
      <alignment horizontal="center" vertical="center" wrapText="1"/>
    </xf>
    <xf numFmtId="0" fontId="3" fillId="0" borderId="6" xfId="124" applyFont="1" applyBorder="1" applyAlignment="1">
      <alignment horizontal="center" vertical="center" wrapText="1"/>
    </xf>
    <xf numFmtId="0" fontId="3" fillId="0" borderId="7" xfId="124" applyFont="1" applyBorder="1" applyAlignment="1">
      <alignment horizontal="left" vertical="center" wrapText="1"/>
    </xf>
    <xf numFmtId="0" fontId="9" fillId="0" borderId="6" xfId="124" applyFont="1" applyBorder="1" applyAlignment="1">
      <alignment horizontal="center" vertical="center" wrapText="1"/>
    </xf>
    <xf numFmtId="0" fontId="5" fillId="0" borderId="7" xfId="124" applyFont="1" applyFill="1" applyBorder="1" applyAlignment="1">
      <alignment horizontal="left" vertical="center" wrapText="1"/>
    </xf>
    <xf numFmtId="10" fontId="1" fillId="3" borderId="1" xfId="124" applyNumberFormat="1" applyFont="1" applyFill="1" applyBorder="1" applyAlignment="1">
      <alignment horizontal="center" vertical="center" wrapText="1"/>
    </xf>
    <xf numFmtId="0" fontId="1" fillId="0" borderId="1" xfId="124" applyFont="1" applyBorder="1" applyAlignment="1">
      <alignment horizontal="center" vertical="center" wrapText="1"/>
    </xf>
    <xf numFmtId="180" fontId="1" fillId="0" borderId="1" xfId="124" applyNumberFormat="1" applyFont="1" applyBorder="1" applyAlignment="1">
      <alignment horizontal="center" vertical="center" wrapText="1"/>
    </xf>
    <xf numFmtId="10" fontId="1" fillId="0" borderId="1" xfId="124" applyNumberFormat="1" applyFont="1" applyBorder="1" applyAlignment="1">
      <alignment horizontal="center" vertical="center" wrapText="1"/>
    </xf>
    <xf numFmtId="180" fontId="5" fillId="0" borderId="1" xfId="124" applyNumberFormat="1" applyFont="1" applyBorder="1" applyAlignment="1">
      <alignment horizontal="left" vertical="center" wrapText="1"/>
    </xf>
    <xf numFmtId="180" fontId="1" fillId="0" borderId="1" xfId="124" applyNumberFormat="1" applyFont="1" applyBorder="1" applyAlignment="1">
      <alignment horizontal="left" vertical="center" wrapText="1"/>
    </xf>
    <xf numFmtId="0" fontId="1" fillId="0" borderId="0" xfId="124" applyFont="1" applyAlignment="1">
      <alignment horizontal="center" vertical="center" wrapText="1"/>
    </xf>
    <xf numFmtId="0" fontId="2" fillId="0" borderId="0" xfId="124" applyFont="1" applyAlignment="1">
      <alignment horizontal="center" vertical="center" wrapText="1"/>
    </xf>
    <xf numFmtId="0" fontId="5" fillId="0" borderId="0" xfId="124" applyFont="1" applyAlignment="1">
      <alignment horizontal="center" vertical="center" wrapText="1"/>
    </xf>
    <xf numFmtId="0" fontId="9" fillId="0" borderId="0" xfId="124" applyFont="1" applyAlignment="1">
      <alignment horizontal="center" vertical="center" wrapText="1"/>
    </xf>
    <xf numFmtId="0" fontId="3" fillId="0" borderId="0" xfId="124" applyFont="1" applyAlignment="1">
      <alignment horizontal="center" vertical="center" wrapText="1"/>
    </xf>
    <xf numFmtId="10" fontId="1" fillId="0" borderId="0" xfId="124" applyNumberFormat="1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1" xfId="124" applyFont="1" applyBorder="1" applyAlignment="1">
      <alignment horizontal="center" vertical="center" wrapText="1"/>
    </xf>
    <xf numFmtId="180" fontId="3" fillId="0" borderId="1" xfId="124" applyNumberFormat="1" applyFont="1" applyBorder="1" applyAlignment="1">
      <alignment vertical="center" wrapText="1"/>
    </xf>
    <xf numFmtId="180" fontId="9" fillId="0" borderId="1" xfId="124" applyNumberFormat="1" applyFont="1" applyBorder="1" applyAlignment="1">
      <alignment horizontal="left" vertical="center" wrapText="1"/>
    </xf>
    <xf numFmtId="180" fontId="3" fillId="0" borderId="1" xfId="124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180" fontId="2" fillId="0" borderId="1" xfId="0" applyNumberFormat="1" applyFont="1" applyBorder="1" applyAlignment="1">
      <alignment horizontal="center" vertical="center"/>
    </xf>
    <xf numFmtId="180" fontId="4" fillId="0" borderId="1" xfId="124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80" fontId="1" fillId="0" borderId="1" xfId="0" applyNumberFormat="1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80" fontId="5" fillId="0" borderId="1" xfId="124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80" fontId="3" fillId="0" borderId="1" xfId="124" applyNumberFormat="1" applyFont="1" applyBorder="1" applyAlignment="1">
      <alignment horizontal="center" vertical="center" wrapText="1"/>
    </xf>
    <xf numFmtId="0" fontId="3" fillId="0" borderId="1" xfId="124" applyFont="1" applyBorder="1" applyAlignment="1">
      <alignment vertical="center" wrapText="1"/>
    </xf>
    <xf numFmtId="0" fontId="8" fillId="0" borderId="1" xfId="124" applyFont="1" applyBorder="1" applyAlignment="1">
      <alignment vertical="center" wrapText="1"/>
    </xf>
    <xf numFmtId="180" fontId="2" fillId="0" borderId="1" xfId="124" applyNumberFormat="1" applyFont="1" applyBorder="1" applyAlignment="1">
      <alignment vertical="center" wrapText="1"/>
    </xf>
    <xf numFmtId="0" fontId="2" fillId="0" borderId="1" xfId="124" applyFont="1" applyBorder="1" applyAlignment="1">
      <alignment vertical="center" wrapText="1"/>
    </xf>
    <xf numFmtId="180" fontId="2" fillId="0" borderId="1" xfId="124" applyNumberFormat="1" applyFont="1" applyBorder="1" applyAlignment="1">
      <alignment horizontal="center" vertical="center" wrapText="1"/>
    </xf>
    <xf numFmtId="0" fontId="5" fillId="0" borderId="1" xfId="124" applyFont="1" applyBorder="1" applyAlignment="1">
      <alignment vertical="center" wrapText="1"/>
    </xf>
    <xf numFmtId="180" fontId="1" fillId="0" borderId="1" xfId="124" applyNumberFormat="1" applyFont="1" applyBorder="1" applyAlignment="1">
      <alignment vertical="center" wrapText="1"/>
    </xf>
    <xf numFmtId="0" fontId="1" fillId="0" borderId="1" xfId="124" applyFont="1" applyBorder="1" applyAlignment="1">
      <alignment vertical="center" wrapText="1"/>
    </xf>
    <xf numFmtId="0" fontId="4" fillId="0" borderId="0" xfId="0" applyFont="1" applyAlignment="1">
      <alignment wrapText="1"/>
    </xf>
    <xf numFmtId="0" fontId="10" fillId="0" borderId="0" xfId="79" applyFont="1" applyFill="1">
      <alignment vertical="center"/>
    </xf>
    <xf numFmtId="0" fontId="11" fillId="0" borderId="0" xfId="79" applyFont="1" applyFill="1">
      <alignment vertical="center"/>
    </xf>
    <xf numFmtId="0" fontId="12" fillId="0" borderId="0" xfId="79" applyFont="1" applyFill="1">
      <alignment vertical="center"/>
    </xf>
    <xf numFmtId="0" fontId="13" fillId="0" borderId="0" xfId="79" applyFont="1" applyFill="1">
      <alignment vertical="center"/>
    </xf>
    <xf numFmtId="0" fontId="2" fillId="0" borderId="0" xfId="79" applyFont="1" applyFill="1">
      <alignment vertical="center"/>
    </xf>
    <xf numFmtId="0" fontId="1" fillId="0" borderId="0" xfId="79" applyFont="1" applyFill="1">
      <alignment vertical="center"/>
    </xf>
    <xf numFmtId="0" fontId="11" fillId="0" borderId="0" xfId="79" applyFont="1" applyFill="1" applyAlignment="1">
      <alignment horizontal="center" vertical="center"/>
    </xf>
    <xf numFmtId="0" fontId="12" fillId="0" borderId="0" xfId="79" applyFont="1" applyFill="1" applyAlignment="1">
      <alignment horizontal="center" vertical="center"/>
    </xf>
    <xf numFmtId="0" fontId="2" fillId="0" borderId="0" xfId="79" applyFont="1" applyFill="1" applyAlignment="1">
      <alignment horizontal="center" vertical="center"/>
    </xf>
    <xf numFmtId="181" fontId="10" fillId="0" borderId="0" xfId="79" applyNumberFormat="1" applyFont="1" applyFill="1">
      <alignment vertical="center"/>
    </xf>
    <xf numFmtId="0" fontId="14" fillId="0" borderId="0" xfId="79" applyFont="1" applyFill="1" applyAlignment="1">
      <alignment horizontal="center" vertical="center"/>
    </xf>
    <xf numFmtId="0" fontId="15" fillId="0" borderId="0" xfId="79" applyFont="1" applyFill="1" applyAlignment="1">
      <alignment horizontal="center" vertical="center"/>
    </xf>
    <xf numFmtId="0" fontId="16" fillId="0" borderId="0" xfId="79" applyFont="1" applyFill="1" applyAlignment="1">
      <alignment horizontal="left" vertical="center"/>
    </xf>
    <xf numFmtId="0" fontId="5" fillId="0" borderId="1" xfId="79" applyFont="1" applyFill="1" applyBorder="1" applyAlignment="1">
      <alignment horizontal="center" vertical="center" textRotation="255"/>
    </xf>
    <xf numFmtId="0" fontId="5" fillId="0" borderId="2" xfId="79" applyFont="1" applyFill="1" applyBorder="1" applyAlignment="1">
      <alignment horizontal="center" vertical="center" textRotation="255"/>
    </xf>
    <xf numFmtId="0" fontId="5" fillId="0" borderId="2" xfId="74" applyFont="1" applyBorder="1" applyAlignment="1">
      <alignment horizontal="center" vertical="center"/>
    </xf>
    <xf numFmtId="0" fontId="5" fillId="0" borderId="2" xfId="74" applyFont="1" applyBorder="1" applyAlignment="1">
      <alignment horizontal="center" vertical="center" wrapText="1"/>
    </xf>
    <xf numFmtId="181" fontId="5" fillId="0" borderId="2" xfId="79" applyNumberFormat="1" applyFont="1" applyFill="1" applyBorder="1" applyAlignment="1">
      <alignment horizontal="center" vertical="center" wrapText="1"/>
    </xf>
    <xf numFmtId="181" fontId="5" fillId="0" borderId="1" xfId="79" applyNumberFormat="1" applyFont="1" applyFill="1" applyBorder="1" applyAlignment="1">
      <alignment horizontal="center" vertical="center" wrapText="1"/>
    </xf>
    <xf numFmtId="181" fontId="1" fillId="0" borderId="1" xfId="79" applyNumberFormat="1" applyFont="1" applyFill="1" applyBorder="1" applyAlignment="1">
      <alignment horizontal="center" vertical="center" wrapText="1"/>
    </xf>
    <xf numFmtId="0" fontId="5" fillId="0" borderId="2" xfId="79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center" textRotation="255"/>
    </xf>
    <xf numFmtId="0" fontId="1" fillId="0" borderId="3" xfId="79" applyFont="1" applyFill="1" applyBorder="1" applyAlignment="1">
      <alignment horizontal="center" vertical="center" textRotation="255"/>
    </xf>
    <xf numFmtId="0" fontId="1" fillId="0" borderId="3" xfId="74" applyFont="1" applyBorder="1" applyAlignment="1">
      <alignment horizontal="center" vertical="center"/>
    </xf>
    <xf numFmtId="0" fontId="1" fillId="0" borderId="3" xfId="74" applyFont="1" applyBorder="1" applyAlignment="1">
      <alignment horizontal="center" vertical="center" wrapText="1"/>
    </xf>
    <xf numFmtId="181" fontId="1" fillId="0" borderId="3" xfId="79" applyNumberFormat="1" applyFont="1" applyFill="1" applyBorder="1" applyAlignment="1">
      <alignment horizontal="center" vertical="center" wrapText="1"/>
    </xf>
    <xf numFmtId="0" fontId="5" fillId="0" borderId="1" xfId="79" applyFont="1" applyFill="1" applyBorder="1" applyAlignment="1">
      <alignment horizontal="center" vertical="center" wrapText="1"/>
    </xf>
    <xf numFmtId="0" fontId="1" fillId="0" borderId="3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/>
    </xf>
    <xf numFmtId="0" fontId="2" fillId="0" borderId="3" xfId="79" applyFont="1" applyFill="1" applyBorder="1" applyAlignment="1">
      <alignment horizontal="center" vertical="center"/>
    </xf>
    <xf numFmtId="0" fontId="8" fillId="0" borderId="3" xfId="74" applyFont="1" applyBorder="1" applyAlignment="1">
      <alignment horizontal="left" vertical="center"/>
    </xf>
    <xf numFmtId="0" fontId="2" fillId="0" borderId="3" xfId="74" applyFont="1" applyBorder="1" applyAlignment="1">
      <alignment horizontal="center" vertical="center"/>
    </xf>
    <xf numFmtId="181" fontId="2" fillId="0" borderId="3" xfId="79" applyNumberFormat="1" applyFont="1" applyFill="1" applyBorder="1" applyAlignment="1">
      <alignment horizontal="center" vertical="center" wrapText="1"/>
    </xf>
    <xf numFmtId="0" fontId="8" fillId="0" borderId="3" xfId="74" applyFont="1" applyBorder="1" applyAlignment="1">
      <alignment horizontal="left" vertical="center" wrapText="1"/>
    </xf>
    <xf numFmtId="0" fontId="8" fillId="0" borderId="1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left" vertical="center" wrapText="1"/>
    </xf>
    <xf numFmtId="181" fontId="2" fillId="0" borderId="1" xfId="79" applyNumberFormat="1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center" wrapText="1"/>
    </xf>
    <xf numFmtId="0" fontId="5" fillId="0" borderId="1" xfId="79" applyFont="1" applyFill="1" applyBorder="1" applyAlignment="1">
      <alignment horizontal="left" vertical="center" wrapText="1"/>
    </xf>
    <xf numFmtId="49" fontId="8" fillId="0" borderId="1" xfId="79" applyNumberFormat="1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8" fillId="0" borderId="1" xfId="79" applyFont="1" applyFill="1" applyBorder="1" applyAlignment="1">
      <alignment horizontal="left" vertical="center" wrapText="1"/>
    </xf>
    <xf numFmtId="49" fontId="5" fillId="0" borderId="1" xfId="79" applyNumberFormat="1" applyFont="1" applyFill="1" applyBorder="1" applyAlignment="1">
      <alignment horizontal="center" vertical="center" wrapText="1"/>
    </xf>
    <xf numFmtId="49" fontId="1" fillId="0" borderId="1" xfId="79" applyNumberFormat="1" applyFont="1" applyFill="1" applyBorder="1" applyAlignment="1">
      <alignment horizontal="center" vertical="center" wrapText="1"/>
    </xf>
    <xf numFmtId="0" fontId="1" fillId="0" borderId="1" xfId="79" applyFont="1" applyFill="1" applyBorder="1" applyAlignment="1">
      <alignment horizontal="center" vertical="top" wrapText="1"/>
    </xf>
    <xf numFmtId="0" fontId="1" fillId="0" borderId="1" xfId="79" applyFont="1" applyFill="1" applyBorder="1" applyAlignment="1">
      <alignment horizontal="center" wrapText="1"/>
    </xf>
    <xf numFmtId="182" fontId="1" fillId="0" borderId="1" xfId="79" applyNumberFormat="1" applyFont="1" applyFill="1" applyBorder="1" applyAlignment="1">
      <alignment horizontal="center" vertical="center"/>
    </xf>
    <xf numFmtId="0" fontId="8" fillId="0" borderId="1" xfId="79" applyFont="1" applyFill="1" applyBorder="1" applyAlignment="1">
      <alignment horizontal="justify" vertical="center" wrapText="1"/>
    </xf>
    <xf numFmtId="0" fontId="2" fillId="0" borderId="1" xfId="79" applyFont="1" applyFill="1" applyBorder="1" applyAlignment="1">
      <alignment horizontal="center" wrapText="1"/>
    </xf>
    <xf numFmtId="0" fontId="5" fillId="0" borderId="1" xfId="79" applyFont="1" applyFill="1" applyBorder="1" applyAlignment="1">
      <alignment horizontal="justify" vertical="center" wrapText="1"/>
    </xf>
    <xf numFmtId="180" fontId="2" fillId="0" borderId="1" xfId="79" applyNumberFormat="1" applyFont="1" applyFill="1" applyBorder="1" applyAlignment="1">
      <alignment horizontal="center" vertical="center" wrapText="1"/>
    </xf>
    <xf numFmtId="0" fontId="5" fillId="0" borderId="1" xfId="79" applyFont="1" applyFill="1" applyBorder="1" applyAlignment="1">
      <alignment horizontal="justify" vertical="center" wrapText="1"/>
    </xf>
    <xf numFmtId="0" fontId="1" fillId="0" borderId="3" xfId="79" applyFont="1" applyFill="1" applyBorder="1" applyAlignment="1">
      <alignment horizontal="center" vertical="center"/>
    </xf>
    <xf numFmtId="10" fontId="2" fillId="0" borderId="3" xfId="79" applyNumberFormat="1" applyFont="1" applyFill="1" applyBorder="1" applyAlignment="1">
      <alignment horizontal="center" vertical="center"/>
    </xf>
    <xf numFmtId="10" fontId="1" fillId="0" borderId="3" xfId="79" applyNumberFormat="1" applyFont="1" applyFill="1" applyBorder="1" applyAlignment="1">
      <alignment horizontal="center" vertical="center"/>
    </xf>
    <xf numFmtId="0" fontId="5" fillId="0" borderId="0" xfId="79" applyFont="1" applyFill="1">
      <alignment vertical="center"/>
    </xf>
    <xf numFmtId="10" fontId="1" fillId="0" borderId="0" xfId="79" applyNumberFormat="1" applyFont="1" applyFill="1">
      <alignment vertical="center"/>
    </xf>
    <xf numFmtId="10" fontId="2" fillId="0" borderId="1" xfId="79" applyNumberFormat="1" applyFont="1" applyFill="1" applyBorder="1" applyAlignment="1">
      <alignment horizontal="center" vertical="center"/>
    </xf>
    <xf numFmtId="10" fontId="1" fillId="0" borderId="1" xfId="79" applyNumberFormat="1" applyFont="1" applyFill="1" applyBorder="1" applyAlignment="1">
      <alignment horizontal="center" vertical="center"/>
    </xf>
    <xf numFmtId="182" fontId="1" fillId="0" borderId="1" xfId="79" applyNumberFormat="1" applyFont="1" applyFill="1" applyBorder="1" applyAlignment="1">
      <alignment horizontal="center" vertical="center" wrapText="1"/>
    </xf>
    <xf numFmtId="182" fontId="2" fillId="0" borderId="1" xfId="79" applyNumberFormat="1" applyFont="1" applyFill="1" applyBorder="1" applyAlignment="1">
      <alignment horizontal="center" vertical="center" wrapText="1"/>
    </xf>
    <xf numFmtId="180" fontId="2" fillId="0" borderId="1" xfId="79" applyNumberFormat="1" applyFont="1" applyFill="1" applyBorder="1" applyAlignment="1">
      <alignment horizontal="center" vertical="center"/>
    </xf>
    <xf numFmtId="180" fontId="1" fillId="0" borderId="1" xfId="79" applyNumberFormat="1" applyFont="1" applyFill="1" applyBorder="1" applyAlignment="1">
      <alignment horizontal="center" vertical="center"/>
    </xf>
    <xf numFmtId="182" fontId="2" fillId="0" borderId="1" xfId="79" applyNumberFormat="1" applyFont="1" applyFill="1" applyBorder="1" applyAlignment="1">
      <alignment horizontal="center" vertical="center"/>
    </xf>
    <xf numFmtId="0" fontId="17" fillId="0" borderId="0" xfId="79" applyFont="1" applyFill="1" applyAlignment="1">
      <alignment horizontal="center" vertical="center"/>
    </xf>
    <xf numFmtId="0" fontId="10" fillId="0" borderId="0" xfId="79" applyFont="1" applyFill="1" applyAlignment="1">
      <alignment horizontal="center" vertical="center"/>
    </xf>
    <xf numFmtId="0" fontId="4" fillId="0" borderId="0" xfId="79" applyFont="1" applyFill="1" applyAlignment="1">
      <alignment horizontal="center" vertical="center"/>
    </xf>
  </cellXfs>
  <cellStyles count="1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货币 2 6" xfId="49"/>
    <cellStyle name="千位分隔 2 6" xfId="50"/>
    <cellStyle name="百分比 8" xfId="51"/>
    <cellStyle name="常规 6" xfId="52"/>
    <cellStyle name="百分比 2" xfId="53"/>
    <cellStyle name="百分比 7" xfId="54"/>
    <cellStyle name="_ET_STYLE_NoName_00_" xfId="55"/>
    <cellStyle name="常规 10_111" xfId="56"/>
    <cellStyle name="百分比 2 2" xfId="57"/>
    <cellStyle name="百分比 4" xfId="58"/>
    <cellStyle name="0,0_x000d__x000a_NA_x000d__x000a_" xfId="59"/>
    <cellStyle name="百分比 5" xfId="60"/>
    <cellStyle name="一般_0001-001" xfId="61"/>
    <cellStyle name="百分比 6" xfId="62"/>
    <cellStyle name="百分比 9" xfId="63"/>
    <cellStyle name="常规 13 5" xfId="64"/>
    <cellStyle name="千分位_投资估算" xfId="65"/>
    <cellStyle name="_Support car quotation" xfId="66"/>
    <cellStyle name="0,0_x000a__x000a_NA_x000a__x000a_" xfId="67"/>
    <cellStyle name="Normal_@ ProLiant - Templates" xfId="68"/>
    <cellStyle name="Price Header" xfId="69"/>
    <cellStyle name="百分比 3" xfId="70"/>
    <cellStyle name="標準_Support car quotation" xfId="71"/>
    <cellStyle name="差_111" xfId="72"/>
    <cellStyle name="差_表格(铜川印台）" xfId="73"/>
    <cellStyle name="常规 10" xfId="74"/>
    <cellStyle name="常规 10 2" xfId="75"/>
    <cellStyle name="常规 10 3" xfId="76"/>
    <cellStyle name="常规 10 4" xfId="77"/>
    <cellStyle name="常规 10 5" xfId="78"/>
    <cellStyle name="常规 11" xfId="79"/>
    <cellStyle name="常规 11 2" xfId="80"/>
    <cellStyle name="常规 11 3" xfId="81"/>
    <cellStyle name="常规 11 4" xfId="82"/>
    <cellStyle name="常规 11 5" xfId="83"/>
    <cellStyle name="常规 11 6" xfId="84"/>
    <cellStyle name="常规 11_111" xfId="85"/>
    <cellStyle name="常规 12" xfId="86"/>
    <cellStyle name="常规 12 2" xfId="87"/>
    <cellStyle name="常规 12 3" xfId="88"/>
    <cellStyle name="常规 12 4" xfId="89"/>
    <cellStyle name="常规 12 5" xfId="90"/>
    <cellStyle name="常规 12 6" xfId="91"/>
    <cellStyle name="常规 12 7" xfId="92"/>
    <cellStyle name="常规 12 8" xfId="93"/>
    <cellStyle name="常规 13" xfId="94"/>
    <cellStyle name="常规 13 2" xfId="95"/>
    <cellStyle name="常规 13 3" xfId="96"/>
    <cellStyle name="常规 13 4" xfId="97"/>
    <cellStyle name="常规 13 6" xfId="98"/>
    <cellStyle name="常规 13 7" xfId="99"/>
    <cellStyle name="常规 13 8" xfId="100"/>
    <cellStyle name="常规 14" xfId="101"/>
    <cellStyle name="常规 15" xfId="102"/>
    <cellStyle name="常规 20" xfId="103"/>
    <cellStyle name="常规 16" xfId="104"/>
    <cellStyle name="常规 21" xfId="105"/>
    <cellStyle name="常规 17" xfId="106"/>
    <cellStyle name="常规 22" xfId="107"/>
    <cellStyle name="常规 18" xfId="108"/>
    <cellStyle name="常规 23" xfId="109"/>
    <cellStyle name="常规 2" xfId="110"/>
    <cellStyle name="常规 2 2" xfId="111"/>
    <cellStyle name="常规 24" xfId="112"/>
    <cellStyle name="常规 25" xfId="113"/>
    <cellStyle name="常规 3" xfId="114"/>
    <cellStyle name="常规 4" xfId="115"/>
    <cellStyle name="常规 4 2" xfId="116"/>
    <cellStyle name="常规 4_111" xfId="117"/>
    <cellStyle name="常规 5" xfId="118"/>
    <cellStyle name="常规 7" xfId="119"/>
    <cellStyle name="常规 8" xfId="120"/>
    <cellStyle name="常规 9" xfId="121"/>
    <cellStyle name="常规 9 2" xfId="122"/>
    <cellStyle name="常规_标准(Ⅲ)输出版" xfId="123"/>
    <cellStyle name="常规_太原小马估算4.11" xfId="124"/>
    <cellStyle name="常规_太原小马估算4.11 2" xfId="125"/>
    <cellStyle name="超链接 2" xfId="126"/>
    <cellStyle name="好_111" xfId="127"/>
    <cellStyle name="好_表格(铜川印台）" xfId="128"/>
    <cellStyle name="货币 2" xfId="129"/>
    <cellStyle name="货币 3 7" xfId="130"/>
    <cellStyle name="货币 2 2" xfId="131"/>
    <cellStyle name="货币 2 3" xfId="132"/>
    <cellStyle name="货币 2 4" xfId="133"/>
    <cellStyle name="货币 2 5" xfId="134"/>
    <cellStyle name="货币 2 7" xfId="135"/>
    <cellStyle name="千位[0]_Sheet1" xfId="136"/>
    <cellStyle name="货币 2 8" xfId="137"/>
    <cellStyle name="货币 3" xfId="138"/>
    <cellStyle name="货币 3 8" xfId="139"/>
    <cellStyle name="货币 3 2" xfId="140"/>
    <cellStyle name="货币 3 3" xfId="141"/>
    <cellStyle name="货币 3 4" xfId="142"/>
    <cellStyle name="货币 3 5" xfId="143"/>
    <cellStyle name="货币 3 6" xfId="144"/>
    <cellStyle name="千分位[0]_投资估算" xfId="145"/>
    <cellStyle name="千位_Sheet1" xfId="146"/>
    <cellStyle name="千位分隔 2" xfId="147"/>
    <cellStyle name="千位分隔 2 2" xfId="148"/>
    <cellStyle name="千位分隔 2 3" xfId="149"/>
    <cellStyle name="千位分隔 2 4" xfId="150"/>
    <cellStyle name="千位分隔 2 5" xfId="151"/>
    <cellStyle name="Normal" xfId="152"/>
    <cellStyle name="千位分隔 2 7" xfId="153"/>
    <cellStyle name="千位分隔 2 8" xfId="154"/>
  </cellStyles>
  <tableStyles count="0" defaultTableStyle="TableStyleMedium2" defaultPivotStyle="PivotStyleLight16"/>
  <colors>
    <mruColors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6328233657858"/>
          <c:y val="0.152188187399455"/>
          <c:w val="0.472183588317107"/>
          <c:h val="0.791375291375291"/>
        </c:manualLayout>
      </c:layout>
      <c:pieChart>
        <c:varyColors val="1"/>
        <c:ser>
          <c:idx val="0"/>
          <c:order val="0"/>
          <c:spPr/>
          <c:explosion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explosion val="23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explosion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2"/>
              <c:layout>
                <c:manualLayout>
                  <c:x val="0.00548597036390478"/>
                  <c:y val="-0.128348026627149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0.113875396559382"/>
                  <c:y val="0.0432847229538101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 </c:separator>
            <c:showLeaderLines val="1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总投资概算表!$M$15:$M$20</c:f>
              <c:strCache>
                <c:ptCount val="6"/>
                <c:pt idx="0">
                  <c:v>设备购置费</c:v>
                </c:pt>
                <c:pt idx="1">
                  <c:v>安装工程费</c:v>
                </c:pt>
                <c:pt idx="2">
                  <c:v>建筑工程费</c:v>
                </c:pt>
                <c:pt idx="4">
                  <c:v>工程建设其他费用</c:v>
                </c:pt>
                <c:pt idx="5">
                  <c:v>铺底流动资金</c:v>
                </c:pt>
              </c:strCache>
            </c:strRef>
          </c:cat>
          <c:val>
            <c:numRef>
              <c:f>总投资概算表!$N$15:$N$20</c:f>
              <c:numCache>
                <c:formatCode>0.00%</c:formatCode>
                <c:ptCount val="6"/>
                <c:pt idx="0">
                  <c:v>0.177621049890475</c:v>
                </c:pt>
                <c:pt idx="1">
                  <c:v>0.190966842171697</c:v>
                </c:pt>
                <c:pt idx="2">
                  <c:v>0.329884888721515</c:v>
                </c:pt>
                <c:pt idx="4">
                  <c:v>0.257796887126582</c:v>
                </c:pt>
                <c:pt idx="5">
                  <c:v>0.0150422420524227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3504867872044"/>
          <c:y val="0.111888111888112"/>
          <c:w val="0.241029207232267"/>
          <c:h val="0.761072261072261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11</xdr:col>
      <xdr:colOff>520700</xdr:colOff>
      <xdr:row>24</xdr:row>
      <xdr:rowOff>107315</xdr:rowOff>
    </xdr:from>
    <xdr:to>
      <xdr:col>17</xdr:col>
      <xdr:colOff>34925</xdr:colOff>
      <xdr:row>33</xdr:row>
      <xdr:rowOff>35560</xdr:rowOff>
    </xdr:to>
    <xdr:graphicFrame>
      <xdr:nvGraphicFramePr>
        <xdr:cNvPr id="3" name="图表 2"/>
        <xdr:cNvGraphicFramePr/>
      </xdr:nvGraphicFramePr>
      <xdr:xfrm>
        <a:off x="9227820" y="6101715"/>
        <a:ext cx="5076825" cy="187134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jishujingji\Excel\guoneitouzixiangmu\keyanbaogao\2005&#24180;\&#26412;&#37096;\&#20016;&#21407;&#38598;&#22242;\&#20016;&#21407;&#40857;&#27743;&#21487;&#30740;\60&#19975;&#21544;&#23567;&#4061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WB(IP56)\&#20849;&#20139;&#25991;&#20214;\WINDOWS\Desktop\&#26032;&#26179;&#40857;&#33041;&#27167;\&#31532;&#20108;&#37096;&#20998;&#32493;&#21487;&#30740;&#34920;&#2668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487;&#30740;\&#20013;&#30707;&#27833;\&#38656;&#35201;&#20570;&#30340;&#36130;&#21153;&#20998;&#26512;\&#28909;&#29032;&#24367;&#31649;&#26426;&#32452;\&#38485;&#35199;\&#23665;&#35199;&#20013;&#21644;&#36335;&#31449;&#32463;&#27982;&#35780;&#20215;\&#23450;&#31295;\&#25935;&#24863;&#24615;&#20998;&#26512;&#8212;&#27169;&#25311;&#36816;&#31639;&#2786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1"/>
      <sheetName val="图表2"/>
      <sheetName val="技经03.1.19"/>
      <sheetName val="原材料表(总)"/>
      <sheetName val="原材料表(分) "/>
      <sheetName val="产成品"/>
      <sheetName val="条件表"/>
      <sheetName val="Sheet3"/>
      <sheetName val="Sheet3 (2)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"/>
      <sheetName val="续1"/>
      <sheetName val="2"/>
      <sheetName val="3"/>
      <sheetName val="4"/>
      <sheetName val="5"/>
      <sheetName val="7"/>
      <sheetName val="8"/>
      <sheetName val="9"/>
      <sheetName val="10"/>
      <sheetName val="1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原工作簿定义名称"/>
      <sheetName val="敏感性分析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97"/>
  <sheetViews>
    <sheetView showZeros="0" tabSelected="1" workbookViewId="0">
      <pane xSplit="3" ySplit="4" topLeftCell="D5" activePane="bottomRight" state="frozen"/>
      <selection/>
      <selection pane="topRight"/>
      <selection pane="bottomLeft"/>
      <selection pane="bottomRight" activeCell="C3" sqref="C3:C4"/>
    </sheetView>
  </sheetViews>
  <sheetFormatPr defaultColWidth="9" defaultRowHeight="15"/>
  <cols>
    <col min="1" max="1" width="6.75" style="96" customWidth="1"/>
    <col min="2" max="2" width="5.5" style="96" customWidth="1"/>
    <col min="3" max="3" width="32.3916666666667" style="96" customWidth="1"/>
    <col min="4" max="4" width="9.125" style="102" customWidth="1"/>
    <col min="5" max="5" width="8.75" style="105" customWidth="1"/>
    <col min="6" max="6" width="8.125" style="105" customWidth="1"/>
    <col min="7" max="7" width="8.5" style="96" customWidth="1"/>
    <col min="8" max="8" width="8.625" style="96" customWidth="1"/>
    <col min="9" max="9" width="10.5" style="96" customWidth="1"/>
    <col min="10" max="11" width="8" style="96" customWidth="1"/>
    <col min="12" max="12" width="14.25" style="96" customWidth="1"/>
    <col min="13" max="13" width="15.5" style="96" customWidth="1"/>
    <col min="14" max="15" width="12.625" style="96"/>
    <col min="16" max="16384" width="9" style="96"/>
  </cols>
  <sheetData>
    <row r="1" s="96" customFormat="1" ht="32" customHeight="1" spans="1:11">
      <c r="A1" s="106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</row>
    <row r="2" s="96" customFormat="1" spans="1:6">
      <c r="A2" s="108" t="s">
        <v>1</v>
      </c>
      <c r="B2" s="108"/>
      <c r="C2" s="108"/>
      <c r="D2" s="108"/>
      <c r="E2" s="108"/>
      <c r="F2" s="108"/>
    </row>
    <row r="3" s="97" customFormat="1" ht="27.75" customHeight="1" spans="1:11">
      <c r="A3" s="109" t="s">
        <v>2</v>
      </c>
      <c r="B3" s="110" t="s">
        <v>3</v>
      </c>
      <c r="C3" s="111" t="s">
        <v>4</v>
      </c>
      <c r="D3" s="112" t="s">
        <v>5</v>
      </c>
      <c r="E3" s="113" t="s">
        <v>6</v>
      </c>
      <c r="F3" s="114" t="s">
        <v>7</v>
      </c>
      <c r="G3" s="115"/>
      <c r="H3" s="116" t="s">
        <v>8</v>
      </c>
      <c r="I3" s="116" t="s">
        <v>9</v>
      </c>
      <c r="J3" s="116" t="s">
        <v>10</v>
      </c>
      <c r="K3" s="116" t="s">
        <v>11</v>
      </c>
    </row>
    <row r="4" s="97" customFormat="1" ht="29.25" customHeight="1" spans="1:11">
      <c r="A4" s="117"/>
      <c r="B4" s="118"/>
      <c r="C4" s="119"/>
      <c r="D4" s="120"/>
      <c r="E4" s="121"/>
      <c r="F4" s="114" t="s">
        <v>12</v>
      </c>
      <c r="G4" s="122" t="s">
        <v>13</v>
      </c>
      <c r="H4" s="123"/>
      <c r="I4" s="123"/>
      <c r="J4" s="123"/>
      <c r="K4" s="149"/>
    </row>
    <row r="5" s="98" customFormat="1" ht="23" customHeight="1" spans="1:11">
      <c r="A5" s="124"/>
      <c r="B5" s="125"/>
      <c r="C5" s="126" t="s">
        <v>14</v>
      </c>
      <c r="D5" s="127"/>
      <c r="E5" s="128">
        <f t="shared" ref="E5:J5" si="0">E7+E38</f>
        <v>1072.330646</v>
      </c>
      <c r="F5" s="128">
        <f t="shared" si="0"/>
        <v>138.144639</v>
      </c>
      <c r="G5" s="128">
        <f t="shared" si="0"/>
        <v>1014.756987</v>
      </c>
      <c r="H5" s="128">
        <f t="shared" si="0"/>
        <v>1991.575188</v>
      </c>
      <c r="I5" s="128">
        <f t="shared" si="0"/>
        <v>1820.37476959059</v>
      </c>
      <c r="J5" s="128">
        <f t="shared" si="0"/>
        <v>6037.18222959059</v>
      </c>
      <c r="K5" s="150">
        <f>J5/J5</f>
        <v>1</v>
      </c>
    </row>
    <row r="6" s="98" customFormat="1" ht="35" customHeight="1" spans="1:11">
      <c r="A6" s="124"/>
      <c r="B6" s="125"/>
      <c r="C6" s="129" t="s">
        <v>15</v>
      </c>
      <c r="D6" s="127"/>
      <c r="E6" s="128">
        <f>E5-E37</f>
        <v>946.204112</v>
      </c>
      <c r="F6" s="128">
        <f t="shared" ref="E6:J6" si="1">F5-F37</f>
        <v>124.055184</v>
      </c>
      <c r="G6" s="128">
        <f t="shared" si="1"/>
        <v>926.351994</v>
      </c>
      <c r="H6" s="128">
        <f t="shared" si="1"/>
        <v>1825.456274</v>
      </c>
      <c r="I6" s="128">
        <f t="shared" si="1"/>
        <v>1787.42211347564</v>
      </c>
      <c r="J6" s="128">
        <f t="shared" si="1"/>
        <v>5609.48967747564</v>
      </c>
      <c r="K6" s="150">
        <f>J6/J5</f>
        <v>0.929156925226033</v>
      </c>
    </row>
    <row r="7" s="99" customFormat="1" ht="17" customHeight="1" spans="1:15">
      <c r="A7" s="124"/>
      <c r="B7" s="125"/>
      <c r="C7" s="126" t="s">
        <v>16</v>
      </c>
      <c r="D7" s="127"/>
      <c r="E7" s="128">
        <f t="shared" ref="E7:J7" si="2">E8+E21+E35</f>
        <v>1072.330646</v>
      </c>
      <c r="F7" s="128">
        <f t="shared" si="2"/>
        <v>138.144639</v>
      </c>
      <c r="G7" s="128">
        <f t="shared" si="2"/>
        <v>1014.756987</v>
      </c>
      <c r="H7" s="128">
        <f t="shared" si="2"/>
        <v>1991.575188</v>
      </c>
      <c r="I7" s="128">
        <f t="shared" si="2"/>
        <v>1729.5620131785</v>
      </c>
      <c r="J7" s="128">
        <f t="shared" si="2"/>
        <v>5946.3694731785</v>
      </c>
      <c r="K7" s="150">
        <f>J7/J5</f>
        <v>0.984957757947577</v>
      </c>
      <c r="N7" s="99">
        <v>6271.9799072977</v>
      </c>
      <c r="O7" s="99">
        <f>N7-J5</f>
        <v>234.797677707114</v>
      </c>
    </row>
    <row r="8" s="100" customFormat="1" ht="17" customHeight="1" spans="1:13">
      <c r="A8" s="130" t="s">
        <v>17</v>
      </c>
      <c r="B8" s="131"/>
      <c r="C8" s="132" t="s">
        <v>18</v>
      </c>
      <c r="D8" s="131"/>
      <c r="E8" s="133">
        <f t="shared" ref="E8:J8" si="3">E9+E14</f>
        <v>1072.330646</v>
      </c>
      <c r="F8" s="133">
        <f t="shared" si="3"/>
        <v>138.144639</v>
      </c>
      <c r="G8" s="133">
        <f t="shared" si="3"/>
        <v>1014.756987</v>
      </c>
      <c r="H8" s="133">
        <f t="shared" si="3"/>
        <v>1991.575188</v>
      </c>
      <c r="I8" s="133">
        <f t="shared" si="3"/>
        <v>0</v>
      </c>
      <c r="J8" s="133">
        <f t="shared" si="3"/>
        <v>4216.80746</v>
      </c>
      <c r="K8" s="150">
        <f>J8/J5</f>
        <v>0.698472780783688</v>
      </c>
      <c r="M8" s="100">
        <f>F8+G8</f>
        <v>1152.901626</v>
      </c>
    </row>
    <row r="9" s="101" customFormat="1" ht="17" customHeight="1" spans="1:11">
      <c r="A9" s="122" t="s">
        <v>19</v>
      </c>
      <c r="B9" s="134"/>
      <c r="C9" s="135" t="s">
        <v>20</v>
      </c>
      <c r="D9" s="134"/>
      <c r="E9" s="115">
        <f t="shared" ref="E9:H9" si="4">SUM(E10:E13)</f>
        <v>1034.607899</v>
      </c>
      <c r="F9" s="115">
        <f t="shared" si="4"/>
        <v>109.38691</v>
      </c>
      <c r="G9" s="115">
        <f t="shared" si="4"/>
        <v>946.969491</v>
      </c>
      <c r="H9" s="115">
        <f t="shared" si="4"/>
        <v>1991.575188</v>
      </c>
      <c r="I9" s="115"/>
      <c r="J9" s="115">
        <f>SUM(E9:I9)</f>
        <v>4082.539488</v>
      </c>
      <c r="K9" s="151">
        <f t="shared" ref="K9:K14" si="5">J9/$J$5</f>
        <v>0.676232608648101</v>
      </c>
    </row>
    <row r="10" s="101" customFormat="1" ht="17" customHeight="1" spans="1:11">
      <c r="A10" s="122">
        <v>1</v>
      </c>
      <c r="B10" s="134"/>
      <c r="C10" s="135" t="s">
        <v>21</v>
      </c>
      <c r="D10" s="134" t="s">
        <v>22</v>
      </c>
      <c r="E10" s="115">
        <f>745.427894+96.115626</f>
        <v>841.54352</v>
      </c>
      <c r="F10" s="115">
        <f>62.634678+8.432508</f>
        <v>71.067186</v>
      </c>
      <c r="G10" s="115">
        <f>320.6941+0.3451+28.6035</f>
        <v>349.6427</v>
      </c>
      <c r="H10" s="115"/>
      <c r="I10" s="115"/>
      <c r="J10" s="115">
        <f>SUM(E10:I10)</f>
        <v>1262.253406</v>
      </c>
      <c r="K10" s="151">
        <f t="shared" si="5"/>
        <v>0.209079891578095</v>
      </c>
    </row>
    <row r="11" s="101" customFormat="1" ht="17" customHeight="1" spans="1:11">
      <c r="A11" s="122">
        <v>2</v>
      </c>
      <c r="B11" s="134"/>
      <c r="C11" s="135" t="s">
        <v>23</v>
      </c>
      <c r="D11" s="134" t="s">
        <v>24</v>
      </c>
      <c r="E11" s="115">
        <f>170.353256+22.665923</f>
        <v>193.019179</v>
      </c>
      <c r="F11" s="115">
        <f>6.194288+0.061722</f>
        <v>6.25601</v>
      </c>
      <c r="G11" s="115">
        <f>560.5403+50.448631-H11+3.1251</f>
        <v>576.265331</v>
      </c>
      <c r="H11" s="115">
        <f>34.7236+3.1251</f>
        <v>37.8487</v>
      </c>
      <c r="I11" s="115"/>
      <c r="J11" s="115">
        <f t="shared" ref="J10:J14" si="6">SUM(E11:I11)</f>
        <v>813.38922</v>
      </c>
      <c r="K11" s="151">
        <f t="shared" si="5"/>
        <v>0.134729943385386</v>
      </c>
    </row>
    <row r="12" s="101" customFormat="1" ht="17" customHeight="1" spans="1:11">
      <c r="A12" s="122">
        <v>3</v>
      </c>
      <c r="B12" s="134"/>
      <c r="C12" s="135" t="s">
        <v>25</v>
      </c>
      <c r="D12" s="134" t="s">
        <v>26</v>
      </c>
      <c r="E12" s="115">
        <f>0.04+0.0052</f>
        <v>0.0452</v>
      </c>
      <c r="F12" s="115">
        <f>14.8608+1.931914</f>
        <v>16.792714</v>
      </c>
      <c r="G12" s="115">
        <f>19.307966+1.753494</f>
        <v>21.06146</v>
      </c>
      <c r="H12" s="115"/>
      <c r="I12" s="115"/>
      <c r="J12" s="115">
        <f t="shared" si="6"/>
        <v>37.899374</v>
      </c>
      <c r="K12" s="151">
        <f t="shared" si="5"/>
        <v>0.00627765943758338</v>
      </c>
    </row>
    <row r="13" s="101" customFormat="1" ht="17" customHeight="1" spans="1:11">
      <c r="A13" s="122">
        <v>4</v>
      </c>
      <c r="B13" s="134"/>
      <c r="C13" s="135" t="s">
        <v>27</v>
      </c>
      <c r="D13" s="134" t="s">
        <v>26</v>
      </c>
      <c r="E13" s="115"/>
      <c r="F13" s="115">
        <f>15.271</f>
        <v>15.271</v>
      </c>
      <c r="G13" s="115"/>
      <c r="H13" s="115">
        <f>1790.840815+85.58599+77.299683</f>
        <v>1953.726488</v>
      </c>
      <c r="I13" s="115"/>
      <c r="J13" s="115">
        <f t="shared" si="6"/>
        <v>1968.997488</v>
      </c>
      <c r="K13" s="151">
        <f t="shared" si="5"/>
        <v>0.326145114247036</v>
      </c>
    </row>
    <row r="14" s="101" customFormat="1" ht="17" customHeight="1" spans="1:11">
      <c r="A14" s="122" t="s">
        <v>28</v>
      </c>
      <c r="B14" s="134"/>
      <c r="C14" s="135" t="s">
        <v>29</v>
      </c>
      <c r="D14" s="134"/>
      <c r="E14" s="115">
        <f>SUM(E15:E20)</f>
        <v>37.722747</v>
      </c>
      <c r="F14" s="115">
        <f>SUM(F15:F20)</f>
        <v>28.757729</v>
      </c>
      <c r="G14" s="115">
        <f>SUM(G15:G20)</f>
        <v>67.787496</v>
      </c>
      <c r="H14" s="115">
        <f>SUM(H15:H20)</f>
        <v>0</v>
      </c>
      <c r="I14" s="115">
        <f>SUM(I15:I20)</f>
        <v>0</v>
      </c>
      <c r="J14" s="115">
        <f t="shared" si="6"/>
        <v>134.267972</v>
      </c>
      <c r="K14" s="151">
        <f t="shared" si="5"/>
        <v>0.0222401721355867</v>
      </c>
    </row>
    <row r="15" s="101" customFormat="1" ht="21" customHeight="1" spans="1:14">
      <c r="A15" s="122">
        <v>1</v>
      </c>
      <c r="B15" s="134"/>
      <c r="C15" s="135" t="s">
        <v>30</v>
      </c>
      <c r="D15" s="134"/>
      <c r="E15" s="115"/>
      <c r="F15" s="115">
        <f>5.14811+0.669254</f>
        <v>5.817364</v>
      </c>
      <c r="G15" s="115">
        <f>2.2843+0.205587</f>
        <v>2.489887</v>
      </c>
      <c r="H15" s="115"/>
      <c r="I15" s="115"/>
      <c r="J15" s="115">
        <f t="shared" ref="J15:J20" si="7">SUM(E15:I15)</f>
        <v>8.307251</v>
      </c>
      <c r="K15" s="151">
        <f>J15/J5</f>
        <v>0.00137601461809169</v>
      </c>
      <c r="L15" s="101">
        <f>E5</f>
        <v>1072.330646</v>
      </c>
      <c r="M15" s="152" t="s">
        <v>31</v>
      </c>
      <c r="N15" s="153">
        <f>L15/$L$21</f>
        <v>0.177621049890475</v>
      </c>
    </row>
    <row r="16" s="101" customFormat="1" ht="17" customHeight="1" spans="1:14">
      <c r="A16" s="122">
        <v>2</v>
      </c>
      <c r="B16" s="134"/>
      <c r="C16" s="135" t="s">
        <v>25</v>
      </c>
      <c r="D16" s="134"/>
      <c r="E16" s="115">
        <f>0.54+0.0702</f>
        <v>0.6102</v>
      </c>
      <c r="F16" s="115">
        <f>15.514913+2.016939</f>
        <v>17.531852</v>
      </c>
      <c r="G16" s="115">
        <f>41.51125+3.736013</f>
        <v>45.247263</v>
      </c>
      <c r="H16" s="115"/>
      <c r="I16" s="115"/>
      <c r="J16" s="115">
        <f t="shared" si="7"/>
        <v>63.389315</v>
      </c>
      <c r="K16" s="151">
        <f>J16/J5</f>
        <v>0.0104998180590449</v>
      </c>
      <c r="L16" s="101">
        <f>F5+G5</f>
        <v>1152.901626</v>
      </c>
      <c r="M16" s="152" t="s">
        <v>7</v>
      </c>
      <c r="N16" s="153">
        <f>L16/$L$21</f>
        <v>0.190966842171697</v>
      </c>
    </row>
    <row r="17" s="101" customFormat="1" ht="17" customHeight="1" spans="1:14">
      <c r="A17" s="122">
        <v>3</v>
      </c>
      <c r="B17" s="134"/>
      <c r="C17" s="135" t="s">
        <v>32</v>
      </c>
      <c r="D17" s="134"/>
      <c r="E17" s="115">
        <f>17.804052+2.314527</f>
        <v>20.118579</v>
      </c>
      <c r="F17" s="115">
        <f>0.803511+0.104456</f>
        <v>0.907967</v>
      </c>
      <c r="G17" s="115">
        <f>5.084239+0.457582</f>
        <v>5.541821</v>
      </c>
      <c r="H17" s="115"/>
      <c r="I17" s="115"/>
      <c r="J17" s="115">
        <f t="shared" si="7"/>
        <v>26.568367</v>
      </c>
      <c r="K17" s="151">
        <f>J17/J5</f>
        <v>0.00440078930693496</v>
      </c>
      <c r="L17" s="101">
        <f>H5</f>
        <v>1991.575188</v>
      </c>
      <c r="M17" s="152" t="s">
        <v>33</v>
      </c>
      <c r="N17" s="153">
        <f>L17/$L$21</f>
        <v>0.329884888721515</v>
      </c>
    </row>
    <row r="18" s="101" customFormat="1" ht="17" customHeight="1" spans="1:14">
      <c r="A18" s="122">
        <v>4</v>
      </c>
      <c r="B18" s="134"/>
      <c r="C18" s="135" t="s">
        <v>34</v>
      </c>
      <c r="D18" s="134"/>
      <c r="E18" s="115">
        <f>14.153954+1.840014</f>
        <v>15.993968</v>
      </c>
      <c r="F18" s="115">
        <f>1.5+0.195</f>
        <v>1.695</v>
      </c>
      <c r="G18" s="115">
        <f>8.357316+0.752158</f>
        <v>9.109474</v>
      </c>
      <c r="H18" s="115"/>
      <c r="I18" s="115"/>
      <c r="J18" s="115">
        <f t="shared" si="7"/>
        <v>26.798442</v>
      </c>
      <c r="K18" s="151">
        <f>J18/J6</f>
        <v>0.00477734046068514</v>
      </c>
      <c r="M18" s="152"/>
      <c r="N18" s="153"/>
    </row>
    <row r="19" s="101" customFormat="1" ht="17" customHeight="1" spans="1:14">
      <c r="A19" s="122">
        <v>5</v>
      </c>
      <c r="B19" s="134"/>
      <c r="C19" s="135" t="s">
        <v>35</v>
      </c>
      <c r="D19" s="134"/>
      <c r="E19" s="115">
        <v>0</v>
      </c>
      <c r="F19" s="115">
        <f>2.370784+0.308202</f>
        <v>2.678986</v>
      </c>
      <c r="G19" s="115">
        <f>4.948856+0.445397</f>
        <v>5.394253</v>
      </c>
      <c r="H19" s="115"/>
      <c r="I19" s="115"/>
      <c r="J19" s="115">
        <f t="shared" si="7"/>
        <v>8.073239</v>
      </c>
      <c r="K19" s="151">
        <f t="shared" ref="K19:K37" si="8">J19/$J$5</f>
        <v>0.00133725282639803</v>
      </c>
      <c r="L19" s="101">
        <f>I21</f>
        <v>1556.36678580437</v>
      </c>
      <c r="M19" s="152" t="s">
        <v>36</v>
      </c>
      <c r="N19" s="153">
        <f>L19/$L$21</f>
        <v>0.257796887126582</v>
      </c>
    </row>
    <row r="20" s="101" customFormat="1" ht="17" customHeight="1" spans="1:14">
      <c r="A20" s="122">
        <v>6</v>
      </c>
      <c r="B20" s="134"/>
      <c r="C20" s="135" t="s">
        <v>37</v>
      </c>
      <c r="D20" s="134"/>
      <c r="E20" s="115">
        <f>0.884956+0.115044</f>
        <v>1</v>
      </c>
      <c r="F20" s="115">
        <f>0.112+0.01456</f>
        <v>0.12656</v>
      </c>
      <c r="G20" s="115">
        <f>0.004402+0.000396</f>
        <v>0.004798</v>
      </c>
      <c r="H20" s="115"/>
      <c r="I20" s="115"/>
      <c r="J20" s="115">
        <f t="shared" si="7"/>
        <v>1.131358</v>
      </c>
      <c r="K20" s="151">
        <f t="shared" si="8"/>
        <v>0.00018739835190907</v>
      </c>
      <c r="L20" s="101">
        <f>I38</f>
        <v>90.8127564120868</v>
      </c>
      <c r="M20" s="152" t="s">
        <v>38</v>
      </c>
      <c r="N20" s="153">
        <f>L20/$L$21</f>
        <v>0.0150422420524227</v>
      </c>
    </row>
    <row r="21" s="98" customFormat="1" ht="17" customHeight="1" spans="1:14">
      <c r="A21" s="136" t="s">
        <v>39</v>
      </c>
      <c r="B21" s="137"/>
      <c r="C21" s="138" t="s">
        <v>40</v>
      </c>
      <c r="D21" s="134"/>
      <c r="E21" s="133"/>
      <c r="F21" s="133"/>
      <c r="G21" s="133"/>
      <c r="H21" s="133"/>
      <c r="I21" s="133">
        <f t="shared" ref="I21:I31" si="9">J21</f>
        <v>1556.36678580437</v>
      </c>
      <c r="J21" s="133">
        <f>SUM(J22:J34)</f>
        <v>1556.36678580437</v>
      </c>
      <c r="K21" s="154">
        <f t="shared" si="8"/>
        <v>0.257796887126582</v>
      </c>
      <c r="L21" s="101">
        <f>J5</f>
        <v>6037.18222959059</v>
      </c>
      <c r="M21" s="152" t="s">
        <v>41</v>
      </c>
      <c r="N21" s="153"/>
    </row>
    <row r="22" s="97" customFormat="1" ht="17" customHeight="1" spans="1:14">
      <c r="A22" s="139" t="s">
        <v>19</v>
      </c>
      <c r="B22" s="140"/>
      <c r="C22" s="11" t="s">
        <v>42</v>
      </c>
      <c r="D22" s="134"/>
      <c r="E22" s="115"/>
      <c r="F22" s="115"/>
      <c r="G22" s="115"/>
      <c r="H22" s="115"/>
      <c r="I22" s="115">
        <f t="shared" si="9"/>
        <v>782.896</v>
      </c>
      <c r="J22" s="143">
        <f>工程建设其他费用计算表!E8</f>
        <v>782.896</v>
      </c>
      <c r="K22" s="154">
        <f t="shared" si="8"/>
        <v>0.129679040689334</v>
      </c>
      <c r="L22" s="101"/>
      <c r="M22" s="101"/>
      <c r="N22" s="153"/>
    </row>
    <row r="23" s="102" customFormat="1" ht="17" customHeight="1" spans="1:14">
      <c r="A23" s="139" t="s">
        <v>28</v>
      </c>
      <c r="B23" s="140"/>
      <c r="C23" s="29" t="s">
        <v>43</v>
      </c>
      <c r="D23" s="134"/>
      <c r="E23" s="141"/>
      <c r="F23" s="141"/>
      <c r="G23" s="142"/>
      <c r="H23" s="143"/>
      <c r="I23" s="115">
        <f t="shared" si="9"/>
        <v>23.5701921785143</v>
      </c>
      <c r="J23" s="143">
        <f>工程建设其他费用计算表!E13</f>
        <v>23.5701921785143</v>
      </c>
      <c r="K23" s="155">
        <f t="shared" si="8"/>
        <v>0.00390417106559871</v>
      </c>
      <c r="L23" s="101"/>
      <c r="M23" s="101"/>
      <c r="N23" s="153"/>
    </row>
    <row r="24" s="102" customFormat="1" ht="17" customHeight="1" spans="1:14">
      <c r="A24" s="139" t="s">
        <v>44</v>
      </c>
      <c r="B24" s="140"/>
      <c r="C24" s="11" t="s">
        <v>45</v>
      </c>
      <c r="D24" s="134"/>
      <c r="E24" s="141"/>
      <c r="F24" s="141"/>
      <c r="G24" s="142"/>
      <c r="H24" s="143"/>
      <c r="I24" s="115">
        <f t="shared" si="9"/>
        <v>251.335203036125</v>
      </c>
      <c r="J24" s="143">
        <f>工程建设其他费用计算表!E19</f>
        <v>251.335203036125</v>
      </c>
      <c r="K24" s="155">
        <f t="shared" si="8"/>
        <v>0.0416312103027523</v>
      </c>
      <c r="L24" s="101"/>
      <c r="M24" s="98"/>
      <c r="N24" s="153"/>
    </row>
    <row r="25" s="102" customFormat="1" ht="17" customHeight="1" spans="1:14">
      <c r="A25" s="139" t="s">
        <v>46</v>
      </c>
      <c r="B25" s="140"/>
      <c r="C25" s="11" t="s">
        <v>47</v>
      </c>
      <c r="D25" s="134"/>
      <c r="E25" s="141"/>
      <c r="F25" s="141"/>
      <c r="G25" s="142"/>
      <c r="H25" s="143"/>
      <c r="I25" s="115">
        <f t="shared" si="9"/>
        <v>107.913175885935</v>
      </c>
      <c r="J25" s="143">
        <f>工程建设其他费用计算表!E25</f>
        <v>107.913175885935</v>
      </c>
      <c r="K25" s="155">
        <f t="shared" si="8"/>
        <v>0.0178747587503671</v>
      </c>
      <c r="L25" s="101">
        <f>I38</f>
        <v>90.8127564120868</v>
      </c>
      <c r="M25" s="97"/>
      <c r="N25" s="153"/>
    </row>
    <row r="26" s="102" customFormat="1" ht="17" customHeight="1" spans="1:14">
      <c r="A26" s="139" t="s">
        <v>48</v>
      </c>
      <c r="B26" s="140"/>
      <c r="C26" s="11" t="s">
        <v>49</v>
      </c>
      <c r="D26" s="134"/>
      <c r="E26" s="141"/>
      <c r="F26" s="141"/>
      <c r="G26" s="142"/>
      <c r="H26" s="143"/>
      <c r="I26" s="156">
        <f t="shared" si="9"/>
        <v>15</v>
      </c>
      <c r="J26" s="143">
        <f>工程建设其他费用计算表!E38</f>
        <v>15</v>
      </c>
      <c r="K26" s="155">
        <f t="shared" si="8"/>
        <v>0.00248460282124319</v>
      </c>
      <c r="L26" s="101"/>
      <c r="N26" s="101"/>
    </row>
    <row r="27" s="102" customFormat="1" ht="17" customHeight="1" spans="1:14">
      <c r="A27" s="139" t="s">
        <v>50</v>
      </c>
      <c r="B27" s="140"/>
      <c r="C27" s="11" t="s">
        <v>51</v>
      </c>
      <c r="D27" s="134"/>
      <c r="E27" s="141"/>
      <c r="F27" s="141"/>
      <c r="G27" s="142"/>
      <c r="H27" s="143"/>
      <c r="I27" s="115">
        <f t="shared" si="9"/>
        <v>142.55131296172</v>
      </c>
      <c r="J27" s="143">
        <f>工程建设其他费用计算表!E39</f>
        <v>142.55131296172</v>
      </c>
      <c r="K27" s="155">
        <f t="shared" si="8"/>
        <v>0.0236122262904407</v>
      </c>
      <c r="L27" s="101"/>
      <c r="N27" s="101"/>
    </row>
    <row r="28" s="102" customFormat="1" ht="17" customHeight="1" spans="1:14">
      <c r="A28" s="139" t="s">
        <v>52</v>
      </c>
      <c r="B28" s="140"/>
      <c r="C28" s="29" t="s">
        <v>53</v>
      </c>
      <c r="D28" s="134"/>
      <c r="E28" s="141"/>
      <c r="F28" s="141"/>
      <c r="G28" s="142"/>
      <c r="H28" s="143"/>
      <c r="I28" s="115">
        <f t="shared" si="9"/>
        <v>8.43361492</v>
      </c>
      <c r="J28" s="143">
        <f>工程建设其他费用计算表!E44</f>
        <v>8.43361492</v>
      </c>
      <c r="K28" s="155">
        <f t="shared" si="8"/>
        <v>0.00139694556156738</v>
      </c>
      <c r="L28" s="101"/>
      <c r="N28" s="101"/>
    </row>
    <row r="29" s="102" customFormat="1" ht="17" customHeight="1" spans="1:14">
      <c r="A29" s="139" t="s">
        <v>54</v>
      </c>
      <c r="B29" s="140"/>
      <c r="C29" s="29" t="s">
        <v>55</v>
      </c>
      <c r="D29" s="134"/>
      <c r="E29" s="141"/>
      <c r="F29" s="141"/>
      <c r="G29" s="142"/>
      <c r="H29" s="143"/>
      <c r="I29" s="115">
        <f t="shared" si="9"/>
        <v>12.65042238</v>
      </c>
      <c r="J29" s="143">
        <f>工程建设其他费用计算表!E48</f>
        <v>12.65042238</v>
      </c>
      <c r="K29" s="155">
        <f t="shared" si="8"/>
        <v>0.00209541834235106</v>
      </c>
      <c r="L29" s="97"/>
      <c r="N29" s="97"/>
    </row>
    <row r="30" s="102" customFormat="1" ht="17" customHeight="1" spans="1:11">
      <c r="A30" s="139" t="s">
        <v>56</v>
      </c>
      <c r="B30" s="140"/>
      <c r="C30" s="11" t="s">
        <v>57</v>
      </c>
      <c r="D30" s="134"/>
      <c r="E30" s="141"/>
      <c r="F30" s="141"/>
      <c r="G30" s="142"/>
      <c r="H30" s="143"/>
      <c r="I30" s="115">
        <f t="shared" si="9"/>
        <v>15.72238407</v>
      </c>
      <c r="J30" s="143">
        <f>工程建设其他费用计算表!E49</f>
        <v>15.72238407</v>
      </c>
      <c r="K30" s="155">
        <f t="shared" si="8"/>
        <v>0.00260425865446606</v>
      </c>
    </row>
    <row r="31" s="102" customFormat="1" ht="17" customHeight="1" spans="1:11">
      <c r="A31" s="139" t="s">
        <v>58</v>
      </c>
      <c r="B31" s="140"/>
      <c r="C31" s="29" t="s">
        <v>59</v>
      </c>
      <c r="D31" s="134"/>
      <c r="E31" s="141"/>
      <c r="F31" s="141"/>
      <c r="G31" s="142"/>
      <c r="H31" s="143"/>
      <c r="I31" s="156">
        <f t="shared" si="9"/>
        <v>20</v>
      </c>
      <c r="J31" s="143">
        <f>工程建设其他费用计算表!E50</f>
        <v>20</v>
      </c>
      <c r="K31" s="155">
        <f t="shared" si="8"/>
        <v>0.00331280376165758</v>
      </c>
    </row>
    <row r="32" s="102" customFormat="1" ht="17" customHeight="1" spans="1:11">
      <c r="A32" s="139" t="s">
        <v>60</v>
      </c>
      <c r="B32" s="140"/>
      <c r="C32" s="29" t="s">
        <v>61</v>
      </c>
      <c r="D32" s="134"/>
      <c r="E32" s="141"/>
      <c r="F32" s="141"/>
      <c r="G32" s="142"/>
      <c r="H32" s="143"/>
      <c r="I32" s="115">
        <f t="shared" ref="I32:I34" si="10">J32</f>
        <v>96.8</v>
      </c>
      <c r="J32" s="143">
        <f>工程建设其他费用计算表!E54</f>
        <v>96.8</v>
      </c>
      <c r="K32" s="155">
        <f t="shared" si="8"/>
        <v>0.0160339702064227</v>
      </c>
    </row>
    <row r="33" s="102" customFormat="1" ht="17" customHeight="1" spans="1:11">
      <c r="A33" s="139" t="s">
        <v>62</v>
      </c>
      <c r="B33" s="140"/>
      <c r="C33" s="11" t="s">
        <v>63</v>
      </c>
      <c r="D33" s="134"/>
      <c r="E33" s="141"/>
      <c r="F33" s="141"/>
      <c r="G33" s="142"/>
      <c r="H33" s="143"/>
      <c r="I33" s="115">
        <f t="shared" si="10"/>
        <v>63.2521119</v>
      </c>
      <c r="J33" s="143">
        <f>工程建设其他费用计算表!E62</f>
        <v>63.2521119</v>
      </c>
      <c r="K33" s="155">
        <f t="shared" si="8"/>
        <v>0.0104770917117553</v>
      </c>
    </row>
    <row r="34" s="102" customFormat="1" ht="17" customHeight="1" spans="1:11">
      <c r="A34" s="139" t="s">
        <v>64</v>
      </c>
      <c r="B34" s="140"/>
      <c r="C34" s="11" t="s">
        <v>65</v>
      </c>
      <c r="D34" s="134"/>
      <c r="E34" s="141"/>
      <c r="F34" s="141"/>
      <c r="G34" s="142"/>
      <c r="H34" s="143"/>
      <c r="I34" s="115">
        <f t="shared" si="10"/>
        <v>16.2423684720731</v>
      </c>
      <c r="J34" s="143">
        <f>工程建设其他费用计算表!E63</f>
        <v>16.2423684720731</v>
      </c>
      <c r="K34" s="155">
        <f t="shared" si="8"/>
        <v>0.00269038896862561</v>
      </c>
    </row>
    <row r="35" s="103" customFormat="1" ht="17" customHeight="1" spans="1:14">
      <c r="A35" s="130" t="s">
        <v>66</v>
      </c>
      <c r="B35" s="131"/>
      <c r="C35" s="144" t="s">
        <v>67</v>
      </c>
      <c r="D35" s="131"/>
      <c r="E35" s="145"/>
      <c r="F35" s="145"/>
      <c r="G35" s="145"/>
      <c r="H35" s="131"/>
      <c r="I35" s="157">
        <f>J35</f>
        <v>173.195227374131</v>
      </c>
      <c r="J35" s="158">
        <f>SUM(J36:J36)</f>
        <v>173.195227374131</v>
      </c>
      <c r="K35" s="154">
        <f>J35/$J$5</f>
        <v>0.0286880900373081</v>
      </c>
      <c r="L35" s="102"/>
      <c r="M35" s="102"/>
      <c r="N35" s="102"/>
    </row>
    <row r="36" s="103" customFormat="1" ht="17" customHeight="1" spans="1:14">
      <c r="A36" s="122" t="s">
        <v>19</v>
      </c>
      <c r="B36" s="134"/>
      <c r="C36" s="146" t="s">
        <v>68</v>
      </c>
      <c r="D36" s="134"/>
      <c r="E36" s="142"/>
      <c r="F36" s="142"/>
      <c r="G36" s="142"/>
      <c r="H36" s="134"/>
      <c r="I36" s="156">
        <f>工程建设其他费用计算表!E69</f>
        <v>173.195227374131</v>
      </c>
      <c r="J36" s="159">
        <f>I36</f>
        <v>173.195227374131</v>
      </c>
      <c r="K36" s="155">
        <f>J36/$J$5</f>
        <v>0.0286880900373081</v>
      </c>
      <c r="L36" s="102"/>
      <c r="M36" s="102"/>
      <c r="N36" s="102"/>
    </row>
    <row r="37" s="104" customFormat="1" ht="17" customHeight="1" spans="1:14">
      <c r="A37" s="130" t="s">
        <v>69</v>
      </c>
      <c r="B37" s="131"/>
      <c r="C37" s="144" t="s">
        <v>70</v>
      </c>
      <c r="D37" s="131"/>
      <c r="E37" s="147">
        <f>126.126534</f>
        <v>126.126534</v>
      </c>
      <c r="F37" s="147">
        <f>14.089455</f>
        <v>14.089455</v>
      </c>
      <c r="G37" s="147">
        <f>88.404993</f>
        <v>88.404993</v>
      </c>
      <c r="H37" s="147">
        <f>166.118914</f>
        <v>166.118914</v>
      </c>
      <c r="I37" s="158">
        <f>工程建设其他费用计算表!F7</f>
        <v>32.9526561149479</v>
      </c>
      <c r="J37" s="160">
        <f>SUM(E37:I37)</f>
        <v>427.692552114948</v>
      </c>
      <c r="K37" s="154">
        <f>J37/$J$5</f>
        <v>0.0708430747739665</v>
      </c>
      <c r="L37" s="103"/>
      <c r="M37" s="103"/>
      <c r="N37" s="103"/>
    </row>
    <row r="38" s="103" customFormat="1" ht="17" customHeight="1" spans="1:14">
      <c r="A38" s="130" t="s">
        <v>71</v>
      </c>
      <c r="B38" s="131"/>
      <c r="C38" s="144" t="s">
        <v>72</v>
      </c>
      <c r="D38" s="131"/>
      <c r="E38" s="145"/>
      <c r="F38" s="145"/>
      <c r="G38" s="145"/>
      <c r="H38" s="131"/>
      <c r="I38" s="157">
        <f>I39+I40</f>
        <v>90.8127564120868</v>
      </c>
      <c r="J38" s="158">
        <f>I38</f>
        <v>90.8127564120868</v>
      </c>
      <c r="K38" s="154">
        <f>J38/$J$5</f>
        <v>0.0150422420524227</v>
      </c>
      <c r="L38" s="102"/>
      <c r="N38" s="102"/>
    </row>
    <row r="39" s="103" customFormat="1" ht="17" customHeight="1" spans="1:14">
      <c r="A39" s="122" t="s">
        <v>19</v>
      </c>
      <c r="B39" s="134"/>
      <c r="C39" s="148" t="s">
        <v>73</v>
      </c>
      <c r="D39" s="134"/>
      <c r="E39" s="142"/>
      <c r="F39" s="142"/>
      <c r="G39" s="142"/>
      <c r="H39" s="134"/>
      <c r="I39" s="156"/>
      <c r="J39" s="158"/>
      <c r="K39" s="154">
        <f>J39/$J$5</f>
        <v>0</v>
      </c>
      <c r="L39" s="102"/>
      <c r="N39" s="102"/>
    </row>
    <row r="40" s="102" customFormat="1" ht="17" customHeight="1" spans="1:13">
      <c r="A40" s="122" t="s">
        <v>28</v>
      </c>
      <c r="B40" s="134"/>
      <c r="C40" s="148" t="s">
        <v>38</v>
      </c>
      <c r="D40" s="134"/>
      <c r="E40" s="142"/>
      <c r="F40" s="142"/>
      <c r="G40" s="142"/>
      <c r="H40" s="134"/>
      <c r="I40" s="156">
        <f>工程建设其他费用计算表!E74</f>
        <v>90.8127564120868</v>
      </c>
      <c r="J40" s="159">
        <f>I40</f>
        <v>90.8127564120868</v>
      </c>
      <c r="K40" s="155">
        <f>J40/$J$5</f>
        <v>0.0150422420524227</v>
      </c>
      <c r="M40" s="103"/>
    </row>
    <row r="41" ht="21.75" customHeight="1" spans="5:14">
      <c r="E41" s="96"/>
      <c r="F41" s="96"/>
      <c r="L41" s="161"/>
      <c r="M41" s="162"/>
      <c r="N41" s="161"/>
    </row>
    <row r="42" ht="21.75" customHeight="1" spans="5:14">
      <c r="E42" s="96"/>
      <c r="F42" s="96"/>
      <c r="L42" s="161"/>
      <c r="M42" s="163"/>
      <c r="N42" s="161"/>
    </row>
    <row r="43" ht="21.75" customHeight="1" spans="5:14">
      <c r="E43" s="96"/>
      <c r="F43" s="96"/>
      <c r="L43" s="161"/>
      <c r="N43" s="161"/>
    </row>
    <row r="44" ht="21.75" customHeight="1" spans="5:14">
      <c r="E44" s="96"/>
      <c r="F44" s="96"/>
      <c r="L44" s="161"/>
      <c r="N44" s="161"/>
    </row>
    <row r="45" ht="21.75" customHeight="1" spans="5:14">
      <c r="E45" s="96"/>
      <c r="F45" s="96"/>
      <c r="L45" s="162"/>
      <c r="N45" s="162"/>
    </row>
    <row r="46" ht="21.75" customHeight="1" spans="5:14">
      <c r="E46" s="96"/>
      <c r="F46" s="96"/>
      <c r="L46" s="161"/>
      <c r="N46" s="161"/>
    </row>
    <row r="47" ht="21.75" customHeight="1" spans="5:14">
      <c r="E47" s="96"/>
      <c r="F47" s="96"/>
      <c r="L47" s="163"/>
      <c r="N47" s="163"/>
    </row>
    <row r="48" ht="21.75" customHeight="1" spans="5:6">
      <c r="E48" s="96"/>
      <c r="F48" s="96"/>
    </row>
    <row r="49" ht="21.75" customHeight="1" spans="5:6">
      <c r="E49" s="96"/>
      <c r="F49" s="96"/>
    </row>
    <row r="50" ht="21.75" customHeight="1" spans="5:6">
      <c r="E50" s="96"/>
      <c r="F50" s="96"/>
    </row>
    <row r="51" ht="21.75" customHeight="1" spans="5:6">
      <c r="E51" s="96"/>
      <c r="F51" s="96"/>
    </row>
    <row r="52" ht="21.75" customHeight="1" spans="5:6">
      <c r="E52" s="96"/>
      <c r="F52" s="96"/>
    </row>
    <row r="53" ht="21.75" customHeight="1" spans="5:6">
      <c r="E53" s="96"/>
      <c r="F53" s="96"/>
    </row>
    <row r="54" ht="21.75" customHeight="1" spans="5:6">
      <c r="E54" s="96"/>
      <c r="F54" s="96"/>
    </row>
    <row r="55" ht="21.75" customHeight="1" spans="5:6">
      <c r="E55" s="96"/>
      <c r="F55" s="96"/>
    </row>
    <row r="56" ht="21.75" customHeight="1" spans="5:6">
      <c r="E56" s="96"/>
      <c r="F56" s="96"/>
    </row>
    <row r="57" ht="21.75" customHeight="1" spans="5:6">
      <c r="E57" s="96"/>
      <c r="F57" s="96"/>
    </row>
    <row r="58" ht="21.75" customHeight="1" spans="5:6">
      <c r="E58" s="96"/>
      <c r="F58" s="96"/>
    </row>
    <row r="59" ht="21.75" customHeight="1" spans="5:6">
      <c r="E59" s="96"/>
      <c r="F59" s="96"/>
    </row>
    <row r="60" ht="21.75" customHeight="1" spans="5:6">
      <c r="E60" s="96"/>
      <c r="F60" s="96"/>
    </row>
    <row r="61" ht="21.75" customHeight="1" spans="5:6">
      <c r="E61" s="96"/>
      <c r="F61" s="96"/>
    </row>
    <row r="62" ht="21.75" customHeight="1" spans="5:6">
      <c r="E62" s="96"/>
      <c r="F62" s="96"/>
    </row>
    <row r="63" ht="21.75" customHeight="1" spans="5:6">
      <c r="E63" s="96"/>
      <c r="F63" s="96"/>
    </row>
    <row r="64" ht="21.75" customHeight="1" spans="5:6">
      <c r="E64" s="96"/>
      <c r="F64" s="96"/>
    </row>
    <row r="65" ht="21.75" customHeight="1" spans="5:6">
      <c r="E65" s="96"/>
      <c r="F65" s="96"/>
    </row>
    <row r="66" ht="21.75" customHeight="1" spans="5:6">
      <c r="E66" s="96"/>
      <c r="F66" s="96"/>
    </row>
    <row r="67" ht="21.75" customHeight="1" spans="5:6">
      <c r="E67" s="96"/>
      <c r="F67" s="96"/>
    </row>
    <row r="68" ht="21.75" customHeight="1" spans="5:6">
      <c r="E68" s="96"/>
      <c r="F68" s="96"/>
    </row>
    <row r="69" ht="21.75" customHeight="1" spans="5:6">
      <c r="E69" s="96"/>
      <c r="F69" s="96"/>
    </row>
    <row r="70" ht="21.75" customHeight="1" spans="5:6">
      <c r="E70" s="96"/>
      <c r="F70" s="96"/>
    </row>
    <row r="71" ht="21.75" customHeight="1" spans="5:6">
      <c r="E71" s="96"/>
      <c r="F71" s="96"/>
    </row>
    <row r="72" ht="21.75" customHeight="1" spans="5:6">
      <c r="E72" s="96"/>
      <c r="F72" s="96"/>
    </row>
    <row r="73" ht="21.75" customHeight="1" spans="5:6">
      <c r="E73" s="96"/>
      <c r="F73" s="96"/>
    </row>
    <row r="74" ht="21.75" customHeight="1" spans="5:6">
      <c r="E74" s="96"/>
      <c r="F74" s="96"/>
    </row>
    <row r="75" ht="21.75" customHeight="1" spans="5:6">
      <c r="E75" s="96"/>
      <c r="F75" s="96"/>
    </row>
    <row r="76" ht="21.75" customHeight="1" spans="5:6">
      <c r="E76" s="96"/>
      <c r="F76" s="96"/>
    </row>
    <row r="77" ht="21.75" customHeight="1" spans="5:6">
      <c r="E77" s="96"/>
      <c r="F77" s="96"/>
    </row>
    <row r="78" ht="21.75" customHeight="1" spans="5:6">
      <c r="E78" s="96"/>
      <c r="F78" s="96"/>
    </row>
    <row r="79" ht="21.75" customHeight="1" spans="5:6">
      <c r="E79" s="96"/>
      <c r="F79" s="96"/>
    </row>
    <row r="80" ht="21.75" customHeight="1" spans="5:6">
      <c r="E80" s="96"/>
      <c r="F80" s="96"/>
    </row>
    <row r="81" ht="21.75" customHeight="1" spans="5:6">
      <c r="E81" s="96"/>
      <c r="F81" s="96"/>
    </row>
    <row r="82" ht="21.75" customHeight="1" spans="5:6">
      <c r="E82" s="96"/>
      <c r="F82" s="96"/>
    </row>
    <row r="83" ht="21.75" customHeight="1" spans="5:6">
      <c r="E83" s="96"/>
      <c r="F83" s="96"/>
    </row>
    <row r="84" ht="21.75" customHeight="1" spans="5:6">
      <c r="E84" s="96"/>
      <c r="F84" s="96"/>
    </row>
    <row r="85" ht="21.75" customHeight="1" spans="5:6">
      <c r="E85" s="96"/>
      <c r="F85" s="96"/>
    </row>
    <row r="86" ht="21.75" customHeight="1" spans="5:6">
      <c r="E86" s="96"/>
      <c r="F86" s="96"/>
    </row>
    <row r="87" ht="21.75" customHeight="1" spans="5:6">
      <c r="E87" s="96"/>
      <c r="F87" s="96"/>
    </row>
    <row r="88" ht="21.75" customHeight="1" spans="5:6">
      <c r="E88" s="96"/>
      <c r="F88" s="96"/>
    </row>
    <row r="89" ht="21.75" customHeight="1" spans="5:6">
      <c r="E89" s="96"/>
      <c r="F89" s="96"/>
    </row>
    <row r="90" ht="21.75" customHeight="1" spans="5:6">
      <c r="E90" s="96"/>
      <c r="F90" s="96"/>
    </row>
    <row r="91" ht="21.75" customHeight="1" spans="5:6">
      <c r="E91" s="96"/>
      <c r="F91" s="96"/>
    </row>
    <row r="92" ht="21.75" customHeight="1" spans="5:6">
      <c r="E92" s="96"/>
      <c r="F92" s="96"/>
    </row>
    <row r="93" ht="21.75" customHeight="1" spans="5:6">
      <c r="E93" s="96"/>
      <c r="F93" s="96"/>
    </row>
    <row r="94" ht="21.75" customHeight="1" spans="5:6">
      <c r="E94" s="96"/>
      <c r="F94" s="96"/>
    </row>
    <row r="95" ht="21.75" customHeight="1" spans="5:6">
      <c r="E95" s="96"/>
      <c r="F95" s="96"/>
    </row>
    <row r="96" ht="21.75" customHeight="1" spans="5:6">
      <c r="E96" s="96"/>
      <c r="F96" s="96"/>
    </row>
    <row r="97" ht="21.75" customHeight="1" spans="5:6">
      <c r="E97" s="96"/>
      <c r="F97" s="96"/>
    </row>
    <row r="98" ht="21.75" customHeight="1" spans="5:6">
      <c r="E98" s="96"/>
      <c r="F98" s="96"/>
    </row>
    <row r="99" ht="21.75" customHeight="1" spans="5:6">
      <c r="E99" s="96"/>
      <c r="F99" s="96"/>
    </row>
    <row r="100" ht="21.75" customHeight="1" spans="5:6">
      <c r="E100" s="96"/>
      <c r="F100" s="96"/>
    </row>
    <row r="101" ht="21.75" customHeight="1" spans="5:6">
      <c r="E101" s="96"/>
      <c r="F101" s="96"/>
    </row>
    <row r="102" ht="21.75" customHeight="1" spans="5:6">
      <c r="E102" s="96"/>
      <c r="F102" s="96"/>
    </row>
    <row r="103" ht="21.75" customHeight="1" spans="5:6">
      <c r="E103" s="96"/>
      <c r="F103" s="96"/>
    </row>
    <row r="104" ht="21.75" customHeight="1" spans="5:6">
      <c r="E104" s="96"/>
      <c r="F104" s="96"/>
    </row>
    <row r="105" ht="21.75" customHeight="1" spans="5:6">
      <c r="E105" s="96"/>
      <c r="F105" s="96"/>
    </row>
    <row r="106" ht="21.75" customHeight="1" spans="5:6">
      <c r="E106" s="96"/>
      <c r="F106" s="96"/>
    </row>
    <row r="107" ht="21.75" customHeight="1" spans="5:6">
      <c r="E107" s="96"/>
      <c r="F107" s="96"/>
    </row>
    <row r="108" ht="21.75" customHeight="1" spans="5:6">
      <c r="E108" s="96"/>
      <c r="F108" s="96"/>
    </row>
    <row r="109" ht="21.75" customHeight="1" spans="5:6">
      <c r="E109" s="96"/>
      <c r="F109" s="96"/>
    </row>
    <row r="110" ht="21.75" customHeight="1" spans="5:6">
      <c r="E110" s="96"/>
      <c r="F110" s="96"/>
    </row>
    <row r="111" ht="21.75" customHeight="1" spans="5:6">
      <c r="E111" s="96"/>
      <c r="F111" s="96"/>
    </row>
    <row r="112" ht="21.75" customHeight="1" spans="5:6">
      <c r="E112" s="96"/>
      <c r="F112" s="96"/>
    </row>
    <row r="113" ht="21.75" customHeight="1" spans="5:6">
      <c r="E113" s="96"/>
      <c r="F113" s="96"/>
    </row>
    <row r="114" ht="21.75" customHeight="1" spans="5:6">
      <c r="E114" s="96"/>
      <c r="F114" s="96"/>
    </row>
    <row r="115" ht="21.75" customHeight="1" spans="5:6">
      <c r="E115" s="96"/>
      <c r="F115" s="96"/>
    </row>
    <row r="116" ht="21.75" customHeight="1" spans="5:6">
      <c r="E116" s="96"/>
      <c r="F116" s="96"/>
    </row>
    <row r="117" ht="21.75" customHeight="1" spans="5:6">
      <c r="E117" s="96"/>
      <c r="F117" s="96"/>
    </row>
    <row r="118" ht="21.75" customHeight="1" spans="5:6">
      <c r="E118" s="96"/>
      <c r="F118" s="96"/>
    </row>
    <row r="119" ht="21.75" customHeight="1" spans="5:6">
      <c r="E119" s="96"/>
      <c r="F119" s="96"/>
    </row>
    <row r="120" ht="21.75" customHeight="1" spans="5:6">
      <c r="E120" s="96"/>
      <c r="F120" s="96"/>
    </row>
    <row r="121" ht="21.75" customHeight="1" spans="5:6">
      <c r="E121" s="96"/>
      <c r="F121" s="96"/>
    </row>
    <row r="122" ht="21.75" customHeight="1" spans="5:6">
      <c r="E122" s="96"/>
      <c r="F122" s="96"/>
    </row>
    <row r="123" ht="21.75" customHeight="1" spans="5:6">
      <c r="E123" s="96"/>
      <c r="F123" s="96"/>
    </row>
    <row r="124" ht="21.75" customHeight="1" spans="5:6">
      <c r="E124" s="96"/>
      <c r="F124" s="96"/>
    </row>
    <row r="125" ht="21.75" customHeight="1" spans="5:6">
      <c r="E125" s="96"/>
      <c r="F125" s="96"/>
    </row>
    <row r="126" ht="21.75" customHeight="1" spans="5:6">
      <c r="E126" s="96"/>
      <c r="F126" s="96"/>
    </row>
    <row r="127" ht="21.75" customHeight="1" spans="5:6">
      <c r="E127" s="96"/>
      <c r="F127" s="96"/>
    </row>
    <row r="128" ht="21.75" customHeight="1" spans="5:6">
      <c r="E128" s="96"/>
      <c r="F128" s="96"/>
    </row>
    <row r="129" ht="21.75" customHeight="1" spans="5:6">
      <c r="E129" s="96"/>
      <c r="F129" s="96"/>
    </row>
    <row r="130" ht="21.75" customHeight="1" spans="5:6">
      <c r="E130" s="96"/>
      <c r="F130" s="96"/>
    </row>
    <row r="131" ht="21.75" customHeight="1" spans="5:6">
      <c r="E131" s="96"/>
      <c r="F131" s="96"/>
    </row>
    <row r="132" ht="21.75" customHeight="1" spans="5:6">
      <c r="E132" s="96"/>
      <c r="F132" s="96"/>
    </row>
    <row r="133" ht="21.75" customHeight="1" spans="5:6">
      <c r="E133" s="96"/>
      <c r="F133" s="96"/>
    </row>
    <row r="134" ht="21.75" customHeight="1" spans="5:6">
      <c r="E134" s="96"/>
      <c r="F134" s="96"/>
    </row>
    <row r="135" ht="21.75" customHeight="1" spans="5:6">
      <c r="E135" s="96"/>
      <c r="F135" s="96"/>
    </row>
    <row r="136" ht="21.75" customHeight="1" spans="5:6">
      <c r="E136" s="96"/>
      <c r="F136" s="96"/>
    </row>
    <row r="137" ht="21.75" customHeight="1" spans="5:6">
      <c r="E137" s="96"/>
      <c r="F137" s="96"/>
    </row>
    <row r="138" ht="21.75" customHeight="1" spans="5:6">
      <c r="E138" s="96"/>
      <c r="F138" s="96"/>
    </row>
    <row r="139" ht="21.75" customHeight="1" spans="5:6">
      <c r="E139" s="96"/>
      <c r="F139" s="96"/>
    </row>
    <row r="140" ht="21.75" customHeight="1" spans="5:6">
      <c r="E140" s="96"/>
      <c r="F140" s="96"/>
    </row>
    <row r="141" ht="21.75" customHeight="1" spans="5:6">
      <c r="E141" s="96"/>
      <c r="F141" s="96"/>
    </row>
    <row r="142" ht="21.75" customHeight="1" spans="5:6">
      <c r="E142" s="96"/>
      <c r="F142" s="96"/>
    </row>
    <row r="143" ht="21.75" customHeight="1" spans="5:6">
      <c r="E143" s="96"/>
      <c r="F143" s="96"/>
    </row>
    <row r="144" ht="21.75" customHeight="1" spans="5:6">
      <c r="E144" s="96"/>
      <c r="F144" s="96"/>
    </row>
    <row r="145" ht="21.75" customHeight="1" spans="5:6">
      <c r="E145" s="96"/>
      <c r="F145" s="96"/>
    </row>
    <row r="146" ht="21.75" customHeight="1" spans="5:6">
      <c r="E146" s="96"/>
      <c r="F146" s="96"/>
    </row>
    <row r="147" ht="21.75" customHeight="1" spans="5:6">
      <c r="E147" s="96"/>
      <c r="F147" s="96"/>
    </row>
    <row r="148" ht="21.75" customHeight="1" spans="5:6">
      <c r="E148" s="96"/>
      <c r="F148" s="96"/>
    </row>
    <row r="149" ht="21.75" customHeight="1" spans="5:6">
      <c r="E149" s="96"/>
      <c r="F149" s="96"/>
    </row>
    <row r="150" ht="21.75" customHeight="1" spans="5:6">
      <c r="E150" s="96"/>
      <c r="F150" s="96"/>
    </row>
    <row r="151" ht="21.75" customHeight="1" spans="5:6">
      <c r="E151" s="96"/>
      <c r="F151" s="96"/>
    </row>
    <row r="152" ht="21.75" customHeight="1" spans="5:6">
      <c r="E152" s="96"/>
      <c r="F152" s="96"/>
    </row>
    <row r="153" ht="21.75" customHeight="1" spans="5:6">
      <c r="E153" s="96"/>
      <c r="F153" s="96"/>
    </row>
    <row r="154" ht="21.75" customHeight="1" spans="5:6">
      <c r="E154" s="96"/>
      <c r="F154" s="96"/>
    </row>
    <row r="155" ht="21.75" customHeight="1" spans="5:6">
      <c r="E155" s="96"/>
      <c r="F155" s="96"/>
    </row>
    <row r="156" ht="21.75" customHeight="1" spans="5:6">
      <c r="E156" s="96"/>
      <c r="F156" s="96"/>
    </row>
    <row r="157" ht="21.75" customHeight="1" spans="5:6">
      <c r="E157" s="96"/>
      <c r="F157" s="96"/>
    </row>
    <row r="158" ht="21.75" customHeight="1" spans="5:6">
      <c r="E158" s="96"/>
      <c r="F158" s="96"/>
    </row>
    <row r="159" ht="21.75" customHeight="1" spans="5:6">
      <c r="E159" s="96"/>
      <c r="F159" s="96"/>
    </row>
    <row r="160" ht="21.75" customHeight="1" spans="5:6">
      <c r="E160" s="96"/>
      <c r="F160" s="96"/>
    </row>
    <row r="161" ht="21.75" customHeight="1" spans="5:6">
      <c r="E161" s="96"/>
      <c r="F161" s="96"/>
    </row>
    <row r="162" ht="21.75" customHeight="1" spans="5:6">
      <c r="E162" s="96"/>
      <c r="F162" s="96"/>
    </row>
    <row r="163" ht="21.75" customHeight="1" spans="5:6">
      <c r="E163" s="96"/>
      <c r="F163" s="96"/>
    </row>
    <row r="164" ht="21.75" customHeight="1" spans="5:6">
      <c r="E164" s="96"/>
      <c r="F164" s="96"/>
    </row>
    <row r="165" ht="21.75" customHeight="1" spans="5:6">
      <c r="E165" s="96"/>
      <c r="F165" s="96"/>
    </row>
    <row r="166" ht="21.75" customHeight="1" spans="5:6">
      <c r="E166" s="96"/>
      <c r="F166" s="96"/>
    </row>
    <row r="167" ht="21.75" customHeight="1" spans="5:6">
      <c r="E167" s="96"/>
      <c r="F167" s="96"/>
    </row>
    <row r="168" ht="21.75" customHeight="1" spans="5:6">
      <c r="E168" s="96"/>
      <c r="F168" s="96"/>
    </row>
    <row r="169" ht="21.75" customHeight="1" spans="5:6">
      <c r="E169" s="96"/>
      <c r="F169" s="96"/>
    </row>
    <row r="170" ht="21.75" customHeight="1" spans="5:6">
      <c r="E170" s="96"/>
      <c r="F170" s="96"/>
    </row>
    <row r="171" ht="21.75" customHeight="1" spans="5:6">
      <c r="E171" s="96"/>
      <c r="F171" s="96"/>
    </row>
    <row r="172" ht="21.75" customHeight="1" spans="5:6">
      <c r="E172" s="96"/>
      <c r="F172" s="96"/>
    </row>
    <row r="173" ht="21.75" customHeight="1" spans="5:6">
      <c r="E173" s="96"/>
      <c r="F173" s="96"/>
    </row>
    <row r="174" ht="21.75" customHeight="1" spans="5:6">
      <c r="E174" s="96"/>
      <c r="F174" s="96"/>
    </row>
    <row r="175" ht="21.75" customHeight="1" spans="5:6">
      <c r="E175" s="96"/>
      <c r="F175" s="96"/>
    </row>
    <row r="176" ht="21.75" customHeight="1" spans="5:6">
      <c r="E176" s="96"/>
      <c r="F176" s="96"/>
    </row>
    <row r="177" ht="21.75" customHeight="1" spans="5:6">
      <c r="E177" s="96"/>
      <c r="F177" s="96"/>
    </row>
    <row r="178" ht="21.75" customHeight="1" spans="5:6">
      <c r="E178" s="96"/>
      <c r="F178" s="96"/>
    </row>
    <row r="179" ht="21.75" customHeight="1" spans="5:6">
      <c r="E179" s="96"/>
      <c r="F179" s="96"/>
    </row>
    <row r="180" ht="21.75" customHeight="1" spans="5:6">
      <c r="E180" s="96"/>
      <c r="F180" s="96"/>
    </row>
    <row r="181" ht="21.75" customHeight="1" spans="5:6">
      <c r="E181" s="96"/>
      <c r="F181" s="96"/>
    </row>
    <row r="182" ht="21.75" customHeight="1" spans="5:6">
      <c r="E182" s="96"/>
      <c r="F182" s="96"/>
    </row>
    <row r="183" ht="21.75" customHeight="1" spans="5:6">
      <c r="E183" s="96"/>
      <c r="F183" s="96"/>
    </row>
    <row r="184" ht="21.75" customHeight="1" spans="5:6">
      <c r="E184" s="96"/>
      <c r="F184" s="96"/>
    </row>
    <row r="185" ht="21.75" customHeight="1" spans="5:6">
      <c r="E185" s="96"/>
      <c r="F185" s="96"/>
    </row>
    <row r="186" ht="21.75" customHeight="1" spans="5:6">
      <c r="E186" s="96"/>
      <c r="F186" s="96"/>
    </row>
    <row r="187" ht="21.75" customHeight="1" spans="5:6">
      <c r="E187" s="96"/>
      <c r="F187" s="96"/>
    </row>
    <row r="188" ht="21.75" customHeight="1" spans="5:6">
      <c r="E188" s="96"/>
      <c r="F188" s="96"/>
    </row>
    <row r="189" ht="21.75" customHeight="1" spans="5:6">
      <c r="E189" s="96"/>
      <c r="F189" s="96"/>
    </row>
    <row r="190" ht="21.75" customHeight="1" spans="5:6">
      <c r="E190" s="96"/>
      <c r="F190" s="96"/>
    </row>
    <row r="191" ht="21.75" customHeight="1" spans="5:6">
      <c r="E191" s="96"/>
      <c r="F191" s="96"/>
    </row>
    <row r="192" ht="21.75" customHeight="1" spans="5:6">
      <c r="E192" s="96"/>
      <c r="F192" s="96"/>
    </row>
    <row r="193" ht="21.75" customHeight="1" spans="5:6">
      <c r="E193" s="96"/>
      <c r="F193" s="96"/>
    </row>
    <row r="194" ht="21.75" customHeight="1" spans="5:6">
      <c r="E194" s="96"/>
      <c r="F194" s="96"/>
    </row>
    <row r="195" ht="21.75" customHeight="1" spans="5:6">
      <c r="E195" s="96"/>
      <c r="F195" s="96"/>
    </row>
    <row r="196" ht="21.75" customHeight="1" spans="5:6">
      <c r="E196" s="96"/>
      <c r="F196" s="96"/>
    </row>
    <row r="197" ht="21.75" customHeight="1" spans="5:6">
      <c r="E197" s="96"/>
      <c r="F197" s="96"/>
    </row>
  </sheetData>
  <mergeCells count="12">
    <mergeCell ref="A1:K1"/>
    <mergeCell ref="A2:F2"/>
    <mergeCell ref="F3:G3"/>
    <mergeCell ref="A3:A4"/>
    <mergeCell ref="B3:B4"/>
    <mergeCell ref="C3:C4"/>
    <mergeCell ref="D3:D4"/>
    <mergeCell ref="E3:E4"/>
    <mergeCell ref="H3:H4"/>
    <mergeCell ref="I3:I4"/>
    <mergeCell ref="J3:J4"/>
    <mergeCell ref="K3:K4"/>
  </mergeCells>
  <printOptions horizontalCentered="1" verticalCentered="1"/>
  <pageMargins left="0.590277777777778" right="0.590277777777778" top="0.668055555555556" bottom="1.05902777777778" header="0.468055555555556" footer="0.507638888888889"/>
  <pageSetup paperSize="9" orientation="landscape" horizontalDpi="600" verticalDpi="180"/>
  <headerFooter alignWithMargins="0">
    <oddFooter>&amp;C
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7"/>
  <sheetViews>
    <sheetView zoomScale="95" zoomScaleNormal="95" topLeftCell="A55" workbookViewId="0">
      <selection activeCell="E62" sqref="E62"/>
    </sheetView>
  </sheetViews>
  <sheetFormatPr defaultColWidth="9" defaultRowHeight="12.75"/>
  <cols>
    <col min="1" max="1" width="5.75" style="3" customWidth="1"/>
    <col min="2" max="2" width="27.8916666666667" style="3" customWidth="1"/>
    <col min="3" max="3" width="10.3916666666667" style="5" customWidth="1"/>
    <col min="4" max="4" width="6.975" style="3" customWidth="1"/>
    <col min="5" max="5" width="11.5833333333333" style="5" customWidth="1"/>
    <col min="6" max="6" width="8.55" style="5" customWidth="1"/>
    <col min="7" max="7" width="34.6" style="5" customWidth="1"/>
    <col min="8" max="8" width="30.9416666666667" style="3" customWidth="1"/>
    <col min="9" max="9" width="11.4416666666667" style="3" customWidth="1"/>
    <col min="10" max="10" width="11.625" style="3" customWidth="1"/>
    <col min="11" max="11" width="9" style="3"/>
    <col min="12" max="12" width="10.1" style="3"/>
    <col min="13" max="16382" width="9" style="3"/>
    <col min="16383" max="16384" width="9" style="6"/>
  </cols>
  <sheetData>
    <row r="1" s="1" customFormat="1" ht="24.95" customHeight="1" spans="1:16384">
      <c r="A1" s="7" t="e">
        <f>总投资概算表!#REF!</f>
        <v>#REF!</v>
      </c>
      <c r="B1" s="8"/>
      <c r="C1" s="9" t="s">
        <v>74</v>
      </c>
      <c r="D1" s="10"/>
      <c r="E1" s="10"/>
      <c r="F1" s="10"/>
      <c r="G1" s="10"/>
      <c r="H1" s="11" t="s">
        <v>75</v>
      </c>
      <c r="XFC1" s="66"/>
      <c r="XFD1" s="66"/>
    </row>
    <row r="2" s="1" customFormat="1" ht="24.95" customHeight="1" spans="1:16384">
      <c r="A2" s="8"/>
      <c r="B2" s="8"/>
      <c r="C2" s="10"/>
      <c r="D2" s="10"/>
      <c r="E2" s="10"/>
      <c r="F2" s="10"/>
      <c r="G2" s="10"/>
      <c r="H2" s="12" t="s">
        <v>76</v>
      </c>
      <c r="XFC2" s="66"/>
      <c r="XFD2" s="66"/>
    </row>
    <row r="3" s="1" customFormat="1" ht="24.95" customHeight="1" spans="1:16384">
      <c r="A3" s="8"/>
      <c r="B3" s="8"/>
      <c r="C3" s="10"/>
      <c r="D3" s="10"/>
      <c r="E3" s="10"/>
      <c r="F3" s="10"/>
      <c r="G3" s="10"/>
      <c r="H3" s="12" t="s">
        <v>77</v>
      </c>
      <c r="XFC3" s="66"/>
      <c r="XFD3" s="66"/>
    </row>
    <row r="4" s="1" customFormat="1" ht="24.95" customHeight="1" spans="1:16384">
      <c r="A4" s="8"/>
      <c r="B4" s="8"/>
      <c r="C4" s="13" t="e">
        <f>总投资概算表!#REF!</f>
        <v>#REF!</v>
      </c>
      <c r="D4" s="14"/>
      <c r="E4" s="14"/>
      <c r="F4" s="14"/>
      <c r="G4" s="14"/>
      <c r="H4" s="15" t="s">
        <v>78</v>
      </c>
      <c r="XFC4" s="66"/>
      <c r="XFD4" s="66"/>
    </row>
    <row r="5" s="1" customFormat="1" ht="18" customHeight="1" spans="1:16384">
      <c r="A5" s="7" t="s">
        <v>2</v>
      </c>
      <c r="B5" s="7" t="s">
        <v>79</v>
      </c>
      <c r="C5" s="16" t="s">
        <v>80</v>
      </c>
      <c r="D5" s="17" t="s">
        <v>81</v>
      </c>
      <c r="E5" s="16" t="s">
        <v>82</v>
      </c>
      <c r="F5" s="16" t="s">
        <v>83</v>
      </c>
      <c r="G5" s="7" t="s">
        <v>84</v>
      </c>
      <c r="H5" s="8"/>
      <c r="I5" s="60"/>
      <c r="J5" s="60"/>
      <c r="K5" s="60"/>
      <c r="XFC5" s="66"/>
      <c r="XFD5" s="66"/>
    </row>
    <row r="6" s="1" customFormat="1" ht="18" customHeight="1" spans="1:16384">
      <c r="A6" s="8"/>
      <c r="B6" s="8"/>
      <c r="C6" s="18"/>
      <c r="D6" s="19"/>
      <c r="E6" s="18"/>
      <c r="F6" s="18"/>
      <c r="G6" s="8"/>
      <c r="H6" s="8"/>
      <c r="I6" s="60"/>
      <c r="J6" s="60"/>
      <c r="K6" s="60"/>
      <c r="XFC6" s="66"/>
      <c r="XFD6" s="66"/>
    </row>
    <row r="7" s="2" customFormat="1" ht="18" customHeight="1" spans="1:16384">
      <c r="A7" s="20" t="s">
        <v>19</v>
      </c>
      <c r="B7" s="21" t="s">
        <v>85</v>
      </c>
      <c r="C7" s="22"/>
      <c r="D7" s="23"/>
      <c r="E7" s="22">
        <f>E8+E13+E19+E25+E38+E39+E44+E47+E48+E49+E50+E51+E52+E53+E54+E62+E63</f>
        <v>1556.36678580437</v>
      </c>
      <c r="F7" s="22">
        <f>F8+F13+F19+F25+F38+F39+F44+F47+F48+F49+F50+F51+F52+F53+F54+F62+F63</f>
        <v>32.9526561149479</v>
      </c>
      <c r="G7" s="24"/>
      <c r="H7" s="24"/>
      <c r="I7" s="61"/>
      <c r="J7" s="61"/>
      <c r="K7" s="61"/>
      <c r="XFC7" s="67"/>
      <c r="XFD7" s="67"/>
    </row>
    <row r="8" s="1" customFormat="1" ht="18" customHeight="1" spans="1:16384">
      <c r="A8" s="8">
        <v>1</v>
      </c>
      <c r="B8" s="11" t="s">
        <v>42</v>
      </c>
      <c r="C8" s="25"/>
      <c r="D8" s="26"/>
      <c r="E8" s="25">
        <f>SUM(E9:E12)</f>
        <v>782.896</v>
      </c>
      <c r="F8" s="25"/>
      <c r="G8" s="27"/>
      <c r="H8" s="28"/>
      <c r="I8" s="60"/>
      <c r="J8" s="60"/>
      <c r="K8" s="60"/>
      <c r="XFC8" s="66"/>
      <c r="XFD8" s="66"/>
    </row>
    <row r="9" s="1" customFormat="1" ht="18" customHeight="1" spans="1:16384">
      <c r="A9" s="8">
        <v>1.1</v>
      </c>
      <c r="B9" s="11" t="s">
        <v>86</v>
      </c>
      <c r="C9" s="25"/>
      <c r="D9" s="26"/>
      <c r="E9" s="25">
        <v>100</v>
      </c>
      <c r="F9" s="25"/>
      <c r="G9" s="13" t="s">
        <v>87</v>
      </c>
      <c r="H9" s="14"/>
      <c r="I9" s="60"/>
      <c r="J9" s="60"/>
      <c r="K9" s="60"/>
      <c r="XFC9" s="66"/>
      <c r="XFD9" s="66"/>
    </row>
    <row r="10" s="1" customFormat="1" ht="18" customHeight="1" spans="1:16384">
      <c r="A10" s="8">
        <v>1.2</v>
      </c>
      <c r="B10" s="11" t="s">
        <v>88</v>
      </c>
      <c r="C10" s="25"/>
      <c r="D10" s="26"/>
      <c r="E10" s="25">
        <f>636*0.036</f>
        <v>22.896</v>
      </c>
      <c r="F10" s="25"/>
      <c r="G10" s="12" t="s">
        <v>89</v>
      </c>
      <c r="H10" s="12"/>
      <c r="I10" s="60"/>
      <c r="J10" s="60"/>
      <c r="K10" s="60"/>
      <c r="XFC10" s="66"/>
      <c r="XFD10" s="66"/>
    </row>
    <row r="11" s="1" customFormat="1" ht="18" customHeight="1" spans="1:16384">
      <c r="A11" s="8">
        <v>1.3</v>
      </c>
      <c r="B11" s="11" t="s">
        <v>90</v>
      </c>
      <c r="C11" s="25"/>
      <c r="D11" s="26"/>
      <c r="E11" s="25">
        <v>30</v>
      </c>
      <c r="F11" s="25"/>
      <c r="G11" s="13" t="s">
        <v>91</v>
      </c>
      <c r="H11" s="14"/>
      <c r="I11" s="62"/>
      <c r="J11" s="60"/>
      <c r="K11" s="60"/>
      <c r="XFC11" s="66"/>
      <c r="XFD11" s="66"/>
    </row>
    <row r="12" s="1" customFormat="1" ht="26" customHeight="1" spans="1:16384">
      <c r="A12" s="8">
        <v>1.4</v>
      </c>
      <c r="B12" s="11" t="s">
        <v>92</v>
      </c>
      <c r="C12" s="25"/>
      <c r="D12" s="26"/>
      <c r="E12" s="25">
        <v>630</v>
      </c>
      <c r="F12" s="25"/>
      <c r="G12" s="13" t="s">
        <v>91</v>
      </c>
      <c r="H12" s="14"/>
      <c r="I12" s="60"/>
      <c r="J12" s="60"/>
      <c r="K12" s="60"/>
      <c r="XFC12" s="66"/>
      <c r="XFD12" s="66"/>
    </row>
    <row r="13" s="1" customFormat="1" ht="18" customHeight="1" spans="1:16384">
      <c r="A13" s="8">
        <v>2</v>
      </c>
      <c r="B13" s="29" t="s">
        <v>43</v>
      </c>
      <c r="C13" s="25"/>
      <c r="D13" s="26"/>
      <c r="E13" s="25">
        <f>SUM(E14:E18)</f>
        <v>23.5701921785143</v>
      </c>
      <c r="F13" s="25">
        <f>SUM(F14:F18)</f>
        <v>1.33416182142534</v>
      </c>
      <c r="G13" s="30"/>
      <c r="H13" s="31"/>
      <c r="I13" s="60"/>
      <c r="J13" s="60"/>
      <c r="K13" s="60"/>
      <c r="XFC13" s="66"/>
      <c r="XFD13" s="66"/>
    </row>
    <row r="14" s="1" customFormat="1" ht="32" customHeight="1" spans="1:16384">
      <c r="A14" s="8">
        <v>2.1</v>
      </c>
      <c r="B14" s="29" t="s">
        <v>93</v>
      </c>
      <c r="C14" s="25">
        <f>总投资概算表!$J$8</f>
        <v>4216.80746</v>
      </c>
      <c r="D14" s="26">
        <f>E14/C14</f>
        <v>0.00126191645229703</v>
      </c>
      <c r="E14" s="25">
        <f>(6+(14-6)/7000*(C14-3000))*1.2*0.6</f>
        <v>5.32125870994286</v>
      </c>
      <c r="F14" s="25">
        <f t="shared" ref="F14:F17" si="0">E14/1.06*0.06</f>
        <v>0.301203323204313</v>
      </c>
      <c r="G14" s="32" t="s">
        <v>94</v>
      </c>
      <c r="H14" s="31"/>
      <c r="I14" s="60"/>
      <c r="J14" s="60"/>
      <c r="K14" s="60"/>
      <c r="XFC14" s="66"/>
      <c r="XFD14" s="66"/>
    </row>
    <row r="15" s="1" customFormat="1" ht="32" customHeight="1" spans="1:16384">
      <c r="A15" s="8">
        <v>2.2</v>
      </c>
      <c r="B15" s="29" t="s">
        <v>95</v>
      </c>
      <c r="C15" s="25">
        <f>总投资概算表!$J$8</f>
        <v>4216.80746</v>
      </c>
      <c r="D15" s="26">
        <f>E15/C15</f>
        <v>0.000801703513152917</v>
      </c>
      <c r="E15" s="25">
        <f>(4+(8-4)/7000*(C15-3000))*1.2*0.6</f>
        <v>3.38062935497143</v>
      </c>
      <c r="F15" s="25">
        <f t="shared" si="0"/>
        <v>0.191356378583288</v>
      </c>
      <c r="G15" s="32" t="s">
        <v>96</v>
      </c>
      <c r="H15" s="31"/>
      <c r="I15" s="60"/>
      <c r="J15" s="60"/>
      <c r="K15" s="60"/>
      <c r="XFC15" s="66"/>
      <c r="XFD15" s="66"/>
    </row>
    <row r="16" s="1" customFormat="1" ht="58" customHeight="1" spans="1:16384">
      <c r="A16" s="8">
        <v>2.3</v>
      </c>
      <c r="B16" s="11" t="s">
        <v>97</v>
      </c>
      <c r="C16" s="25">
        <f>总投资概算表!$J$8</f>
        <v>4216.80746</v>
      </c>
      <c r="D16" s="26">
        <f t="shared" ref="D16:D20" si="1">E16/C16</f>
        <v>0.00252383290459406</v>
      </c>
      <c r="E16" s="25">
        <f>(12+(28-12)/7000*(C16-3000))*1.2*0.6</f>
        <v>10.6425174198857</v>
      </c>
      <c r="F16" s="25">
        <f t="shared" si="0"/>
        <v>0.602406646408625</v>
      </c>
      <c r="G16" s="33" t="s">
        <v>98</v>
      </c>
      <c r="H16" s="34"/>
      <c r="I16" s="60"/>
      <c r="J16" s="60"/>
      <c r="K16" s="60"/>
      <c r="XFC16" s="66"/>
      <c r="XFD16" s="66"/>
    </row>
    <row r="17" s="1" customFormat="1" ht="60" customHeight="1" spans="1:16384">
      <c r="A17" s="8">
        <v>2.4</v>
      </c>
      <c r="B17" s="11" t="s">
        <v>99</v>
      </c>
      <c r="C17" s="25">
        <f>总投资概算表!$J$8</f>
        <v>4216.80746</v>
      </c>
      <c r="D17" s="26">
        <f t="shared" si="1"/>
        <v>0.00100212939144115</v>
      </c>
      <c r="E17" s="25">
        <f>(5+(10-5)/7000*(C17-3000))*1.2*0.6</f>
        <v>4.22578669371429</v>
      </c>
      <c r="F17" s="25">
        <f t="shared" si="0"/>
        <v>0.23919547322911</v>
      </c>
      <c r="G17" s="33" t="s">
        <v>100</v>
      </c>
      <c r="H17" s="34"/>
      <c r="I17" s="60"/>
      <c r="J17" s="60"/>
      <c r="K17" s="60"/>
      <c r="XFC17" s="66"/>
      <c r="XFD17" s="66"/>
    </row>
    <row r="18" s="3" customFormat="1" ht="31" customHeight="1" spans="1:16384">
      <c r="A18" s="35"/>
      <c r="B18" s="36" t="s">
        <v>101</v>
      </c>
      <c r="C18" s="37"/>
      <c r="D18" s="38"/>
      <c r="E18" s="37">
        <v>0</v>
      </c>
      <c r="F18" s="37"/>
      <c r="G18" s="39" t="s">
        <v>102</v>
      </c>
      <c r="H18" s="40"/>
      <c r="I18" s="63" t="s">
        <v>103</v>
      </c>
      <c r="J18" s="64"/>
      <c r="K18" s="64"/>
      <c r="XFC18" s="6"/>
      <c r="XFD18" s="6"/>
    </row>
    <row r="19" s="1" customFormat="1" ht="18" customHeight="1" spans="1:16384">
      <c r="A19" s="8">
        <v>3</v>
      </c>
      <c r="B19" s="11" t="s">
        <v>45</v>
      </c>
      <c r="C19" s="25"/>
      <c r="D19" s="8"/>
      <c r="E19" s="25">
        <f>SUM(E20:E24)</f>
        <v>251.335203036125</v>
      </c>
      <c r="F19" s="25">
        <f>SUM(F20:F24)</f>
        <v>5.12490566037736</v>
      </c>
      <c r="G19" s="27"/>
      <c r="H19" s="28"/>
      <c r="I19" s="60"/>
      <c r="J19" s="60"/>
      <c r="K19" s="60"/>
      <c r="XFC19" s="66"/>
      <c r="XFD19" s="66"/>
    </row>
    <row r="20" s="1" customFormat="1" ht="54" customHeight="1" spans="1:16384">
      <c r="A20" s="8">
        <v>3.1</v>
      </c>
      <c r="B20" s="11" t="s">
        <v>104</v>
      </c>
      <c r="C20" s="25">
        <f>(总投资概算表!J8-总投资概算表!E37+E13+E22+E25+E38+E39+E44+E47+E48+E49+E50+E51+E52+E53+E54+E62+E63)/0.95</f>
        <v>4950.9015881771</v>
      </c>
      <c r="D20" s="26">
        <f>E20/C20</f>
        <v>0.0160396682591633</v>
      </c>
      <c r="E20" s="41">
        <f>80+(C20-5000)*1.2%</f>
        <v>79.4108190581252</v>
      </c>
      <c r="F20" s="25"/>
      <c r="G20" s="33" t="s">
        <v>105</v>
      </c>
      <c r="H20" s="34"/>
      <c r="I20" s="60"/>
      <c r="J20" s="60"/>
      <c r="K20" s="60"/>
      <c r="XFC20" s="66"/>
      <c r="XFD20" s="66"/>
    </row>
    <row r="21" s="3" customFormat="1" ht="26" customHeight="1" spans="1:16384">
      <c r="A21" s="35"/>
      <c r="B21" s="36" t="s">
        <v>106</v>
      </c>
      <c r="C21" s="37"/>
      <c r="D21" s="38">
        <v>0.002</v>
      </c>
      <c r="E21" s="37">
        <f t="shared" ref="E21:E24" si="2">C21*D21</f>
        <v>0</v>
      </c>
      <c r="F21" s="37"/>
      <c r="G21" s="39" t="s">
        <v>107</v>
      </c>
      <c r="H21" s="40"/>
      <c r="I21" s="63" t="s">
        <v>103</v>
      </c>
      <c r="J21" s="64"/>
      <c r="K21" s="64"/>
      <c r="XFC21" s="6"/>
      <c r="XFD21" s="6"/>
    </row>
    <row r="22" s="1" customFormat="1" ht="53" customHeight="1" spans="1:16384">
      <c r="A22" s="8">
        <v>3.2</v>
      </c>
      <c r="B22" s="11" t="s">
        <v>108</v>
      </c>
      <c r="C22" s="25">
        <v>6500</v>
      </c>
      <c r="D22" s="26">
        <f>E22/C22</f>
        <v>0.0139292307692308</v>
      </c>
      <c r="E22" s="25">
        <f>(120.8+(181-120.8)/3000*(C22-5000))*0.6</f>
        <v>90.54</v>
      </c>
      <c r="F22" s="25">
        <f t="shared" ref="F22:F38" si="3">E22/1.06*0.06</f>
        <v>5.12490566037736</v>
      </c>
      <c r="G22" s="33" t="s">
        <v>109</v>
      </c>
      <c r="H22" s="34"/>
      <c r="I22" s="60"/>
      <c r="J22" s="60"/>
      <c r="K22" s="60"/>
      <c r="XFC22" s="66"/>
      <c r="XFD22" s="66"/>
    </row>
    <row r="23" s="1" customFormat="1" ht="37" customHeight="1" spans="1:16384">
      <c r="A23" s="8">
        <v>3.3</v>
      </c>
      <c r="B23" s="42" t="s">
        <v>110</v>
      </c>
      <c r="C23" s="25">
        <f>总投资概算表!J8</f>
        <v>4216.80746</v>
      </c>
      <c r="D23" s="43">
        <v>0.0193</v>
      </c>
      <c r="E23" s="25">
        <f t="shared" si="2"/>
        <v>81.384383978</v>
      </c>
      <c r="F23" s="25"/>
      <c r="G23" s="33" t="s">
        <v>111</v>
      </c>
      <c r="H23" s="34"/>
      <c r="I23" s="62"/>
      <c r="J23" s="60"/>
      <c r="K23" s="65"/>
      <c r="XFC23" s="66"/>
      <c r="XFD23" s="66"/>
    </row>
    <row r="24" s="3" customFormat="1" ht="41" customHeight="1" spans="1:16384">
      <c r="A24" s="35"/>
      <c r="B24" s="36" t="s">
        <v>112</v>
      </c>
      <c r="C24" s="37">
        <f>E20</f>
        <v>79.4108190581252</v>
      </c>
      <c r="D24" s="38">
        <v>0</v>
      </c>
      <c r="E24" s="37">
        <f t="shared" si="2"/>
        <v>0</v>
      </c>
      <c r="F24" s="37"/>
      <c r="G24" s="39" t="s">
        <v>113</v>
      </c>
      <c r="H24" s="40"/>
      <c r="I24" s="64"/>
      <c r="J24" s="64"/>
      <c r="K24" s="64"/>
      <c r="XFC24" s="6"/>
      <c r="XFD24" s="6"/>
    </row>
    <row r="25" s="1" customFormat="1" ht="18" customHeight="1" spans="1:16384">
      <c r="A25" s="8">
        <v>4</v>
      </c>
      <c r="B25" s="11" t="s">
        <v>47</v>
      </c>
      <c r="C25" s="25"/>
      <c r="D25" s="26"/>
      <c r="E25" s="25">
        <f>SUM(E26:E37)</f>
        <v>107.913175885935</v>
      </c>
      <c r="F25" s="25">
        <f>SUM(F26:F37)</f>
        <v>6.10829297467558</v>
      </c>
      <c r="G25" s="27"/>
      <c r="H25" s="28"/>
      <c r="I25" s="60"/>
      <c r="J25" s="60"/>
      <c r="K25" s="60"/>
      <c r="XFC25" s="66"/>
      <c r="XFD25" s="66"/>
    </row>
    <row r="26" s="1" customFormat="1" ht="67" customHeight="1" spans="1:16384">
      <c r="A26" s="8">
        <v>4.1</v>
      </c>
      <c r="B26" s="11" t="s">
        <v>114</v>
      </c>
      <c r="C26" s="25">
        <f>总投资概算表!$J$8</f>
        <v>4216.80746</v>
      </c>
      <c r="D26" s="26">
        <f t="shared" ref="D22:D36" si="4">E26/C26</f>
        <v>0.00247214654577174</v>
      </c>
      <c r="E26" s="25">
        <f>(10+(22-10)/17000*(C26-3000))*1.2*0.8</f>
        <v>10.4245659964235</v>
      </c>
      <c r="F26" s="25">
        <f t="shared" si="3"/>
        <v>0.590069773382462</v>
      </c>
      <c r="G26" s="33" t="s">
        <v>115</v>
      </c>
      <c r="H26" s="34"/>
      <c r="I26" s="60"/>
      <c r="J26" s="60"/>
      <c r="K26" s="60"/>
      <c r="XFC26" s="66"/>
      <c r="XFD26" s="66"/>
    </row>
    <row r="27" s="1" customFormat="1" ht="43" customHeight="1" spans="1:16384">
      <c r="A27" s="8">
        <v>4.2</v>
      </c>
      <c r="B27" s="42" t="s">
        <v>116</v>
      </c>
      <c r="C27" s="25">
        <f>总投资概算表!$J$8</f>
        <v>4216.80746</v>
      </c>
      <c r="D27" s="26">
        <f t="shared" si="4"/>
        <v>0.00355719347925836</v>
      </c>
      <c r="E27" s="25">
        <v>15</v>
      </c>
      <c r="F27" s="25">
        <f t="shared" si="3"/>
        <v>0.849056603773585</v>
      </c>
      <c r="G27" s="33" t="s">
        <v>117</v>
      </c>
      <c r="H27" s="34"/>
      <c r="I27" s="60"/>
      <c r="J27" s="60"/>
      <c r="K27" s="60"/>
      <c r="XFC27" s="66"/>
      <c r="XFD27" s="66"/>
    </row>
    <row r="28" s="3" customFormat="1" ht="48" customHeight="1" spans="1:16384">
      <c r="A28" s="35"/>
      <c r="B28" s="44" t="s">
        <v>118</v>
      </c>
      <c r="C28" s="37">
        <f>总投资概算表!$J$8</f>
        <v>4216.80746</v>
      </c>
      <c r="D28" s="38">
        <f t="shared" si="4"/>
        <v>0</v>
      </c>
      <c r="E28" s="37">
        <f>C28/3000*8*0</f>
        <v>0</v>
      </c>
      <c r="F28" s="37">
        <f t="shared" si="3"/>
        <v>0</v>
      </c>
      <c r="G28" s="39" t="s">
        <v>119</v>
      </c>
      <c r="H28" s="40"/>
      <c r="I28" s="63" t="s">
        <v>103</v>
      </c>
      <c r="J28" s="64"/>
      <c r="K28" s="64"/>
      <c r="XFC28" s="6"/>
      <c r="XFD28" s="6"/>
    </row>
    <row r="29" s="1" customFormat="1" ht="48" customHeight="1" spans="1:16384">
      <c r="A29" s="8">
        <v>4.3</v>
      </c>
      <c r="B29" s="45" t="s">
        <v>120</v>
      </c>
      <c r="C29" s="25">
        <f>总投资概算表!$J$8</f>
        <v>4216.80746</v>
      </c>
      <c r="D29" s="26">
        <f t="shared" si="4"/>
        <v>0.00118573115975279</v>
      </c>
      <c r="E29" s="25">
        <v>5</v>
      </c>
      <c r="F29" s="25">
        <f t="shared" si="3"/>
        <v>0.283018867924528</v>
      </c>
      <c r="G29" s="33" t="s">
        <v>121</v>
      </c>
      <c r="H29" s="34"/>
      <c r="I29" s="60"/>
      <c r="J29" s="60"/>
      <c r="K29" s="60"/>
      <c r="XFC29" s="66"/>
      <c r="XFD29" s="66"/>
    </row>
    <row r="30" s="1" customFormat="1" ht="47" customHeight="1" spans="1:16384">
      <c r="A30" s="8">
        <v>4.4</v>
      </c>
      <c r="B30" s="29" t="s">
        <v>122</v>
      </c>
      <c r="C30" s="25">
        <f>总投资概算表!$J$8</f>
        <v>4216.80746</v>
      </c>
      <c r="D30" s="26">
        <f t="shared" si="4"/>
        <v>0.00118573115975279</v>
      </c>
      <c r="E30" s="25">
        <v>5</v>
      </c>
      <c r="F30" s="25">
        <f t="shared" si="3"/>
        <v>0.283018867924528</v>
      </c>
      <c r="G30" s="33" t="s">
        <v>123</v>
      </c>
      <c r="H30" s="34"/>
      <c r="I30" s="60"/>
      <c r="J30" s="60"/>
      <c r="K30" s="60"/>
      <c r="XFC30" s="66"/>
      <c r="XFD30" s="66"/>
    </row>
    <row r="31" s="1" customFormat="1" ht="43" customHeight="1" spans="1:16384">
      <c r="A31" s="8">
        <v>4.5</v>
      </c>
      <c r="B31" s="45" t="s">
        <v>124</v>
      </c>
      <c r="C31" s="25">
        <f>总投资概算表!$J$8</f>
        <v>4216.80746</v>
      </c>
      <c r="D31" s="26">
        <f t="shared" si="4"/>
        <v>0.00355719347925836</v>
      </c>
      <c r="E31" s="25">
        <v>15</v>
      </c>
      <c r="F31" s="25">
        <f t="shared" si="3"/>
        <v>0.849056603773585</v>
      </c>
      <c r="G31" s="33" t="s">
        <v>125</v>
      </c>
      <c r="H31" s="34"/>
      <c r="I31" s="60"/>
      <c r="J31" s="60"/>
      <c r="K31" s="60"/>
      <c r="XFC31" s="66"/>
      <c r="XFD31" s="66"/>
    </row>
    <row r="32" s="1" customFormat="1" ht="41" customHeight="1" spans="1:16384">
      <c r="A32" s="8">
        <v>4.6</v>
      </c>
      <c r="B32" s="29" t="s">
        <v>126</v>
      </c>
      <c r="C32" s="25">
        <f>总投资概算表!$J$8</f>
        <v>4216.80746</v>
      </c>
      <c r="D32" s="26">
        <f t="shared" si="4"/>
        <v>0.00237146231950557</v>
      </c>
      <c r="E32" s="25">
        <v>10</v>
      </c>
      <c r="F32" s="25">
        <f t="shared" si="3"/>
        <v>0.566037735849056</v>
      </c>
      <c r="G32" s="33" t="s">
        <v>127</v>
      </c>
      <c r="H32" s="34"/>
      <c r="I32" s="60"/>
      <c r="J32" s="60"/>
      <c r="K32" s="60"/>
      <c r="XFC32" s="66"/>
      <c r="XFD32" s="66"/>
    </row>
    <row r="33" s="1" customFormat="1" ht="42" customHeight="1" spans="1:16384">
      <c r="A33" s="8">
        <v>4.7</v>
      </c>
      <c r="B33" s="29" t="s">
        <v>128</v>
      </c>
      <c r="C33" s="25">
        <f>总投资概算表!$J$8</f>
        <v>4216.80746</v>
      </c>
      <c r="D33" s="26">
        <f t="shared" si="4"/>
        <v>0.0015</v>
      </c>
      <c r="E33" s="25">
        <f>C33/20000*15*2</f>
        <v>6.32521119</v>
      </c>
      <c r="F33" s="25">
        <f t="shared" si="3"/>
        <v>0.358030822075472</v>
      </c>
      <c r="G33" s="33" t="s">
        <v>129</v>
      </c>
      <c r="H33" s="34"/>
      <c r="I33" s="62"/>
      <c r="J33" s="60"/>
      <c r="K33" s="60"/>
      <c r="XFC33" s="66"/>
      <c r="XFD33" s="66"/>
    </row>
    <row r="34" s="1" customFormat="1" ht="53" customHeight="1" spans="1:16384">
      <c r="A34" s="8">
        <v>4.8</v>
      </c>
      <c r="B34" s="29" t="s">
        <v>130</v>
      </c>
      <c r="C34" s="25">
        <f>总投资概算表!$J$8</f>
        <v>4216.80746</v>
      </c>
      <c r="D34" s="26">
        <f t="shared" si="4"/>
        <v>0.00045</v>
      </c>
      <c r="E34" s="25">
        <f>C34/20000*30*0.3</f>
        <v>1.897563357</v>
      </c>
      <c r="F34" s="25">
        <f t="shared" si="3"/>
        <v>0.107409246622641</v>
      </c>
      <c r="G34" s="33" t="s">
        <v>131</v>
      </c>
      <c r="H34" s="34"/>
      <c r="I34" s="62"/>
      <c r="J34" s="60"/>
      <c r="K34" s="60"/>
      <c r="XFC34" s="66"/>
      <c r="XFD34" s="66"/>
    </row>
    <row r="35" s="1" customFormat="1" ht="44" customHeight="1" spans="1:16384">
      <c r="A35" s="8">
        <v>4.9</v>
      </c>
      <c r="B35" s="11" t="s">
        <v>132</v>
      </c>
      <c r="C35" s="25">
        <f>总投资概算表!$J$8</f>
        <v>4216.80746</v>
      </c>
      <c r="D35" s="26">
        <f t="shared" si="4"/>
        <v>0.00474292463901114</v>
      </c>
      <c r="E35" s="25">
        <v>20</v>
      </c>
      <c r="F35" s="25">
        <f t="shared" si="3"/>
        <v>1.13207547169811</v>
      </c>
      <c r="G35" s="33" t="s">
        <v>133</v>
      </c>
      <c r="H35" s="34"/>
      <c r="I35" s="62"/>
      <c r="J35" s="60"/>
      <c r="K35" s="60"/>
      <c r="XFC35" s="66"/>
      <c r="XFD35" s="66"/>
    </row>
    <row r="36" s="1" customFormat="1" ht="29" customHeight="1" spans="1:16384">
      <c r="A36" s="25">
        <v>4.1</v>
      </c>
      <c r="B36" s="11" t="s">
        <v>134</v>
      </c>
      <c r="C36" s="25">
        <f>总投资概算表!$J$8</f>
        <v>4216.80746</v>
      </c>
      <c r="D36" s="26">
        <f t="shared" si="4"/>
        <v>0.00237146231950557</v>
      </c>
      <c r="E36" s="25">
        <v>10</v>
      </c>
      <c r="F36" s="25">
        <f t="shared" si="3"/>
        <v>0.566037735849056</v>
      </c>
      <c r="G36" s="33" t="s">
        <v>135</v>
      </c>
      <c r="H36" s="34"/>
      <c r="I36" s="62"/>
      <c r="J36" s="60"/>
      <c r="K36" s="60"/>
      <c r="XFC36" s="66"/>
      <c r="XFD36" s="66"/>
    </row>
    <row r="37" s="1" customFormat="1" ht="39" customHeight="1" spans="1:16384">
      <c r="A37" s="25">
        <v>4.11</v>
      </c>
      <c r="B37" s="11" t="s">
        <v>136</v>
      </c>
      <c r="C37" s="25">
        <f>E39</f>
        <v>142.55131296172</v>
      </c>
      <c r="D37" s="26">
        <v>0.065</v>
      </c>
      <c r="E37" s="25">
        <f>C37*D37</f>
        <v>9.26583534251177</v>
      </c>
      <c r="F37" s="25">
        <f t="shared" si="3"/>
        <v>0.524481245802553</v>
      </c>
      <c r="G37" s="33" t="s">
        <v>137</v>
      </c>
      <c r="H37" s="34"/>
      <c r="I37" s="62"/>
      <c r="J37" s="60"/>
      <c r="K37" s="60"/>
      <c r="XFC37" s="66"/>
      <c r="XFD37" s="66"/>
    </row>
    <row r="38" s="1" customFormat="1" ht="33" customHeight="1" spans="1:16384">
      <c r="A38" s="8">
        <v>5</v>
      </c>
      <c r="B38" s="11" t="s">
        <v>49</v>
      </c>
      <c r="C38" s="25"/>
      <c r="D38" s="26"/>
      <c r="E38" s="25">
        <v>15</v>
      </c>
      <c r="F38" s="25">
        <f t="shared" si="3"/>
        <v>0.849056603773585</v>
      </c>
      <c r="G38" s="33" t="s">
        <v>135</v>
      </c>
      <c r="H38" s="34"/>
      <c r="I38" s="62"/>
      <c r="J38" s="60"/>
      <c r="K38" s="60"/>
      <c r="XFC38" s="66"/>
      <c r="XFD38" s="66"/>
    </row>
    <row r="39" s="1" customFormat="1" ht="18" customHeight="1" spans="1:16384">
      <c r="A39" s="8">
        <v>6</v>
      </c>
      <c r="B39" s="11" t="s">
        <v>51</v>
      </c>
      <c r="C39" s="25"/>
      <c r="D39" s="26"/>
      <c r="E39" s="25">
        <f>SUM(E40:E43)</f>
        <v>142.55131296172</v>
      </c>
      <c r="F39" s="25">
        <f>SUM(F40:F43)</f>
        <v>8.0689422431162</v>
      </c>
      <c r="G39" s="27"/>
      <c r="H39" s="28"/>
      <c r="I39" s="60"/>
      <c r="J39" s="60"/>
      <c r="K39" s="60"/>
      <c r="XFC39" s="66"/>
      <c r="XFD39" s="66"/>
    </row>
    <row r="40" s="1" customFormat="1" ht="52" customHeight="1" spans="1:16384">
      <c r="A40" s="8">
        <v>6.1</v>
      </c>
      <c r="B40" s="11" t="s">
        <v>138</v>
      </c>
      <c r="C40" s="25">
        <f>总投资概算表!$J$8</f>
        <v>4216.80746</v>
      </c>
      <c r="D40" s="26">
        <v>0.009</v>
      </c>
      <c r="E40" s="25">
        <f>C40*D40</f>
        <v>37.95126714</v>
      </c>
      <c r="F40" s="25">
        <f t="shared" ref="F40:F43" si="5">E40/1.06*0.06</f>
        <v>2.14818493245283</v>
      </c>
      <c r="G40" s="33" t="s">
        <v>139</v>
      </c>
      <c r="H40" s="34"/>
      <c r="I40" s="60"/>
      <c r="J40" s="60"/>
      <c r="K40" s="60"/>
      <c r="XFC40" s="66"/>
      <c r="XFD40" s="66"/>
    </row>
    <row r="41" s="1" customFormat="1" ht="41" customHeight="1" spans="1:16384">
      <c r="A41" s="8">
        <v>6.2</v>
      </c>
      <c r="B41" s="11" t="s">
        <v>140</v>
      </c>
      <c r="C41" s="25">
        <f>总投资概算表!$J$8</f>
        <v>4216.80746</v>
      </c>
      <c r="D41" s="26">
        <f>E41/C41</f>
        <v>0.0229680617856263</v>
      </c>
      <c r="E41" s="25">
        <f>(103.8+(163.9-103.8)/2000*(C41-3000))*0.69</f>
        <v>96.85189427937</v>
      </c>
      <c r="F41" s="25">
        <f t="shared" si="5"/>
        <v>5.48218269505868</v>
      </c>
      <c r="G41" s="33" t="s">
        <v>141</v>
      </c>
      <c r="H41" s="34"/>
      <c r="I41" s="60"/>
      <c r="J41" s="60"/>
      <c r="K41" s="60"/>
      <c r="XFC41" s="66"/>
      <c r="XFD41" s="66"/>
    </row>
    <row r="42" s="3" customFormat="1" ht="38" customHeight="1" spans="1:16384">
      <c r="A42" s="35"/>
      <c r="B42" s="46" t="s">
        <v>142</v>
      </c>
      <c r="C42" s="37">
        <f>E41</f>
        <v>96.85189427937</v>
      </c>
      <c r="D42" s="38">
        <v>0</v>
      </c>
      <c r="E42" s="37">
        <f t="shared" ref="E40:E43" si="6">C42*D42</f>
        <v>0</v>
      </c>
      <c r="F42" s="37">
        <f t="shared" si="5"/>
        <v>0</v>
      </c>
      <c r="G42" s="39" t="s">
        <v>143</v>
      </c>
      <c r="H42" s="40"/>
      <c r="I42" s="64"/>
      <c r="J42" s="64"/>
      <c r="K42" s="64"/>
      <c r="XFC42" s="6"/>
      <c r="XFD42" s="6"/>
    </row>
    <row r="43" s="1" customFormat="1" ht="45" customHeight="1" spans="1:16384">
      <c r="A43" s="8">
        <v>6.3</v>
      </c>
      <c r="B43" s="47" t="s">
        <v>144</v>
      </c>
      <c r="C43" s="25">
        <f>E41</f>
        <v>96.85189427937</v>
      </c>
      <c r="D43" s="26">
        <v>0.08</v>
      </c>
      <c r="E43" s="25">
        <f t="shared" si="6"/>
        <v>7.7481515423496</v>
      </c>
      <c r="F43" s="25">
        <f t="shared" si="5"/>
        <v>0.438574615604694</v>
      </c>
      <c r="G43" s="33" t="s">
        <v>145</v>
      </c>
      <c r="H43" s="34"/>
      <c r="I43" s="60"/>
      <c r="J43" s="60"/>
      <c r="K43" s="60"/>
      <c r="XFC43" s="66"/>
      <c r="XFD43" s="66"/>
    </row>
    <row r="44" s="1" customFormat="1" ht="23" customHeight="1" spans="1:16384">
      <c r="A44" s="8">
        <v>7</v>
      </c>
      <c r="B44" s="29" t="s">
        <v>53</v>
      </c>
      <c r="C44" s="25"/>
      <c r="D44" s="26"/>
      <c r="E44" s="25">
        <f>SUM(E45:E46)</f>
        <v>8.43361492</v>
      </c>
      <c r="F44" s="25">
        <f>SUM(F45:F46)</f>
        <v>0.278541410201835</v>
      </c>
      <c r="G44" s="27"/>
      <c r="H44" s="28"/>
      <c r="I44" s="62"/>
      <c r="J44" s="60"/>
      <c r="K44" s="60"/>
      <c r="XFC44" s="66"/>
      <c r="XFD44" s="66"/>
    </row>
    <row r="45" s="3" customFormat="1" ht="18" customHeight="1" spans="1:16384">
      <c r="A45" s="35"/>
      <c r="B45" s="36" t="s">
        <v>146</v>
      </c>
      <c r="C45" s="37"/>
      <c r="D45" s="38"/>
      <c r="E45" s="37"/>
      <c r="F45" s="37">
        <f>E45/1.11*0.11</f>
        <v>0</v>
      </c>
      <c r="G45" s="48"/>
      <c r="H45" s="49"/>
      <c r="I45" s="63" t="s">
        <v>103</v>
      </c>
      <c r="J45" s="64"/>
      <c r="K45" s="64"/>
      <c r="XFC45" s="6"/>
      <c r="XFD45" s="6"/>
    </row>
    <row r="46" s="1" customFormat="1" ht="43" customHeight="1" spans="1:16384">
      <c r="A46" s="8">
        <v>7.1</v>
      </c>
      <c r="B46" s="42" t="s">
        <v>147</v>
      </c>
      <c r="C46" s="25">
        <f>总投资概算表!$J$8</f>
        <v>4216.80746</v>
      </c>
      <c r="D46" s="26">
        <v>0.002</v>
      </c>
      <c r="E46" s="25">
        <f>C46*D46</f>
        <v>8.43361492</v>
      </c>
      <c r="F46" s="25">
        <f>E46*0.4/1.09*0.09</f>
        <v>0.278541410201835</v>
      </c>
      <c r="G46" s="33" t="s">
        <v>148</v>
      </c>
      <c r="H46" s="34"/>
      <c r="I46" s="62"/>
      <c r="J46" s="60"/>
      <c r="K46" s="60"/>
      <c r="XFC46" s="66"/>
      <c r="XFD46" s="66"/>
    </row>
    <row r="47" s="3" customFormat="1" ht="24" customHeight="1" spans="1:16384">
      <c r="A47" s="35"/>
      <c r="B47" s="44" t="s">
        <v>149</v>
      </c>
      <c r="C47" s="37"/>
      <c r="D47" s="38"/>
      <c r="E47" s="37"/>
      <c r="F47" s="37">
        <f>E47/1.06*0.06</f>
        <v>0</v>
      </c>
      <c r="G47" s="50"/>
      <c r="H47" s="51"/>
      <c r="I47" s="63" t="s">
        <v>103</v>
      </c>
      <c r="J47" s="64"/>
      <c r="K47" s="64"/>
      <c r="XFC47" s="6"/>
      <c r="XFD47" s="6"/>
    </row>
    <row r="48" s="1" customFormat="1" ht="38" customHeight="1" spans="1:16384">
      <c r="A48" s="8">
        <v>8</v>
      </c>
      <c r="B48" s="29" t="s">
        <v>55</v>
      </c>
      <c r="C48" s="25">
        <f>总投资概算表!$J$8</f>
        <v>4216.80746</v>
      </c>
      <c r="D48" s="26">
        <v>0.003</v>
      </c>
      <c r="E48" s="25">
        <f>C48*D48</f>
        <v>12.65042238</v>
      </c>
      <c r="F48" s="25">
        <f t="shared" ref="F48:F53" si="7">E48/1.06*0.06</f>
        <v>0.716061644150943</v>
      </c>
      <c r="G48" s="33" t="s">
        <v>150</v>
      </c>
      <c r="H48" s="34"/>
      <c r="I48" s="60"/>
      <c r="J48" s="60"/>
      <c r="K48" s="60"/>
      <c r="XFC48" s="66"/>
      <c r="XFD48" s="66"/>
    </row>
    <row r="49" s="1" customFormat="1" ht="41" customHeight="1" spans="1:16384">
      <c r="A49" s="8">
        <v>9</v>
      </c>
      <c r="B49" s="11" t="s">
        <v>57</v>
      </c>
      <c r="C49" s="25">
        <f>总投资概算表!J8-总投资概算表!E8</f>
        <v>3144.476814</v>
      </c>
      <c r="D49" s="26">
        <v>0.005</v>
      </c>
      <c r="E49" s="25">
        <f>C49*D49</f>
        <v>15.72238407</v>
      </c>
      <c r="F49" s="25"/>
      <c r="G49" s="33" t="s">
        <v>151</v>
      </c>
      <c r="H49" s="34"/>
      <c r="I49" s="60"/>
      <c r="J49" s="60"/>
      <c r="K49" s="60"/>
      <c r="XFC49" s="66"/>
      <c r="XFD49" s="66"/>
    </row>
    <row r="50" s="1" customFormat="1" ht="40" customHeight="1" spans="1:16384">
      <c r="A50" s="8">
        <v>10</v>
      </c>
      <c r="B50" s="29" t="s">
        <v>152</v>
      </c>
      <c r="C50" s="25"/>
      <c r="D50" s="26"/>
      <c r="E50" s="25">
        <v>20</v>
      </c>
      <c r="F50" s="25">
        <f t="shared" si="7"/>
        <v>1.13207547169811</v>
      </c>
      <c r="G50" s="33" t="s">
        <v>127</v>
      </c>
      <c r="H50" s="34"/>
      <c r="I50" s="60"/>
      <c r="J50" s="60"/>
      <c r="K50" s="60"/>
      <c r="XFC50" s="66"/>
      <c r="XFD50" s="66"/>
    </row>
    <row r="51" s="3" customFormat="1" ht="24" customHeight="1" spans="1:16384">
      <c r="A51" s="35"/>
      <c r="B51" s="44" t="s">
        <v>153</v>
      </c>
      <c r="C51" s="37"/>
      <c r="D51" s="38"/>
      <c r="E51" s="37"/>
      <c r="F51" s="37">
        <f>E51*0.5/1.1*0.1</f>
        <v>0</v>
      </c>
      <c r="G51" s="52" t="s">
        <v>103</v>
      </c>
      <c r="H51" s="51"/>
      <c r="I51" s="63" t="s">
        <v>103</v>
      </c>
      <c r="J51" s="64"/>
      <c r="K51" s="64"/>
      <c r="XFC51" s="6"/>
      <c r="XFD51" s="6"/>
    </row>
    <row r="52" s="3" customFormat="1" ht="18" customHeight="1" spans="1:16384">
      <c r="A52" s="35"/>
      <c r="B52" s="44" t="s">
        <v>154</v>
      </c>
      <c r="C52" s="37"/>
      <c r="D52" s="38"/>
      <c r="E52" s="37"/>
      <c r="F52" s="37"/>
      <c r="G52" s="52" t="s">
        <v>103</v>
      </c>
      <c r="H52" s="51"/>
      <c r="I52" s="63" t="s">
        <v>103</v>
      </c>
      <c r="J52" s="64"/>
      <c r="K52" s="64"/>
      <c r="XFC52" s="6"/>
      <c r="XFD52" s="6"/>
    </row>
    <row r="53" s="3" customFormat="1" ht="18" customHeight="1" spans="1:16384">
      <c r="A53" s="35"/>
      <c r="B53" s="36" t="s">
        <v>155</v>
      </c>
      <c r="C53" s="37"/>
      <c r="D53" s="38"/>
      <c r="E53" s="37"/>
      <c r="F53" s="37">
        <f t="shared" si="7"/>
        <v>0</v>
      </c>
      <c r="G53" s="52" t="s">
        <v>103</v>
      </c>
      <c r="H53" s="51"/>
      <c r="I53" s="63" t="s">
        <v>103</v>
      </c>
      <c r="J53" s="64"/>
      <c r="K53" s="64"/>
      <c r="XFC53" s="6"/>
      <c r="XFD53" s="6"/>
    </row>
    <row r="54" s="1" customFormat="1" ht="18" customHeight="1" spans="1:16384">
      <c r="A54" s="8">
        <v>11</v>
      </c>
      <c r="B54" s="29" t="s">
        <v>61</v>
      </c>
      <c r="C54" s="25"/>
      <c r="D54" s="26"/>
      <c r="E54" s="25">
        <f>SUM(E55:E61)</f>
        <v>96.8</v>
      </c>
      <c r="F54" s="25">
        <f>SUM(F55:F61)</f>
        <v>8.4212389380531</v>
      </c>
      <c r="G54" s="27"/>
      <c r="H54" s="28"/>
      <c r="I54" s="62"/>
      <c r="J54" s="60"/>
      <c r="K54" s="60"/>
      <c r="XFC54" s="66"/>
      <c r="XFD54" s="66"/>
    </row>
    <row r="55" s="1" customFormat="1" ht="43" customHeight="1" spans="1:16384">
      <c r="A55" s="8">
        <v>11.1</v>
      </c>
      <c r="B55" s="11" t="s">
        <v>156</v>
      </c>
      <c r="C55" s="25" t="s">
        <v>157</v>
      </c>
      <c r="D55" s="26" t="s">
        <v>158</v>
      </c>
      <c r="E55" s="25">
        <f>2.45*8</f>
        <v>19.6</v>
      </c>
      <c r="F55" s="25"/>
      <c r="G55" s="33" t="s">
        <v>159</v>
      </c>
      <c r="H55" s="53"/>
      <c r="I55" s="62"/>
      <c r="J55" s="60"/>
      <c r="K55" s="60"/>
      <c r="XFC55" s="66"/>
      <c r="XFD55" s="66"/>
    </row>
    <row r="56" s="1" customFormat="1" ht="39" customHeight="1" spans="1:16384">
      <c r="A56" s="8">
        <v>11.2</v>
      </c>
      <c r="B56" s="11" t="s">
        <v>160</v>
      </c>
      <c r="C56" s="25" t="s">
        <v>157</v>
      </c>
      <c r="D56" s="26" t="s">
        <v>161</v>
      </c>
      <c r="E56" s="25">
        <f>8*0.5</f>
        <v>4</v>
      </c>
      <c r="F56" s="25"/>
      <c r="G56" s="33" t="s">
        <v>162</v>
      </c>
      <c r="H56" s="53"/>
      <c r="I56" s="62"/>
      <c r="J56" s="60"/>
      <c r="K56" s="60"/>
      <c r="XFC56" s="66"/>
      <c r="XFD56" s="66"/>
    </row>
    <row r="57" s="1" customFormat="1" ht="42" customHeight="1" spans="1:16384">
      <c r="A57" s="8">
        <v>11.3</v>
      </c>
      <c r="B57" s="11" t="s">
        <v>163</v>
      </c>
      <c r="C57" s="25" t="s">
        <v>157</v>
      </c>
      <c r="D57" s="26" t="s">
        <v>164</v>
      </c>
      <c r="E57" s="25">
        <f>8*0.25</f>
        <v>2</v>
      </c>
      <c r="F57" s="25">
        <f t="shared" ref="F57:F61" si="8">E57/1.13*0.13</f>
        <v>0.230088495575221</v>
      </c>
      <c r="G57" s="33" t="s">
        <v>165</v>
      </c>
      <c r="H57" s="53"/>
      <c r="I57" s="62"/>
      <c r="J57" s="60"/>
      <c r="K57" s="60"/>
      <c r="XFC57" s="66"/>
      <c r="XFD57" s="66"/>
    </row>
    <row r="58" s="1" customFormat="1" ht="39" customHeight="1" spans="1:16384">
      <c r="A58" s="8">
        <v>11.4</v>
      </c>
      <c r="B58" s="29" t="s">
        <v>166</v>
      </c>
      <c r="C58" s="25" t="s">
        <v>157</v>
      </c>
      <c r="D58" s="26" t="s">
        <v>167</v>
      </c>
      <c r="E58" s="25">
        <f>0.4*8</f>
        <v>3.2</v>
      </c>
      <c r="F58" s="25">
        <f t="shared" si="8"/>
        <v>0.368141592920354</v>
      </c>
      <c r="G58" s="33" t="s">
        <v>168</v>
      </c>
      <c r="H58" s="53"/>
      <c r="I58" s="62"/>
      <c r="J58" s="60"/>
      <c r="K58" s="60"/>
      <c r="XFC58" s="66"/>
      <c r="XFD58" s="66"/>
    </row>
    <row r="59" s="1" customFormat="1" ht="39" customHeight="1" spans="1:16384">
      <c r="A59" s="8">
        <v>11.5</v>
      </c>
      <c r="B59" s="29" t="s">
        <v>169</v>
      </c>
      <c r="C59" s="25"/>
      <c r="D59" s="26"/>
      <c r="E59" s="25">
        <v>10</v>
      </c>
      <c r="F59" s="25">
        <f t="shared" si="8"/>
        <v>1.15044247787611</v>
      </c>
      <c r="G59" s="33" t="s">
        <v>135</v>
      </c>
      <c r="H59" s="34"/>
      <c r="I59" s="62"/>
      <c r="J59" s="60"/>
      <c r="K59" s="60"/>
      <c r="XFC59" s="66"/>
      <c r="XFD59" s="66"/>
    </row>
    <row r="60" s="1" customFormat="1" ht="39" customHeight="1" spans="1:16384">
      <c r="A60" s="8">
        <v>11.6</v>
      </c>
      <c r="B60" s="29" t="s">
        <v>170</v>
      </c>
      <c r="C60" s="25" t="s">
        <v>171</v>
      </c>
      <c r="D60" s="26"/>
      <c r="E60" s="25">
        <v>18</v>
      </c>
      <c r="F60" s="25">
        <f t="shared" si="8"/>
        <v>2.07079646017699</v>
      </c>
      <c r="G60" s="33" t="s">
        <v>135</v>
      </c>
      <c r="H60" s="34"/>
      <c r="I60" s="62"/>
      <c r="J60" s="60"/>
      <c r="K60" s="60"/>
      <c r="XFC60" s="66"/>
      <c r="XFD60" s="66"/>
    </row>
    <row r="61" s="1" customFormat="1" ht="39" customHeight="1" spans="1:16384">
      <c r="A61" s="8">
        <v>11.7</v>
      </c>
      <c r="B61" s="29" t="s">
        <v>172</v>
      </c>
      <c r="C61" s="25" t="s">
        <v>171</v>
      </c>
      <c r="D61" s="26"/>
      <c r="E61" s="25">
        <v>40</v>
      </c>
      <c r="F61" s="25">
        <f t="shared" si="8"/>
        <v>4.60176991150443</v>
      </c>
      <c r="G61" s="33" t="s">
        <v>135</v>
      </c>
      <c r="H61" s="34"/>
      <c r="I61" s="62"/>
      <c r="J61" s="60"/>
      <c r="K61" s="60"/>
      <c r="XFC61" s="66"/>
      <c r="XFD61" s="66"/>
    </row>
    <row r="62" s="1" customFormat="1" ht="36" customHeight="1" spans="1:16384">
      <c r="A62" s="8">
        <v>12</v>
      </c>
      <c r="B62" s="11" t="s">
        <v>63</v>
      </c>
      <c r="C62" s="25">
        <f>C48</f>
        <v>4216.80746</v>
      </c>
      <c r="D62" s="54">
        <v>0.015</v>
      </c>
      <c r="E62" s="25">
        <f>C62*D62</f>
        <v>63.2521119</v>
      </c>
      <c r="F62" s="25"/>
      <c r="G62" s="33" t="s">
        <v>135</v>
      </c>
      <c r="H62" s="34"/>
      <c r="I62" s="62"/>
      <c r="J62" s="60"/>
      <c r="K62" s="60"/>
      <c r="XFC62" s="66"/>
      <c r="XFD62" s="66"/>
    </row>
    <row r="63" s="1" customFormat="1" ht="42" customHeight="1" spans="1:16384">
      <c r="A63" s="8">
        <v>13</v>
      </c>
      <c r="B63" s="11" t="s">
        <v>65</v>
      </c>
      <c r="C63" s="25"/>
      <c r="D63" s="26"/>
      <c r="E63" s="25">
        <f>SUM(E64:E67)</f>
        <v>16.2423684720731</v>
      </c>
      <c r="F63" s="25">
        <f>SUM(F64:F67)</f>
        <v>0.919379347475837</v>
      </c>
      <c r="G63" s="33" t="s">
        <v>173</v>
      </c>
      <c r="H63" s="34"/>
      <c r="I63" s="62"/>
      <c r="J63" s="60"/>
      <c r="K63" s="60"/>
      <c r="XFC63" s="66"/>
      <c r="XFD63" s="66"/>
    </row>
    <row r="64" s="1" customFormat="1" ht="60" customHeight="1" spans="1:16384">
      <c r="A64" s="55">
        <v>13.1</v>
      </c>
      <c r="B64" s="11" t="s">
        <v>174</v>
      </c>
      <c r="C64" s="56">
        <f>总投资概算表!E8</f>
        <v>1072.330646</v>
      </c>
      <c r="D64" s="57">
        <f>E64/C64</f>
        <v>0.00574169167035071</v>
      </c>
      <c r="E64" s="25">
        <f>(1.5+4.4+4+(C64-1000)*0.5%)*0.6</f>
        <v>6.156991938</v>
      </c>
      <c r="F64" s="25">
        <f t="shared" ref="F63:F67" si="9">E64/1.06*0.06</f>
        <v>0.348508977622641</v>
      </c>
      <c r="G64" s="58" t="s">
        <v>175</v>
      </c>
      <c r="H64" s="59"/>
      <c r="I64" s="62"/>
      <c r="XFC64" s="66"/>
      <c r="XFD64" s="66"/>
    </row>
    <row r="65" s="1" customFormat="1" ht="52" customHeight="1" spans="1:16384">
      <c r="A65" s="55">
        <v>13.2</v>
      </c>
      <c r="B65" s="11" t="s">
        <v>176</v>
      </c>
      <c r="C65" s="56">
        <f>总投资概算表!F8+总投资概算表!G8+总投资概算表!H8</f>
        <v>3144.476814</v>
      </c>
      <c r="D65" s="57">
        <f>E65/C65</f>
        <v>0.00268197280763922</v>
      </c>
      <c r="E65" s="25">
        <f>(1+2.8+2.75+(C65-1000)*0.35%)*0.6</f>
        <v>8.4334013094</v>
      </c>
      <c r="F65" s="25">
        <f t="shared" si="9"/>
        <v>0.477362338267925</v>
      </c>
      <c r="G65" s="58" t="s">
        <v>177</v>
      </c>
      <c r="H65" s="59"/>
      <c r="I65" s="62"/>
      <c r="XFC65" s="66"/>
      <c r="XFD65" s="66"/>
    </row>
    <row r="66" s="1" customFormat="1" ht="52" customHeight="1" spans="1:16384">
      <c r="A66" s="55">
        <v>13.3</v>
      </c>
      <c r="B66" s="11" t="s">
        <v>178</v>
      </c>
      <c r="C66" s="56">
        <f>E13+E22+E39</f>
        <v>256.661505140234</v>
      </c>
      <c r="D66" s="57">
        <f>E66/C66</f>
        <v>0.00643639654404162</v>
      </c>
      <c r="E66" s="25">
        <f>(1.5+(C66-100)*0.8%)*0.6</f>
        <v>1.65197522467312</v>
      </c>
      <c r="F66" s="25">
        <f t="shared" si="9"/>
        <v>0.0935080315852711</v>
      </c>
      <c r="G66" s="58" t="s">
        <v>179</v>
      </c>
      <c r="H66" s="59"/>
      <c r="I66" s="62"/>
      <c r="XFC66" s="66"/>
      <c r="XFD66" s="66"/>
    </row>
    <row r="67" s="3" customFormat="1" ht="52" customHeight="1" spans="1:16384">
      <c r="A67" s="68">
        <v>13.4</v>
      </c>
      <c r="B67" s="36" t="s">
        <v>180</v>
      </c>
      <c r="C67" s="69"/>
      <c r="D67" s="57"/>
      <c r="E67" s="69"/>
      <c r="F67" s="37">
        <f t="shared" si="9"/>
        <v>0</v>
      </c>
      <c r="G67" s="70" t="s">
        <v>181</v>
      </c>
      <c r="H67" s="71"/>
      <c r="I67" s="63" t="s">
        <v>103</v>
      </c>
      <c r="XFC67" s="6"/>
      <c r="XFD67" s="6"/>
    </row>
    <row r="68" s="4" customFormat="1" ht="24.95" customHeight="1" spans="1:16384">
      <c r="A68" s="72" t="s">
        <v>28</v>
      </c>
      <c r="B68" s="73" t="s">
        <v>182</v>
      </c>
      <c r="C68" s="74"/>
      <c r="D68" s="74"/>
      <c r="E68" s="75">
        <f>E69+E70</f>
        <v>173.195227374131</v>
      </c>
      <c r="F68" s="74"/>
      <c r="G68" s="76"/>
      <c r="H68" s="76"/>
      <c r="XFC68" s="95"/>
      <c r="XFD68" s="95"/>
    </row>
    <row r="69" s="3" customFormat="1" ht="46" customHeight="1" spans="1:16384">
      <c r="A69" s="77">
        <v>1</v>
      </c>
      <c r="B69" s="78" t="s">
        <v>183</v>
      </c>
      <c r="C69" s="79">
        <f>总投资概算表!J8+E7</f>
        <v>5773.17424580437</v>
      </c>
      <c r="D69" s="80">
        <v>0.03</v>
      </c>
      <c r="E69" s="79">
        <f>C69*D69</f>
        <v>173.195227374131</v>
      </c>
      <c r="F69" s="81"/>
      <c r="G69" s="82" t="s">
        <v>184</v>
      </c>
      <c r="H69" s="56"/>
      <c r="XFC69" s="6"/>
      <c r="XFD69" s="6"/>
    </row>
    <row r="70" s="3" customFormat="1" ht="24.95" customHeight="1" spans="1:16384">
      <c r="A70" s="83">
        <v>2</v>
      </c>
      <c r="B70" s="84" t="s">
        <v>185</v>
      </c>
      <c r="C70" s="85"/>
      <c r="D70" s="85"/>
      <c r="E70" s="85"/>
      <c r="F70" s="85"/>
      <c r="G70" s="86"/>
      <c r="H70" s="86"/>
      <c r="XFC70" s="6"/>
      <c r="XFD70" s="6"/>
    </row>
    <row r="71" s="3" customFormat="1" ht="24.95" customHeight="1" spans="1:16384">
      <c r="A71" s="87"/>
      <c r="B71" s="87"/>
      <c r="C71" s="69"/>
      <c r="D71" s="87"/>
      <c r="E71" s="69"/>
      <c r="F71" s="69"/>
      <c r="G71" s="86"/>
      <c r="H71" s="86"/>
      <c r="XFC71" s="6"/>
      <c r="XFD71" s="6"/>
    </row>
    <row r="72" s="2" customFormat="1" ht="24.95" customHeight="1" spans="1:16384">
      <c r="A72" s="72" t="s">
        <v>44</v>
      </c>
      <c r="B72" s="88" t="s">
        <v>72</v>
      </c>
      <c r="C72" s="89"/>
      <c r="D72" s="90"/>
      <c r="E72" s="91">
        <f>E73+E74</f>
        <v>90.8127564120868</v>
      </c>
      <c r="F72" s="89"/>
      <c r="G72" s="91"/>
      <c r="H72" s="91"/>
      <c r="XFC72" s="67"/>
      <c r="XFD72" s="67"/>
    </row>
    <row r="73" s="1" customFormat="1" ht="24.95" customHeight="1" spans="1:16384">
      <c r="A73" s="55">
        <v>1</v>
      </c>
      <c r="B73" s="92" t="s">
        <v>73</v>
      </c>
      <c r="C73" s="93"/>
      <c r="D73" s="94"/>
      <c r="E73" s="93"/>
      <c r="F73" s="93"/>
      <c r="G73" s="56"/>
      <c r="H73" s="56"/>
      <c r="XFC73" s="66"/>
      <c r="XFD73" s="66"/>
    </row>
    <row r="74" s="1" customFormat="1" ht="24.95" customHeight="1" spans="1:16384">
      <c r="A74" s="55">
        <v>2</v>
      </c>
      <c r="B74" s="92" t="s">
        <v>38</v>
      </c>
      <c r="C74" s="93"/>
      <c r="D74" s="94"/>
      <c r="E74" s="56">
        <v>90.8127564120868</v>
      </c>
      <c r="F74" s="93"/>
      <c r="G74" s="56"/>
      <c r="H74" s="56"/>
      <c r="XFC74" s="66"/>
      <c r="XFD74" s="66"/>
    </row>
    <row r="75" s="3" customFormat="1" ht="24.95" customHeight="1" spans="1:16384">
      <c r="A75" s="87"/>
      <c r="B75" s="87"/>
      <c r="C75" s="69"/>
      <c r="D75" s="87"/>
      <c r="E75" s="69"/>
      <c r="F75" s="69"/>
      <c r="G75" s="86"/>
      <c r="H75" s="86"/>
      <c r="XFC75" s="6"/>
      <c r="XFD75" s="6"/>
    </row>
    <row r="76" s="3" customFormat="1" ht="24.95" customHeight="1" spans="3:16384">
      <c r="C76" s="5"/>
      <c r="E76" s="5"/>
      <c r="F76" s="5"/>
      <c r="G76" s="5"/>
      <c r="XFC76" s="6"/>
      <c r="XFD76" s="6"/>
    </row>
    <row r="77" s="3" customFormat="1" ht="24.95" customHeight="1" spans="3:16384">
      <c r="C77" s="5"/>
      <c r="E77" s="5"/>
      <c r="F77" s="5"/>
      <c r="G77" s="5"/>
      <c r="XFC77" s="6"/>
      <c r="XFD77" s="6"/>
    </row>
    <row r="78" s="3" customFormat="1" ht="24.95" customHeight="1" spans="3:16384">
      <c r="C78" s="5"/>
      <c r="E78" s="5"/>
      <c r="F78" s="5"/>
      <c r="G78" s="5"/>
      <c r="XFC78" s="6"/>
      <c r="XFD78" s="6"/>
    </row>
    <row r="79" s="3" customFormat="1" ht="24.95" customHeight="1" spans="3:16384">
      <c r="C79" s="5"/>
      <c r="E79" s="5"/>
      <c r="F79" s="5"/>
      <c r="G79" s="5"/>
      <c r="XFC79" s="6"/>
      <c r="XFD79" s="6"/>
    </row>
    <row r="80" s="3" customFormat="1" ht="24.95" customHeight="1" spans="3:16384">
      <c r="C80" s="5"/>
      <c r="E80" s="5"/>
      <c r="F80" s="5"/>
      <c r="G80" s="5"/>
      <c r="XFC80" s="6"/>
      <c r="XFD80" s="6"/>
    </row>
    <row r="81" s="3" customFormat="1" ht="24.95" customHeight="1" spans="3:16384">
      <c r="C81" s="5"/>
      <c r="E81" s="5"/>
      <c r="F81" s="5"/>
      <c r="G81" s="5"/>
      <c r="XFC81" s="6"/>
      <c r="XFD81" s="6"/>
    </row>
    <row r="82" s="3" customFormat="1" ht="24.95" customHeight="1" spans="3:16384">
      <c r="C82" s="5"/>
      <c r="E82" s="5"/>
      <c r="F82" s="5"/>
      <c r="G82" s="5"/>
      <c r="XFC82" s="6"/>
      <c r="XFD82" s="6"/>
    </row>
    <row r="83" s="3" customFormat="1" ht="24.95" customHeight="1" spans="3:16384">
      <c r="C83" s="5"/>
      <c r="E83" s="5"/>
      <c r="F83" s="5"/>
      <c r="G83" s="5"/>
      <c r="XFC83" s="6"/>
      <c r="XFD83" s="6"/>
    </row>
    <row r="84" s="3" customFormat="1" ht="24.95" customHeight="1" spans="3:16384">
      <c r="C84" s="5"/>
      <c r="E84" s="5"/>
      <c r="F84" s="5"/>
      <c r="G84" s="5"/>
      <c r="XFC84" s="6"/>
      <c r="XFD84" s="6"/>
    </row>
    <row r="85" s="3" customFormat="1" ht="24.95" customHeight="1" spans="3:16384">
      <c r="C85" s="5"/>
      <c r="E85" s="5"/>
      <c r="F85" s="5"/>
      <c r="G85" s="5"/>
      <c r="XFC85" s="6"/>
      <c r="XFD85" s="6"/>
    </row>
    <row r="86" s="3" customFormat="1" ht="24.95" customHeight="1" spans="3:16384">
      <c r="C86" s="5"/>
      <c r="E86" s="5"/>
      <c r="F86" s="5"/>
      <c r="G86" s="5"/>
      <c r="XFC86" s="6"/>
      <c r="XFD86" s="6"/>
    </row>
    <row r="87" s="3" customFormat="1" ht="24.95" customHeight="1" spans="3:16384">
      <c r="C87" s="5"/>
      <c r="E87" s="5"/>
      <c r="F87" s="5"/>
      <c r="G87" s="5"/>
      <c r="XFC87" s="6"/>
      <c r="XFD87" s="6"/>
    </row>
  </sheetData>
  <mergeCells count="79">
    <mergeCell ref="C4:G4"/>
    <mergeCell ref="G7:H7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4:H74"/>
    <mergeCell ref="G75:H75"/>
    <mergeCell ref="A5:A6"/>
    <mergeCell ref="B5:B6"/>
    <mergeCell ref="C5:C6"/>
    <mergeCell ref="D5:D6"/>
    <mergeCell ref="E5:E6"/>
    <mergeCell ref="F5:F6"/>
    <mergeCell ref="A1:B4"/>
    <mergeCell ref="G5:H6"/>
    <mergeCell ref="C1:G3"/>
  </mergeCells>
  <printOptions horizontalCentered="1"/>
  <pageMargins left="0.75" right="0.75" top="0.788888888888889" bottom="0.629166666666667" header="0.509027777777778" footer="0.509027777777778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总投资概算表</vt:lpstr>
      <vt:lpstr>工程建设其他费用计算表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WPS_1178778167</cp:lastModifiedBy>
  <dcterms:created xsi:type="dcterms:W3CDTF">2008-07-17T07:13:00Z</dcterms:created>
  <cp:lastPrinted>2015-06-01T10:15:00Z</cp:lastPrinted>
  <dcterms:modified xsi:type="dcterms:W3CDTF">2024-02-22T02:27:36Z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ubyTemplateID" linkTarget="0">
    <vt:lpwstr>11</vt:lpwstr>
  </property>
  <property fmtid="{D5CDD505-2E9C-101B-9397-08002B2CF9AE}" pid="4" name="ICV">
    <vt:lpwstr>FB9F0939F4D64530B2866C4480145744_13</vt:lpwstr>
  </property>
</Properties>
</file>