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1925" tabRatio="897" firstSheet="6" activeTab="6"/>
  </bookViews>
  <sheets>
    <sheet name="管材费" sheetId="31" state="hidden" r:id="rId1"/>
    <sheet name="建筑概算核  (2)" sheetId="50" state="hidden" r:id="rId2"/>
    <sheet name="管材费 (PE)" sheetId="34" state="hidden" r:id="rId3"/>
    <sheet name="其他费用" sheetId="49" state="hidden" r:id="rId4"/>
    <sheet name="独立费用" sheetId="11" state="hidden" r:id="rId5"/>
    <sheet name="监理费" sheetId="60" state="hidden" r:id="rId6"/>
    <sheet name="总概算核" sheetId="5" r:id="rId7"/>
    <sheet name="建筑工程概算表" sheetId="57" r:id="rId8"/>
    <sheet name="机电设备及安装工程" sheetId="58" r:id="rId9"/>
    <sheet name="金属结构及安装工程" sheetId="59" r:id="rId10"/>
    <sheet name="设计费" sheetId="13" state="hidden" r:id="rId11"/>
    <sheet name="建筑工程估算表" sheetId="18" state="hidden" r:id="rId12"/>
    <sheet name="水土保持" sheetId="53" state="hidden" r:id="rId13"/>
    <sheet name="环境保护投资" sheetId="52" state="hidden" r:id="rId14"/>
    <sheet name="单价汇总表" sheetId="9" r:id="rId15"/>
    <sheet name="绿化单价汇总 " sheetId="40" state="hidden" r:id="rId16"/>
    <sheet name="绿化定额" sheetId="37" state="hidden" r:id="rId17"/>
    <sheet name="材料预算价" sheetId="3" r:id="rId18"/>
    <sheet name="绿化主材价格表" sheetId="39" state="hidden" r:id="rId19"/>
    <sheet name="配合比" sheetId="2" r:id="rId20"/>
    <sheet name="新定额单价" sheetId="4" state="hidden" r:id="rId21"/>
    <sheet name="台时" sheetId="1" r:id="rId22"/>
    <sheet name="建筑工程单价分析表" sheetId="61" r:id="rId23"/>
    <sheet name="工程量汇总表" sheetId="10" state="hidden" r:id="rId24"/>
    <sheet name="管道安装" sheetId="41" state="hidden" r:id="rId25"/>
    <sheet name="材料分析" sheetId="14" state="hidden" r:id="rId26"/>
    <sheet name="取费表" sheetId="15" state="hidden" r:id="rId27"/>
    <sheet name="基础材料表" sheetId="16" state="hidden" r:id="rId28"/>
    <sheet name="管材价格" sheetId="17" state="hidden" r:id="rId29"/>
  </sheets>
  <externalReferences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</externalReferences>
  <definedNames>
    <definedName name="______________PE40">[1]附表2!#REF!</definedName>
    <definedName name="__________PVC16008" localSheetId="3">[2]次要材料预算价格!#REF!</definedName>
    <definedName name="__________PVC16008">[3]次要材料预算价格!#REF!</definedName>
    <definedName name="_________PE20">[1]附表2!#REF!</definedName>
    <definedName name="_________PVC11008">[1]附表2!#REF!</definedName>
    <definedName name="_________PVC16008">[1]附表2!#REF!</definedName>
    <definedName name="_________PVC20008">[1]附表2!#REF!</definedName>
    <definedName name="_________PVC25008">[1]附表2!#REF!</definedName>
    <definedName name="_________PVC31508">[1]附表2!#REF!</definedName>
    <definedName name="_________PVC9006">[1]附表2!#REF!</definedName>
    <definedName name="_________PVC9008">[1]附表2!#REF!</definedName>
    <definedName name="________PE20">[1]附表2!#REF!</definedName>
    <definedName name="________PE40">[1]附表2!#REF!</definedName>
    <definedName name="________PVC11008">[1]附表2!#REF!</definedName>
    <definedName name="________PVC16008">[1]附表2!#REF!</definedName>
    <definedName name="________PVC20008">[1]附表2!#REF!</definedName>
    <definedName name="________PVC25008">[1]附表2!#REF!</definedName>
    <definedName name="________PVC31508">[1]附表2!#REF!</definedName>
    <definedName name="________PVC9006">[1]附表2!#REF!</definedName>
    <definedName name="________PVC9008">[1]附表2!#REF!</definedName>
    <definedName name="_______PA7" localSheetId="3">'[4]SW-TEO'!#REF!</definedName>
    <definedName name="_______PA7">'[5]SW-TEO'!#REF!</definedName>
    <definedName name="_______PA8" localSheetId="3">'[4]SW-TEO'!#REF!</definedName>
    <definedName name="_______PA8">'[5]SW-TEO'!#REF!</definedName>
    <definedName name="_______PD1" localSheetId="3">'[4]SW-TEO'!#REF!</definedName>
    <definedName name="_______PD1">'[5]SW-TEO'!#REF!</definedName>
    <definedName name="_______PE12" localSheetId="3">'[4]SW-TEO'!#REF!</definedName>
    <definedName name="_______PE12">'[5]SW-TEO'!#REF!</definedName>
    <definedName name="_______PE13" localSheetId="3">'[4]SW-TEO'!#REF!</definedName>
    <definedName name="_______PE13">'[5]SW-TEO'!#REF!</definedName>
    <definedName name="_______PE20" localSheetId="0">[6]附表2!#REF!</definedName>
    <definedName name="_______PE20" localSheetId="2">[6]附表2!#REF!</definedName>
    <definedName name="_______PE20" localSheetId="3">[7]附表2!#REF!</definedName>
    <definedName name="_______PE20">[8]附表2!#REF!</definedName>
    <definedName name="_______PE40" localSheetId="0">[1]附表2!#REF!</definedName>
    <definedName name="_______PE40" localSheetId="2">[1]附表2!#REF!</definedName>
    <definedName name="_______PE40" localSheetId="3">[7]附表2!#REF!</definedName>
    <definedName name="_______PE40">[8]附表2!#REF!</definedName>
    <definedName name="_______PE6" localSheetId="3">'[4]SW-TEO'!#REF!</definedName>
    <definedName name="_______PE6">'[5]SW-TEO'!#REF!</definedName>
    <definedName name="_______PE7" localSheetId="3">'[4]SW-TEO'!#REF!</definedName>
    <definedName name="_______PE7">'[5]SW-TEO'!#REF!</definedName>
    <definedName name="_______PE8" localSheetId="3">'[4]SW-TEO'!#REF!</definedName>
    <definedName name="_______PE8">'[5]SW-TEO'!#REF!</definedName>
    <definedName name="_______PE9" localSheetId="3">'[4]SW-TEO'!#REF!</definedName>
    <definedName name="_______PE9">'[5]SW-TEO'!#REF!</definedName>
    <definedName name="_______PH1" localSheetId="3">'[4]SW-TEO'!#REF!</definedName>
    <definedName name="_______PH1">'[5]SW-TEO'!#REF!</definedName>
    <definedName name="_______PI1" localSheetId="3">'[4]SW-TEO'!#REF!</definedName>
    <definedName name="_______PI1">'[5]SW-TEO'!#REF!</definedName>
    <definedName name="_______PK1" localSheetId="3">'[4]SW-TEO'!#REF!</definedName>
    <definedName name="_______PK1">'[5]SW-TEO'!#REF!</definedName>
    <definedName name="_______PK3" localSheetId="3">'[4]SW-TEO'!#REF!</definedName>
    <definedName name="_______PK3">'[5]SW-TEO'!#REF!</definedName>
    <definedName name="_______PVC11008" localSheetId="0">[6]附表2!#REF!</definedName>
    <definedName name="_______PVC11008" localSheetId="2">[6]附表2!#REF!</definedName>
    <definedName name="_______PVC11008" localSheetId="3">[7]附表2!#REF!</definedName>
    <definedName name="_______PVC11008">[8]附表2!#REF!</definedName>
    <definedName name="_______PVC16008" localSheetId="0">[6]附表2!#REF!</definedName>
    <definedName name="_______PVC16008" localSheetId="2">[6]附表2!#REF!</definedName>
    <definedName name="_______PVC16008" localSheetId="3">[7]附表2!#REF!</definedName>
    <definedName name="_______PVC16008">[8]附表2!#REF!</definedName>
    <definedName name="_______PVC20008" localSheetId="0">[9]附表2!#REF!</definedName>
    <definedName name="_______PVC20008" localSheetId="2">[9]附表2!#REF!</definedName>
    <definedName name="_______PVC20008" localSheetId="3">[10]附表2!#REF!</definedName>
    <definedName name="_______PVC20008">[11]附表2!#REF!</definedName>
    <definedName name="_______PVC25008" localSheetId="0">[6]附表2!#REF!</definedName>
    <definedName name="_______PVC25008" localSheetId="2">[6]附表2!#REF!</definedName>
    <definedName name="_______PVC25008" localSheetId="3">[7]附表2!#REF!</definedName>
    <definedName name="_______PVC25008">[8]附表2!#REF!</definedName>
    <definedName name="_______PVC31508" localSheetId="0">[6]附表2!#REF!</definedName>
    <definedName name="_______PVC31508" localSheetId="2">[6]附表2!#REF!</definedName>
    <definedName name="_______PVC31508" localSheetId="3">[7]附表2!#REF!</definedName>
    <definedName name="_______PVC31508">[8]附表2!#REF!</definedName>
    <definedName name="_______PVC9006" localSheetId="0">[6]附表2!#REF!</definedName>
    <definedName name="_______PVC9006" localSheetId="2">[6]附表2!#REF!</definedName>
    <definedName name="_______PVC9006" localSheetId="3">[7]附表2!#REF!</definedName>
    <definedName name="_______PVC9006">[8]附表2!#REF!</definedName>
    <definedName name="_______PVC9008" localSheetId="0">[6]附表2!#REF!</definedName>
    <definedName name="_______PVC9008" localSheetId="2">[6]附表2!#REF!</definedName>
    <definedName name="_______PVC9008" localSheetId="3">[7]附表2!#REF!</definedName>
    <definedName name="_______PVC9008">[8]附表2!#REF!</definedName>
    <definedName name="______PA7" localSheetId="0">#REF!</definedName>
    <definedName name="______PA7" localSheetId="2">#REF!</definedName>
    <definedName name="______PA7" localSheetId="24">#REF!</definedName>
    <definedName name="______PA7" localSheetId="3">'[4]SW-TEO'!#REF!</definedName>
    <definedName name="______PA7">'[5]SW-TEO'!#REF!</definedName>
    <definedName name="______PA8" localSheetId="0">#REF!</definedName>
    <definedName name="______PA8" localSheetId="2">#REF!</definedName>
    <definedName name="______PA8" localSheetId="24">#REF!</definedName>
    <definedName name="______PA8" localSheetId="3">'[4]SW-TEO'!#REF!</definedName>
    <definedName name="______PA8">'[5]SW-TEO'!#REF!</definedName>
    <definedName name="______PD1" localSheetId="0">#REF!</definedName>
    <definedName name="______PD1" localSheetId="2">#REF!</definedName>
    <definedName name="______PD1" localSheetId="24">#REF!</definedName>
    <definedName name="______PD1" localSheetId="3">'[4]SW-TEO'!#REF!</definedName>
    <definedName name="______PD1">'[5]SW-TEO'!#REF!</definedName>
    <definedName name="______PE12" localSheetId="0">#REF!</definedName>
    <definedName name="______PE12" localSheetId="2">#REF!</definedName>
    <definedName name="______PE12" localSheetId="24">#REF!</definedName>
    <definedName name="______PE12" localSheetId="3">'[4]SW-TEO'!#REF!</definedName>
    <definedName name="______PE12">'[5]SW-TEO'!#REF!</definedName>
    <definedName name="______PE13" localSheetId="0">#REF!</definedName>
    <definedName name="______PE13" localSheetId="2">#REF!</definedName>
    <definedName name="______PE13" localSheetId="24">#REF!</definedName>
    <definedName name="______PE13" localSheetId="3">'[4]SW-TEO'!#REF!</definedName>
    <definedName name="______PE13">'[5]SW-TEO'!#REF!</definedName>
    <definedName name="______PE20" localSheetId="0">[1]附表2!#REF!</definedName>
    <definedName name="______PE20" localSheetId="2">[1]附表2!#REF!</definedName>
    <definedName name="______PE20" localSheetId="3">[10]附表2!#REF!</definedName>
    <definedName name="______PE20">[11]附表2!#REF!</definedName>
    <definedName name="______PE40" localSheetId="0">[6]附表2!#REF!</definedName>
    <definedName name="______PE40" localSheetId="2">[6]附表2!#REF!</definedName>
    <definedName name="______PE40" localSheetId="3">[10]附表2!#REF!</definedName>
    <definedName name="______PE40">[11]附表2!#REF!</definedName>
    <definedName name="______PE6" localSheetId="0">#REF!</definedName>
    <definedName name="______PE6" localSheetId="2">#REF!</definedName>
    <definedName name="______PE6" localSheetId="24">#REF!</definedName>
    <definedName name="______PE6" localSheetId="3">'[4]SW-TEO'!#REF!</definedName>
    <definedName name="______PE6">'[5]SW-TEO'!#REF!</definedName>
    <definedName name="______PE7" localSheetId="0">#REF!</definedName>
    <definedName name="______PE7" localSheetId="2">#REF!</definedName>
    <definedName name="______PE7" localSheetId="24">#REF!</definedName>
    <definedName name="______PE7" localSheetId="3">'[4]SW-TEO'!#REF!</definedName>
    <definedName name="______PE7">'[5]SW-TEO'!#REF!</definedName>
    <definedName name="______PE8" localSheetId="0">#REF!</definedName>
    <definedName name="______PE8" localSheetId="2">#REF!</definedName>
    <definedName name="______PE8" localSheetId="24">#REF!</definedName>
    <definedName name="______PE8" localSheetId="3">'[4]SW-TEO'!#REF!</definedName>
    <definedName name="______PE8">'[5]SW-TEO'!#REF!</definedName>
    <definedName name="______PE9" localSheetId="0">#REF!</definedName>
    <definedName name="______PE9" localSheetId="2">#REF!</definedName>
    <definedName name="______PE9" localSheetId="24">#REF!</definedName>
    <definedName name="______PE9" localSheetId="3">'[4]SW-TEO'!#REF!</definedName>
    <definedName name="______PE9">'[5]SW-TEO'!#REF!</definedName>
    <definedName name="______PH1" localSheetId="0">#REF!</definedName>
    <definedName name="______PH1" localSheetId="2">#REF!</definedName>
    <definedName name="______PH1" localSheetId="24">#REF!</definedName>
    <definedName name="______PH1" localSheetId="3">'[4]SW-TEO'!#REF!</definedName>
    <definedName name="______PH1">'[5]SW-TEO'!#REF!</definedName>
    <definedName name="______PI1" localSheetId="0">#REF!</definedName>
    <definedName name="______PI1" localSheetId="2">#REF!</definedName>
    <definedName name="______PI1" localSheetId="24">#REF!</definedName>
    <definedName name="______PI1" localSheetId="3">'[4]SW-TEO'!#REF!</definedName>
    <definedName name="______PI1">'[5]SW-TEO'!#REF!</definedName>
    <definedName name="______PK1" localSheetId="0">#REF!</definedName>
    <definedName name="______PK1" localSheetId="2">#REF!</definedName>
    <definedName name="______PK1" localSheetId="24">#REF!</definedName>
    <definedName name="______PK1" localSheetId="3">'[4]SW-TEO'!#REF!</definedName>
    <definedName name="______PK1">'[5]SW-TEO'!#REF!</definedName>
    <definedName name="______PK3" localSheetId="0">#REF!</definedName>
    <definedName name="______PK3" localSheetId="2">#REF!</definedName>
    <definedName name="______PK3" localSheetId="24">#REF!</definedName>
    <definedName name="______PK3" localSheetId="3">'[4]SW-TEO'!#REF!</definedName>
    <definedName name="______PK3">'[5]SW-TEO'!#REF!</definedName>
    <definedName name="______PVC11008" localSheetId="0">[1]附表2!#REF!</definedName>
    <definedName name="______PVC11008" localSheetId="2">[1]附表2!#REF!</definedName>
    <definedName name="______PVC11008" localSheetId="3">[10]附表2!#REF!</definedName>
    <definedName name="______PVC11008">[11]附表2!#REF!</definedName>
    <definedName name="______PVC16008" localSheetId="0">[1]附表2!#REF!</definedName>
    <definedName name="______PVC16008" localSheetId="2">[1]附表2!#REF!</definedName>
    <definedName name="______PVC16008" localSheetId="3">[10]附表2!#REF!</definedName>
    <definedName name="______PVC16008">[11]附表2!#REF!</definedName>
    <definedName name="______PVC20008" localSheetId="0">[6]附表2!#REF!</definedName>
    <definedName name="______PVC20008" localSheetId="2">[6]附表2!#REF!</definedName>
    <definedName name="______PVC20008" localSheetId="3">[7]附表2!#REF!</definedName>
    <definedName name="______PVC20008">[8]附表2!#REF!</definedName>
    <definedName name="______PVC25008" localSheetId="0">[1]附表2!#REF!</definedName>
    <definedName name="______PVC25008" localSheetId="2">[1]附表2!#REF!</definedName>
    <definedName name="______PVC25008" localSheetId="3">[10]附表2!#REF!</definedName>
    <definedName name="______PVC25008">[11]附表2!#REF!</definedName>
    <definedName name="______PVC31508" localSheetId="0">[1]附表2!#REF!</definedName>
    <definedName name="______PVC31508" localSheetId="2">[1]附表2!#REF!</definedName>
    <definedName name="______PVC31508" localSheetId="3">[10]附表2!#REF!</definedName>
    <definedName name="______PVC31508">[11]附表2!#REF!</definedName>
    <definedName name="______PVC9006" localSheetId="0">[1]附表2!#REF!</definedName>
    <definedName name="______PVC9006" localSheetId="2">[1]附表2!#REF!</definedName>
    <definedName name="______PVC9006" localSheetId="3">[10]附表2!#REF!</definedName>
    <definedName name="______PVC9006">[11]附表2!#REF!</definedName>
    <definedName name="______PVC9008" localSheetId="0">[1]附表2!#REF!</definedName>
    <definedName name="______PVC9008" localSheetId="2">[1]附表2!#REF!</definedName>
    <definedName name="______PVC9008" localSheetId="3">[10]附表2!#REF!</definedName>
    <definedName name="______PVC9008">[11]附表2!#REF!</definedName>
    <definedName name="_____PA7" localSheetId="3">'[4]SW-TEO'!#REF!</definedName>
    <definedName name="_____PA7">'[5]SW-TEO'!#REF!</definedName>
    <definedName name="_____PA8" localSheetId="3">'[4]SW-TEO'!#REF!</definedName>
    <definedName name="_____PA8">'[5]SW-TEO'!#REF!</definedName>
    <definedName name="_____PD1" localSheetId="3">'[4]SW-TEO'!#REF!</definedName>
    <definedName name="_____PD1">'[5]SW-TEO'!#REF!</definedName>
    <definedName name="_____PE12" localSheetId="3">'[4]SW-TEO'!#REF!</definedName>
    <definedName name="_____PE12">'[5]SW-TEO'!#REF!</definedName>
    <definedName name="_____PE13" localSheetId="3">'[4]SW-TEO'!#REF!</definedName>
    <definedName name="_____PE13">'[5]SW-TEO'!#REF!</definedName>
    <definedName name="_____PE20" localSheetId="0">[9]附表2!#REF!</definedName>
    <definedName name="_____PE20" localSheetId="2">[9]附表2!#REF!</definedName>
    <definedName name="_____PE20" localSheetId="3">[10]附表2!#REF!</definedName>
    <definedName name="_____PE20">[11]附表2!#REF!</definedName>
    <definedName name="_____PE40" localSheetId="0">[9]附表2!#REF!</definedName>
    <definedName name="_____PE40" localSheetId="2">[9]附表2!#REF!</definedName>
    <definedName name="_____PE40" localSheetId="3">[10]附表2!#REF!</definedName>
    <definedName name="_____PE40">[11]附表2!#REF!</definedName>
    <definedName name="_____PE6" localSheetId="3">'[4]SW-TEO'!#REF!</definedName>
    <definedName name="_____PE6">'[5]SW-TEO'!#REF!</definedName>
    <definedName name="_____PE7" localSheetId="3">'[4]SW-TEO'!#REF!</definedName>
    <definedName name="_____PE7">'[5]SW-TEO'!#REF!</definedName>
    <definedName name="_____PE8" localSheetId="3">'[4]SW-TEO'!#REF!</definedName>
    <definedName name="_____PE8">'[5]SW-TEO'!#REF!</definedName>
    <definedName name="_____PE9" localSheetId="3">'[4]SW-TEO'!#REF!</definedName>
    <definedName name="_____PE9">'[5]SW-TEO'!#REF!</definedName>
    <definedName name="_____PH1" localSheetId="3">'[4]SW-TEO'!#REF!</definedName>
    <definedName name="_____PH1">'[5]SW-TEO'!#REF!</definedName>
    <definedName name="_____PI1" localSheetId="3">'[4]SW-TEO'!#REF!</definedName>
    <definedName name="_____PI1">'[5]SW-TEO'!#REF!</definedName>
    <definedName name="_____PK1" localSheetId="3">'[4]SW-TEO'!#REF!</definedName>
    <definedName name="_____PK1">'[5]SW-TEO'!#REF!</definedName>
    <definedName name="_____PK3" localSheetId="3">'[4]SW-TEO'!#REF!</definedName>
    <definedName name="_____PK3">'[5]SW-TEO'!#REF!</definedName>
    <definedName name="_____PVC11008" localSheetId="0">[9]附表2!#REF!</definedName>
    <definedName name="_____PVC11008" localSheetId="2">[9]附表2!#REF!</definedName>
    <definedName name="_____PVC11008" localSheetId="3">[10]附表2!#REF!</definedName>
    <definedName name="_____PVC11008">[11]附表2!#REF!</definedName>
    <definedName name="_____PVC16008" localSheetId="0">[9]附表2!#REF!</definedName>
    <definedName name="_____PVC16008" localSheetId="2">[9]附表2!#REF!</definedName>
    <definedName name="_____PVC16008" localSheetId="3">[10]附表2!#REF!</definedName>
    <definedName name="_____PVC16008">[11]附表2!#REF!</definedName>
    <definedName name="_____PVC20008" localSheetId="0">[1]附表2!#REF!</definedName>
    <definedName name="_____PVC20008" localSheetId="2">[1]附表2!#REF!</definedName>
    <definedName name="_____PVC20008" localSheetId="3">[10]附表2!#REF!</definedName>
    <definedName name="_____PVC20008">[11]附表2!#REF!</definedName>
    <definedName name="_____PVC25008" localSheetId="0">[9]附表2!#REF!</definedName>
    <definedName name="_____PVC25008" localSheetId="2">[9]附表2!#REF!</definedName>
    <definedName name="_____PVC25008" localSheetId="3">[10]附表2!#REF!</definedName>
    <definedName name="_____PVC25008">[11]附表2!#REF!</definedName>
    <definedName name="_____PVC31508" localSheetId="0">[9]附表2!#REF!</definedName>
    <definedName name="_____PVC31508" localSheetId="2">[9]附表2!#REF!</definedName>
    <definedName name="_____PVC31508" localSheetId="3">[10]附表2!#REF!</definedName>
    <definedName name="_____PVC31508">[11]附表2!#REF!</definedName>
    <definedName name="_____PVC9006" localSheetId="0">[9]附表2!#REF!</definedName>
    <definedName name="_____PVC9006" localSheetId="2">[9]附表2!#REF!</definedName>
    <definedName name="_____PVC9006" localSheetId="3">[10]附表2!#REF!</definedName>
    <definedName name="_____PVC9006">[11]附表2!#REF!</definedName>
    <definedName name="_____PVC9008" localSheetId="0">[9]附表2!#REF!</definedName>
    <definedName name="_____PVC9008" localSheetId="2">[9]附表2!#REF!</definedName>
    <definedName name="_____PVC9008" localSheetId="3">[10]附表2!#REF!</definedName>
    <definedName name="_____PVC9008">[11]附表2!#REF!</definedName>
    <definedName name="____PA7" localSheetId="3">'[4]SW-TEO'!#REF!</definedName>
    <definedName name="____PA7">'[5]SW-TEO'!#REF!</definedName>
    <definedName name="____PA8" localSheetId="3">'[4]SW-TEO'!#REF!</definedName>
    <definedName name="____PA8">'[5]SW-TEO'!#REF!</definedName>
    <definedName name="____PD1" localSheetId="3">'[4]SW-TEO'!#REF!</definedName>
    <definedName name="____PD1">'[5]SW-TEO'!#REF!</definedName>
    <definedName name="____PE12" localSheetId="3">'[4]SW-TEO'!#REF!</definedName>
    <definedName name="____PE12">'[5]SW-TEO'!#REF!</definedName>
    <definedName name="____PE13" localSheetId="3">'[4]SW-TEO'!#REF!</definedName>
    <definedName name="____PE13">'[5]SW-TEO'!#REF!</definedName>
    <definedName name="____PE20" localSheetId="0">[9]附表2!#REF!</definedName>
    <definedName name="____PE20" localSheetId="2">[9]附表2!#REF!</definedName>
    <definedName name="____PE20" localSheetId="3">[10]附表2!#REF!</definedName>
    <definedName name="____PE20">[11]附表2!#REF!</definedName>
    <definedName name="____PE40" localSheetId="0">[9]附表2!#REF!</definedName>
    <definedName name="____PE40" localSheetId="2">[9]附表2!#REF!</definedName>
    <definedName name="____PE40" localSheetId="3">[10]附表2!#REF!</definedName>
    <definedName name="____PE40">[11]附表2!#REF!</definedName>
    <definedName name="____PE6" localSheetId="3">'[4]SW-TEO'!#REF!</definedName>
    <definedName name="____PE6">'[5]SW-TEO'!#REF!</definedName>
    <definedName name="____PE7" localSheetId="3">'[4]SW-TEO'!#REF!</definedName>
    <definedName name="____PE7">'[5]SW-TEO'!#REF!</definedName>
    <definedName name="____PE8" localSheetId="3">'[4]SW-TEO'!#REF!</definedName>
    <definedName name="____PE8">'[5]SW-TEO'!#REF!</definedName>
    <definedName name="____PE9" localSheetId="3">'[4]SW-TEO'!#REF!</definedName>
    <definedName name="____PE9">'[5]SW-TEO'!#REF!</definedName>
    <definedName name="____PH1" localSheetId="3">'[4]SW-TEO'!#REF!</definedName>
    <definedName name="____PH1">'[5]SW-TEO'!#REF!</definedName>
    <definedName name="____PI1" localSheetId="3">'[4]SW-TEO'!#REF!</definedName>
    <definedName name="____PI1">'[5]SW-TEO'!#REF!</definedName>
    <definedName name="____PK1" localSheetId="3">'[4]SW-TEO'!#REF!</definedName>
    <definedName name="____PK1">'[5]SW-TEO'!#REF!</definedName>
    <definedName name="____PK3" localSheetId="3">'[4]SW-TEO'!#REF!</definedName>
    <definedName name="____PK3">'[5]SW-TEO'!#REF!</definedName>
    <definedName name="____PVC11008" localSheetId="0">[9]附表2!#REF!</definedName>
    <definedName name="____PVC11008" localSheetId="2">[9]附表2!#REF!</definedName>
    <definedName name="____PVC11008" localSheetId="3">[10]附表2!#REF!</definedName>
    <definedName name="____PVC11008">[11]附表2!#REF!</definedName>
    <definedName name="____PVC16008" localSheetId="0">[9]附表2!#REF!</definedName>
    <definedName name="____PVC16008" localSheetId="2">[9]附表2!#REF!</definedName>
    <definedName name="____PVC16008" localSheetId="3">[10]附表2!#REF!</definedName>
    <definedName name="____PVC16008">[11]附表2!#REF!</definedName>
    <definedName name="____PVC20008" localSheetId="0">[9]附表2!#REF!</definedName>
    <definedName name="____PVC20008" localSheetId="2">[9]附表2!#REF!</definedName>
    <definedName name="____PVC20008" localSheetId="3">[10]附表2!#REF!</definedName>
    <definedName name="____PVC20008">[11]附表2!#REF!</definedName>
    <definedName name="____PVC25008" localSheetId="0">[9]附表2!#REF!</definedName>
    <definedName name="____PVC25008" localSheetId="2">[9]附表2!#REF!</definedName>
    <definedName name="____PVC25008" localSheetId="3">[10]附表2!#REF!</definedName>
    <definedName name="____PVC25008">[11]附表2!#REF!</definedName>
    <definedName name="____PVC31508" localSheetId="0">[9]附表2!#REF!</definedName>
    <definedName name="____PVC31508" localSheetId="2">[9]附表2!#REF!</definedName>
    <definedName name="____PVC31508" localSheetId="3">[10]附表2!#REF!</definedName>
    <definedName name="____PVC31508">[11]附表2!#REF!</definedName>
    <definedName name="____PVC9006" localSheetId="0">[9]附表2!#REF!</definedName>
    <definedName name="____PVC9006" localSheetId="2">[9]附表2!#REF!</definedName>
    <definedName name="____PVC9006" localSheetId="3">[10]附表2!#REF!</definedName>
    <definedName name="____PVC9006">[11]附表2!#REF!</definedName>
    <definedName name="____PVC9008" localSheetId="0">[9]附表2!#REF!</definedName>
    <definedName name="____PVC9008" localSheetId="2">[9]附表2!#REF!</definedName>
    <definedName name="____PVC9008" localSheetId="3">[10]附表2!#REF!</definedName>
    <definedName name="____PVC9008">[11]附表2!#REF!</definedName>
    <definedName name="___PA7" localSheetId="3">'[4]SW-TEO'!#REF!</definedName>
    <definedName name="___PA7">'[5]SW-TEO'!#REF!</definedName>
    <definedName name="___PA8" localSheetId="3">'[4]SW-TEO'!#REF!</definedName>
    <definedName name="___PA8">'[5]SW-TEO'!#REF!</definedName>
    <definedName name="___PD1" localSheetId="3">'[4]SW-TEO'!#REF!</definedName>
    <definedName name="___PD1">'[5]SW-TEO'!#REF!</definedName>
    <definedName name="___PE12" localSheetId="3">'[4]SW-TEO'!#REF!</definedName>
    <definedName name="___PE12">'[5]SW-TEO'!#REF!</definedName>
    <definedName name="___PE13" localSheetId="3">'[4]SW-TEO'!#REF!</definedName>
    <definedName name="___PE13">'[5]SW-TEO'!#REF!</definedName>
    <definedName name="___PE20" localSheetId="0">[9]附表2!#REF!</definedName>
    <definedName name="___PE20" localSheetId="2">[9]附表2!#REF!</definedName>
    <definedName name="___PE20" localSheetId="3">[10]附表2!#REF!</definedName>
    <definedName name="___PE20">[11]附表2!#REF!</definedName>
    <definedName name="___PE40" localSheetId="0">[9]附表2!#REF!</definedName>
    <definedName name="___PE40" localSheetId="2">[9]附表2!#REF!</definedName>
    <definedName name="___PE40" localSheetId="3">[10]附表2!#REF!</definedName>
    <definedName name="___PE40">[11]附表2!#REF!</definedName>
    <definedName name="___PE6" localSheetId="3">'[4]SW-TEO'!#REF!</definedName>
    <definedName name="___PE6">'[5]SW-TEO'!#REF!</definedName>
    <definedName name="___PE7" localSheetId="3">'[4]SW-TEO'!#REF!</definedName>
    <definedName name="___PE7">'[5]SW-TEO'!#REF!</definedName>
    <definedName name="___PE8" localSheetId="3">'[4]SW-TEO'!#REF!</definedName>
    <definedName name="___PE8">'[5]SW-TEO'!#REF!</definedName>
    <definedName name="___PE9" localSheetId="3">'[4]SW-TEO'!#REF!</definedName>
    <definedName name="___PE9">'[5]SW-TEO'!#REF!</definedName>
    <definedName name="___PH1" localSheetId="3">'[4]SW-TEO'!#REF!</definedName>
    <definedName name="___PH1">'[5]SW-TEO'!#REF!</definedName>
    <definedName name="___PI1" localSheetId="3">'[4]SW-TEO'!#REF!</definedName>
    <definedName name="___PI1">'[5]SW-TEO'!#REF!</definedName>
    <definedName name="___PK1" localSheetId="3">'[4]SW-TEO'!#REF!</definedName>
    <definedName name="___PK1">'[5]SW-TEO'!#REF!</definedName>
    <definedName name="___PK3" localSheetId="3">'[4]SW-TEO'!#REF!</definedName>
    <definedName name="___PK3">'[5]SW-TEO'!#REF!</definedName>
    <definedName name="___PVC11008" localSheetId="0">[9]附表2!#REF!</definedName>
    <definedName name="___PVC11008" localSheetId="2">[9]附表2!#REF!</definedName>
    <definedName name="___PVC11008" localSheetId="3">[10]附表2!#REF!</definedName>
    <definedName name="___PVC11008">[11]附表2!#REF!</definedName>
    <definedName name="___PVC16008" localSheetId="0">[9]附表2!#REF!</definedName>
    <definedName name="___PVC16008" localSheetId="2">[9]附表2!#REF!</definedName>
    <definedName name="___PVC16008" localSheetId="3">[10]附表2!#REF!</definedName>
    <definedName name="___PVC16008">[11]附表2!#REF!</definedName>
    <definedName name="___PVC20008" localSheetId="0">[9]附表2!#REF!</definedName>
    <definedName name="___PVC20008" localSheetId="2">[9]附表2!#REF!</definedName>
    <definedName name="___PVC20008" localSheetId="3">[10]附表2!#REF!</definedName>
    <definedName name="___PVC20008">[11]附表2!#REF!</definedName>
    <definedName name="___PVC25008" localSheetId="0">[9]附表2!#REF!</definedName>
    <definedName name="___PVC25008" localSheetId="2">[9]附表2!#REF!</definedName>
    <definedName name="___PVC25008" localSheetId="3">[10]附表2!#REF!</definedName>
    <definedName name="___PVC25008">[11]附表2!#REF!</definedName>
    <definedName name="___PVC31508" localSheetId="0">[9]附表2!#REF!</definedName>
    <definedName name="___PVC31508" localSheetId="2">[9]附表2!#REF!</definedName>
    <definedName name="___PVC31508" localSheetId="3">[10]附表2!#REF!</definedName>
    <definedName name="___PVC31508">[11]附表2!#REF!</definedName>
    <definedName name="___PVC9006" localSheetId="0">[9]附表2!#REF!</definedName>
    <definedName name="___PVC9006" localSheetId="2">[9]附表2!#REF!</definedName>
    <definedName name="___PVC9006" localSheetId="3">[10]附表2!#REF!</definedName>
    <definedName name="___PVC9006">[11]附表2!#REF!</definedName>
    <definedName name="___PVC9008" localSheetId="0">[9]附表2!#REF!</definedName>
    <definedName name="___PVC9008" localSheetId="2">[9]附表2!#REF!</definedName>
    <definedName name="___PVC9008" localSheetId="3">[10]附表2!#REF!</definedName>
    <definedName name="___PVC9008">[11]附表2!#REF!</definedName>
    <definedName name="__PA7" localSheetId="3">'[4]SW-TEO'!#REF!</definedName>
    <definedName name="__PA7">'[5]SW-TEO'!#REF!</definedName>
    <definedName name="__PA8" localSheetId="3">'[4]SW-TEO'!#REF!</definedName>
    <definedName name="__PA8">'[5]SW-TEO'!#REF!</definedName>
    <definedName name="__PD1" localSheetId="3">'[4]SW-TEO'!#REF!</definedName>
    <definedName name="__PD1">'[5]SW-TEO'!#REF!</definedName>
    <definedName name="__PE12" localSheetId="3">'[4]SW-TEO'!#REF!</definedName>
    <definedName name="__PE12">'[5]SW-TEO'!#REF!</definedName>
    <definedName name="__PE13" localSheetId="3">'[4]SW-TEO'!#REF!</definedName>
    <definedName name="__PE13">'[5]SW-TEO'!#REF!</definedName>
    <definedName name="__PE20" localSheetId="0">[12]附表2!#REF!</definedName>
    <definedName name="__PE20" localSheetId="2">[12]附表2!#REF!</definedName>
    <definedName name="__PE20" localSheetId="3">[10]附表2!#REF!</definedName>
    <definedName name="__PE20">[11]附表2!#REF!</definedName>
    <definedName name="__PE40" localSheetId="0">[12]附表2!#REF!</definedName>
    <definedName name="__PE40" localSheetId="2">[12]附表2!#REF!</definedName>
    <definedName name="__PE40" localSheetId="3">[10]附表2!#REF!</definedName>
    <definedName name="__PE40">[11]附表2!#REF!</definedName>
    <definedName name="__PE6" localSheetId="3">'[4]SW-TEO'!#REF!</definedName>
    <definedName name="__PE6">'[5]SW-TEO'!#REF!</definedName>
    <definedName name="__PE7" localSheetId="3">'[4]SW-TEO'!#REF!</definedName>
    <definedName name="__PE7">'[5]SW-TEO'!#REF!</definedName>
    <definedName name="__PE8" localSheetId="3">'[4]SW-TEO'!#REF!</definedName>
    <definedName name="__PE8">'[5]SW-TEO'!#REF!</definedName>
    <definedName name="__PE9" localSheetId="3">'[4]SW-TEO'!#REF!</definedName>
    <definedName name="__PE9">'[5]SW-TEO'!#REF!</definedName>
    <definedName name="__PH1" localSheetId="3">'[4]SW-TEO'!#REF!</definedName>
    <definedName name="__PH1">'[5]SW-TEO'!#REF!</definedName>
    <definedName name="__PI1" localSheetId="3">'[4]SW-TEO'!#REF!</definedName>
    <definedName name="__PI1">'[5]SW-TEO'!#REF!</definedName>
    <definedName name="__PK1" localSheetId="3">'[4]SW-TEO'!#REF!</definedName>
    <definedName name="__PK1">'[5]SW-TEO'!#REF!</definedName>
    <definedName name="__PK3" localSheetId="3">'[4]SW-TEO'!#REF!</definedName>
    <definedName name="__PK3">'[5]SW-TEO'!#REF!</definedName>
    <definedName name="__PVC11008" localSheetId="0">[12]附表2!#REF!</definedName>
    <definedName name="__PVC11008" localSheetId="2">[12]附表2!#REF!</definedName>
    <definedName name="__PVC11008" localSheetId="3">[10]附表2!#REF!</definedName>
    <definedName name="__PVC11008">[11]附表2!#REF!</definedName>
    <definedName name="__PVC16008" localSheetId="0">[12]附表2!#REF!</definedName>
    <definedName name="__PVC16008" localSheetId="2">[12]附表2!#REF!</definedName>
    <definedName name="__PVC16008" localSheetId="3">[10]附表2!#REF!</definedName>
    <definedName name="__PVC16008">[11]附表2!#REF!</definedName>
    <definedName name="__PVC20008" localSheetId="0">[12]附表2!#REF!</definedName>
    <definedName name="__PVC20008" localSheetId="2">[12]附表2!#REF!</definedName>
    <definedName name="__PVC20008" localSheetId="3">[10]附表2!#REF!</definedName>
    <definedName name="__PVC20008">[11]附表2!#REF!</definedName>
    <definedName name="__PVC25008" localSheetId="0">[12]附表2!#REF!</definedName>
    <definedName name="__PVC25008" localSheetId="2">[12]附表2!#REF!</definedName>
    <definedName name="__PVC25008" localSheetId="3">[10]附表2!#REF!</definedName>
    <definedName name="__PVC25008">[11]附表2!#REF!</definedName>
    <definedName name="__PVC31508" localSheetId="0">[12]附表2!#REF!</definedName>
    <definedName name="__PVC31508" localSheetId="2">[12]附表2!#REF!</definedName>
    <definedName name="__PVC31508" localSheetId="3">[10]附表2!#REF!</definedName>
    <definedName name="__PVC31508">[11]附表2!#REF!</definedName>
    <definedName name="__PVC9006" localSheetId="0">[12]附表2!#REF!</definedName>
    <definedName name="__PVC9006" localSheetId="2">[12]附表2!#REF!</definedName>
    <definedName name="__PVC9006" localSheetId="3">[10]附表2!#REF!</definedName>
    <definedName name="__PVC9006">[11]附表2!#REF!</definedName>
    <definedName name="__PVC9008" localSheetId="0">[12]附表2!#REF!</definedName>
    <definedName name="__PVC9008" localSheetId="2">[12]附表2!#REF!</definedName>
    <definedName name="__PVC9008" localSheetId="3">[10]附表2!#REF!</definedName>
    <definedName name="__PVC9008">[11]附表2!#REF!</definedName>
    <definedName name="_1_125涵洞" localSheetId="0">#REF!</definedName>
    <definedName name="_1_125涵洞" localSheetId="2">#REF!</definedName>
    <definedName name="_1_125涵洞" localSheetId="24">#REF!</definedName>
    <definedName name="_1_125涵洞" localSheetId="3">#REF!</definedName>
    <definedName name="_1_125涵洞">#REF!</definedName>
    <definedName name="_120度弯头φ120" localSheetId="0">[13]附表2材料价格表!#REF!</definedName>
    <definedName name="_120度弯头φ120" localSheetId="2">[13]附表2材料价格表!#REF!</definedName>
    <definedName name="_120度弯头φ120" localSheetId="3">[14]附表2材料价格表!#REF!</definedName>
    <definedName name="_120度弯头φ120">[15]附表2材料价格表!#REF!</definedName>
    <definedName name="_120度弯头φ140" localSheetId="0">[13]附表2材料价格表!#REF!</definedName>
    <definedName name="_120度弯头φ140" localSheetId="2">[13]附表2材料价格表!#REF!</definedName>
    <definedName name="_120度弯头φ140" localSheetId="3">[14]附表2材料价格表!#REF!</definedName>
    <definedName name="_120度弯头φ140">[15]附表2材料价格表!#REF!</definedName>
    <definedName name="_120度弯头φ160" localSheetId="0">[13]附表2材料价格表!#REF!</definedName>
    <definedName name="_120度弯头φ160" localSheetId="2">[13]附表2材料价格表!#REF!</definedName>
    <definedName name="_120度弯头φ160" localSheetId="3">[14]附表2材料价格表!#REF!</definedName>
    <definedName name="_120度弯头φ160">[15]附表2材料价格表!#REF!</definedName>
    <definedName name="_1单元" localSheetId="0">#REF!</definedName>
    <definedName name="_1单元" localSheetId="2">#REF!</definedName>
    <definedName name="_1单元" localSheetId="24">#REF!</definedName>
    <definedName name="_1单元" localSheetId="3">#REF!</definedName>
    <definedName name="_1单元">#REF!</definedName>
    <definedName name="_2_分水闸" localSheetId="0">#REF!</definedName>
    <definedName name="_2_分水闸" localSheetId="2">#REF!</definedName>
    <definedName name="_2_分水闸" localSheetId="24">#REF!</definedName>
    <definedName name="_2_分水闸" localSheetId="3">#REF!</definedName>
    <definedName name="_2_分水闸">#REF!</definedName>
    <definedName name="_2_涵洞" localSheetId="0">#REF!</definedName>
    <definedName name="_2_涵洞" localSheetId="2">#REF!</definedName>
    <definedName name="_2_涵洞" localSheetId="24">#REF!</definedName>
    <definedName name="_2_涵洞" localSheetId="3">#REF!</definedName>
    <definedName name="_2_涵洞">#REF!</definedName>
    <definedName name="_2m3装载机" localSheetId="0">[13]附表3机械台班!#REF!</definedName>
    <definedName name="_2m3装载机" localSheetId="2">[13]附表3机械台班!#REF!</definedName>
    <definedName name="_2m3装载机" localSheetId="3">[14]附表3机械台班!#REF!</definedName>
    <definedName name="_2m3装载机">[15]附表3机械台班!#REF!</definedName>
    <definedName name="_2单元" localSheetId="0">#REF!</definedName>
    <definedName name="_2单元" localSheetId="2">#REF!</definedName>
    <definedName name="_2单元" localSheetId="24">#REF!</definedName>
    <definedName name="_2单元" localSheetId="3">#REF!</definedName>
    <definedName name="_2单元">#REF!</definedName>
    <definedName name="_3_涵洞" localSheetId="0">#REF!</definedName>
    <definedName name="_3_涵洞" localSheetId="2">#REF!</definedName>
    <definedName name="_3_涵洞" localSheetId="24">#REF!</definedName>
    <definedName name="_3_涵洞" localSheetId="3">#REF!</definedName>
    <definedName name="_3_涵洞">#REF!</definedName>
    <definedName name="_32.5水泥" localSheetId="0">[13]附表2材料价格表!#REF!</definedName>
    <definedName name="_32.5水泥" localSheetId="2">[13]附表2材料价格表!#REF!</definedName>
    <definedName name="_32.5水泥" localSheetId="3">[14]附表2材料价格表!#REF!</definedName>
    <definedName name="_32.5水泥">[15]附表2材料价格表!#REF!</definedName>
    <definedName name="_Fill" localSheetId="0" hidden="1">[15]eqpmad2!#REF!</definedName>
    <definedName name="_Fill" localSheetId="2" hidden="1">[15]eqpmad2!#REF!</definedName>
    <definedName name="_Fill" localSheetId="3" hidden="1">[16]eqpmad2!#REF!</definedName>
    <definedName name="_Fill" hidden="1">[17]eqpmad2!#REF!</definedName>
    <definedName name="_xlnm._FilterDatabase" localSheetId="16" hidden="1">绿化定额!$A$1:$F$275</definedName>
    <definedName name="_xlnm._FilterDatabase" localSheetId="20" hidden="1">新定额单价!$A$1:$G$3447</definedName>
    <definedName name="_PA7" localSheetId="3">'[4]SW-TEO'!#REF!</definedName>
    <definedName name="_PA7">'[5]SW-TEO'!#REF!</definedName>
    <definedName name="_PA8" localSheetId="3">'[4]SW-TEO'!#REF!</definedName>
    <definedName name="_PA8">'[5]SW-TEO'!#REF!</definedName>
    <definedName name="_PD1" localSheetId="3">'[4]SW-TEO'!#REF!</definedName>
    <definedName name="_PD1">'[5]SW-TEO'!#REF!</definedName>
    <definedName name="_PE12" localSheetId="3">'[4]SW-TEO'!#REF!</definedName>
    <definedName name="_PE12">'[5]SW-TEO'!#REF!</definedName>
    <definedName name="_PE13" localSheetId="3">'[4]SW-TEO'!#REF!</definedName>
    <definedName name="_PE13">'[5]SW-TEO'!#REF!</definedName>
    <definedName name="_PE20" localSheetId="0">[18]附表2!#REF!</definedName>
    <definedName name="_PE20" localSheetId="2">[18]附表2!#REF!</definedName>
    <definedName name="_PE20" localSheetId="3">[19]附表2!#REF!</definedName>
    <definedName name="_PE20">[20]附表2!#REF!</definedName>
    <definedName name="_PE40" localSheetId="0">[18]附表2!#REF!</definedName>
    <definedName name="_PE40" localSheetId="2">[18]附表2!#REF!</definedName>
    <definedName name="_PE40" localSheetId="3">[19]附表2!#REF!</definedName>
    <definedName name="_PE40">[20]附表2!#REF!</definedName>
    <definedName name="_PE6" localSheetId="3">'[4]SW-TEO'!#REF!</definedName>
    <definedName name="_PE6">'[5]SW-TEO'!#REF!</definedName>
    <definedName name="_PE7" localSheetId="3">'[4]SW-TEO'!#REF!</definedName>
    <definedName name="_PE7">'[5]SW-TEO'!#REF!</definedName>
    <definedName name="_PE8" localSheetId="3">'[4]SW-TEO'!#REF!</definedName>
    <definedName name="_PE8">'[5]SW-TEO'!#REF!</definedName>
    <definedName name="_PE9" localSheetId="3">'[4]SW-TEO'!#REF!</definedName>
    <definedName name="_PE9">'[5]SW-TEO'!#REF!</definedName>
    <definedName name="_pe90" localSheetId="24">'[21]附表2 材料价格表'!$L$21</definedName>
    <definedName name="_pe90">'[22]附表2 材料价格表'!$L$21</definedName>
    <definedName name="_PH1" localSheetId="3">'[4]SW-TEO'!#REF!</definedName>
    <definedName name="_PH1">'[5]SW-TEO'!#REF!</definedName>
    <definedName name="_PI1" localSheetId="3">'[4]SW-TEO'!#REF!</definedName>
    <definedName name="_PI1">'[5]SW-TEO'!#REF!</definedName>
    <definedName name="_PK1" localSheetId="3">'[4]SW-TEO'!#REF!</definedName>
    <definedName name="_PK1">'[5]SW-TEO'!#REF!</definedName>
    <definedName name="_PK3" localSheetId="3">'[4]SW-TEO'!#REF!</definedName>
    <definedName name="_PK3">'[5]SW-TEO'!#REF!</definedName>
    <definedName name="_pvc110" localSheetId="24">'[21]附表2 材料价格表'!$L$17</definedName>
    <definedName name="_pvc110">'[22]附表2 材料价格表'!$L$17</definedName>
    <definedName name="_PVC11008" localSheetId="0">[18]附表2!#REF!</definedName>
    <definedName name="_PVC11008" localSheetId="2">[18]附表2!#REF!</definedName>
    <definedName name="_PVC11008" localSheetId="3">[19]附表2!#REF!</definedName>
    <definedName name="_PVC11008">[20]附表2!#REF!</definedName>
    <definedName name="_pvc160" localSheetId="24">'[21]附表2 材料价格表'!$L$18</definedName>
    <definedName name="_pvc160">'[22]附表2 材料价格表'!$L$18</definedName>
    <definedName name="_PVC16008" localSheetId="0">[18]附表2!#REF!</definedName>
    <definedName name="_PVC16008" localSheetId="2">[18]附表2!#REF!</definedName>
    <definedName name="_PVC16008" localSheetId="3">[19]附表2!#REF!</definedName>
    <definedName name="_PVC16008">[20]附表2!#REF!</definedName>
    <definedName name="_PVC20008" localSheetId="0">[18]附表2!#REF!</definedName>
    <definedName name="_PVC20008" localSheetId="2">[18]附表2!#REF!</definedName>
    <definedName name="_PVC20008" localSheetId="3">[19]附表2!#REF!</definedName>
    <definedName name="_PVC20008">[20]附表2!#REF!</definedName>
    <definedName name="_pvc250" localSheetId="24">'[21]附表2 材料价格表'!$L$20</definedName>
    <definedName name="_pvc250">'[22]附表2 材料价格表'!$L$20</definedName>
    <definedName name="_PVC25008" localSheetId="0">[18]附表2!#REF!</definedName>
    <definedName name="_PVC25008" localSheetId="2">[18]附表2!#REF!</definedName>
    <definedName name="_PVC25008" localSheetId="3">[19]附表2!#REF!</definedName>
    <definedName name="_PVC25008">[20]附表2!#REF!</definedName>
    <definedName name="_PVC31508" localSheetId="0">[18]附表2!#REF!</definedName>
    <definedName name="_PVC31508" localSheetId="2">[18]附表2!#REF!</definedName>
    <definedName name="_PVC31508" localSheetId="3">[19]附表2!#REF!</definedName>
    <definedName name="_PVC31508">[20]附表2!#REF!</definedName>
    <definedName name="_pvc90" localSheetId="24">'[21]附表2 材料价格表'!$L$16</definedName>
    <definedName name="_pvc90">'[22]附表2 材料价格表'!$L$16</definedName>
    <definedName name="_PVC9006" localSheetId="0">[18]附表2!#REF!</definedName>
    <definedName name="_PVC9006" localSheetId="2">[18]附表2!#REF!</definedName>
    <definedName name="_PVC9006" localSheetId="3">[19]附表2!#REF!</definedName>
    <definedName name="_PVC9006">[20]附表2!#REF!</definedName>
    <definedName name="_PVC9008" localSheetId="0">[18]附表2!#REF!</definedName>
    <definedName name="_PVC9008" localSheetId="2">[18]附表2!#REF!</definedName>
    <definedName name="_PVC9008" localSheetId="3">[19]附表2!#REF!</definedName>
    <definedName name="_PVC9008">[20]附表2!#REF!</definedName>
    <definedName name="_Toc292980688" localSheetId="13">环境保护投资!$A$2</definedName>
    <definedName name="￠160PVC管_0.6pa" localSheetId="0">[13]附表2材料价格表!#REF!</definedName>
    <definedName name="￠160PVC管_0.6pa" localSheetId="2">[13]附表2材料价格表!#REF!</definedName>
    <definedName name="￠160PVC管_0.6pa" localSheetId="3">[14]附表2材料价格表!#REF!</definedName>
    <definedName name="￠160PVC管_0.6pa">[15]附表2材料价格表!#REF!</definedName>
    <definedName name="￠180PVC管_0.6pa" localSheetId="0">[13]附表2材料价格表!#REF!</definedName>
    <definedName name="￠180PVC管_0.6pa" localSheetId="2">[13]附表2材料价格表!#REF!</definedName>
    <definedName name="￠180PVC管_0.6pa" localSheetId="3">[14]附表2材料价格表!#REF!</definedName>
    <definedName name="￠180PVC管_0.6pa">[15]附表2材料价格表!#REF!</definedName>
    <definedName name="￠90PVC管_0.6pa" localSheetId="0">[13]附表2材料价格表!#REF!</definedName>
    <definedName name="￠90PVC管_0.6pa" localSheetId="2">[13]附表2材料价格表!#REF!</definedName>
    <definedName name="￠90PVC管_0.6pa" localSheetId="3">[14]附表2材料价格表!#REF!</definedName>
    <definedName name="￠90PVC管_0.6pa">[15]附表2材料价格表!#REF!</definedName>
    <definedName name="a" hidden="1">{"'现金流量表（全部投资）'!$B$4:$P$23"}</definedName>
    <definedName name="a_1">{"'现金流量表（全部投资）'!$B$4:$P$23"}</definedName>
    <definedName name="aa" localSheetId="0">#REF!</definedName>
    <definedName name="aa" localSheetId="2">#REF!</definedName>
    <definedName name="aa" localSheetId="24">#REF!</definedName>
    <definedName name="aa" localSheetId="3">#REF!</definedName>
    <definedName name="aa">#REF!</definedName>
    <definedName name="aaaa" localSheetId="0">#REF!</definedName>
    <definedName name="aaaa" localSheetId="2">#REF!</definedName>
    <definedName name="aaaa" localSheetId="24">#REF!</definedName>
    <definedName name="aaaa" localSheetId="3">#REF!</definedName>
    <definedName name="aaaa">#REF!</definedName>
    <definedName name="aaaaaaa" localSheetId="0" hidden="1">[15]eqpmad2!#REF!</definedName>
    <definedName name="aaaaaaa" localSheetId="2" hidden="1">[15]eqpmad2!#REF!</definedName>
    <definedName name="aaaaaaa" localSheetId="3" hidden="1">[16]eqpmad2!#REF!</definedName>
    <definedName name="aaaaaaa" hidden="1">[17]eqpmad2!#REF!</definedName>
    <definedName name="abc" localSheetId="0">#REF!</definedName>
    <definedName name="abc" localSheetId="2">#REF!</definedName>
    <definedName name="abc" localSheetId="24">#REF!</definedName>
    <definedName name="abc" localSheetId="3">#REF!</definedName>
    <definedName name="abc">#REF!</definedName>
    <definedName name="aiu_bottom" localSheetId="0">'[23]Financ. Overview'!#REF!</definedName>
    <definedName name="aiu_bottom" localSheetId="2">'[23]Financ. Overview'!#REF!</definedName>
    <definedName name="aiu_bottom" localSheetId="3">'[24]Financ. Overview'!#REF!</definedName>
    <definedName name="aiu_bottom">'[25]Financ. Overview'!#REF!</definedName>
    <definedName name="anscount" hidden="1">5</definedName>
    <definedName name="as" localSheetId="0">[20]定额!#REF!</definedName>
    <definedName name="as" localSheetId="2">[20]定额!#REF!</definedName>
    <definedName name="as" localSheetId="3">[26]定额!#REF!</definedName>
    <definedName name="as">[27]定额!#REF!</definedName>
    <definedName name="Auto_Close" hidden="1">'[28]00000ppy'!$C$4</definedName>
    <definedName name="Auto_Open" hidden="1">'[28]00000ppy'!$C$4</definedName>
    <definedName name="b" hidden="1">{"'现金流量表（全部投资）'!$B$4:$P$23"}</definedName>
    <definedName name="b_1">{"'现金流量表（全部投资）'!$B$4:$P$23"}</definedName>
    <definedName name="bb" hidden="1">{"'现金流量表（全部投资）'!$B$4:$P$23"}</definedName>
    <definedName name="bu" localSheetId="0">[29]定额!#REF!</definedName>
    <definedName name="bu" localSheetId="2">[29]定额!#REF!</definedName>
    <definedName name="bu" localSheetId="3">[30]定额!#REF!</definedName>
    <definedName name="bu">[31]定额!#REF!</definedName>
    <definedName name="Bust" localSheetId="24">'[28]00000ppy'!$C$31</definedName>
    <definedName name="Bust" localSheetId="3">'[32]00000ppy'!$C$31</definedName>
    <definedName name="Bust">'[33]00000ppy'!$C$31</definedName>
    <definedName name="cc" hidden="1">{"'现金流量表（全部投资）'!$B$4:$P$23"}</definedName>
    <definedName name="cc_1">{"'现金流量表（全部投资）'!$B$4:$P$23"}</definedName>
    <definedName name="Continue" localSheetId="24">'[28]00000ppy'!$C$9</definedName>
    <definedName name="Continue" localSheetId="3">'[32]00000ppy'!$C$9</definedName>
    <definedName name="Continue">'[33]00000ppy'!$C$9</definedName>
    <definedName name="CurDate">#REF!</definedName>
    <definedName name="CurDept">#REF!</definedName>
    <definedName name="CurUnit">#REF!</definedName>
    <definedName name="CurYear">#REF!</definedName>
    <definedName name="cv" hidden="1">{"'现金流量表（全部投资）'!$B$4:$P$23"}</definedName>
    <definedName name="Database" localSheetId="0" hidden="1">#REF!</definedName>
    <definedName name="Database" localSheetId="2" hidden="1">#REF!</definedName>
    <definedName name="Database" localSheetId="24" hidden="1">#REF!</definedName>
    <definedName name="Database" localSheetId="3" hidden="1">#REF!</definedName>
    <definedName name="Database" hidden="1">#REF!</definedName>
    <definedName name="DataBegin">#REF!</definedName>
    <definedName name="dd" hidden="1">{"'现金流量表（全部投资）'!$B$4:$P$23"}</definedName>
    <definedName name="dd_1" hidden="1">{"'现金流量表（全部投资）'!$B$4:$P$23"}</definedName>
    <definedName name="dj" localSheetId="0">'[33]5'!$F$1</definedName>
    <definedName name="dj" localSheetId="2">'[33]5'!$F$1</definedName>
    <definedName name="dj" localSheetId="24">'[33]5'!$F$1</definedName>
    <definedName name="dj" localSheetId="3">'[34]5'!$F$1</definedName>
    <definedName name="dj">'[35]5'!$F$1</definedName>
    <definedName name="e" hidden="1">{"'现金流量表（全部投资）'!$B$4:$P$23"}</definedName>
    <definedName name="e_1" hidden="1">{"'现金流量表（全部投资）'!$B$4:$P$23"}</definedName>
    <definedName name="ee" hidden="1">{"'现金流量表（全部投资）'!$B$4:$P$23"}</definedName>
    <definedName name="ee_1" hidden="1">{"'现金流量表（全部投资）'!$B$4:$P$23"}</definedName>
    <definedName name="fd" hidden="1">{"'现金流量表（全部投资）'!$B$4:$P$23"}</definedName>
    <definedName name="ff" hidden="1">{"'现金流量表（全部投资）'!$B$4:$P$23"}</definedName>
    <definedName name="FRC" localSheetId="0">[36]Main!$C$9</definedName>
    <definedName name="FRC" localSheetId="2">[36]Main!$C$9</definedName>
    <definedName name="FRC" localSheetId="24">[36]Main!$C$9</definedName>
    <definedName name="FRC" localSheetId="3">[37]Main!$C$9</definedName>
    <definedName name="FRC">[38]Main!$C$9</definedName>
    <definedName name="gc" localSheetId="0" hidden="1">[15]eqpmad2!#REF!</definedName>
    <definedName name="gc" localSheetId="2" hidden="1">[15]eqpmad2!#REF!</definedName>
    <definedName name="gc" localSheetId="3" hidden="1">[16]eqpmad2!#REF!</definedName>
    <definedName name="gc" hidden="1">[17]eqpmad2!#REF!</definedName>
    <definedName name="gg" hidden="1">{"'现金流量表（全部投资）'!$B$4:$P$23"}</definedName>
    <definedName name="heji" localSheetId="3">#REF!</definedName>
    <definedName name="heji">#REF!</definedName>
    <definedName name="Hello" localSheetId="24">'[28]00000ppy'!$A$15</definedName>
    <definedName name="Hello" localSheetId="3">'[32]00000ppy'!$A$15</definedName>
    <definedName name="Hello">'[33]00000ppy'!$A$15</definedName>
    <definedName name="hj">[39]机电设备!hj</definedName>
    <definedName name="hostfee" localSheetId="0">'[23]Financ. Overview'!$H$12</definedName>
    <definedName name="hostfee" localSheetId="2">'[23]Financ. Overview'!$H$12</definedName>
    <definedName name="hostfee" localSheetId="24">'[23]Financ. Overview'!$H$12</definedName>
    <definedName name="hostfee" localSheetId="3">'[24]Financ. Overview'!$H$12</definedName>
    <definedName name="hostfee">'[25]Financ. Overview'!$H$12</definedName>
    <definedName name="hraiu_bottom" localSheetId="0">'[23]Financ. Overview'!#REF!</definedName>
    <definedName name="hraiu_bottom" localSheetId="2">'[23]Financ. Overview'!#REF!</definedName>
    <definedName name="hraiu_bottom" localSheetId="3">'[24]Financ. Overview'!#REF!</definedName>
    <definedName name="hraiu_bottom">'[25]Financ. Overview'!#REF!</definedName>
    <definedName name="HTML_CodePage" hidden="1">936</definedName>
    <definedName name="HTML_Control" hidden="1">{"'现金流量表（全部投资）'!$B$4:$P$23"}</definedName>
    <definedName name="HTML_Control_1">{"'现金流量表（全部投资）'!$B$4:$P$23"}</definedName>
    <definedName name="HTML_Description" hidden="1">"lin zijian"</definedName>
    <definedName name="HTML_Email" hidden="1">""</definedName>
    <definedName name="HTML_Header" hidden="1">"现金流量表（全部投资）"</definedName>
    <definedName name="HTML_LastUpdate" hidden="1">"96-12-2"</definedName>
    <definedName name="HTML_LineAfter" hidden="1">TRUE</definedName>
    <definedName name="HTML_LineBefore" hidden="1">TRUE</definedName>
    <definedName name="HTML_Name" hidden="1">"linzijia"</definedName>
    <definedName name="HTML_OBDlg2" hidden="1">TRUE</definedName>
    <definedName name="HTML_OBDlg4" hidden="1">TRUE</definedName>
    <definedName name="HTML_OS" hidden="1">0</definedName>
    <definedName name="HTML_PathFile" hidden="1">"C:\lin\bk\MyHTML.htm"</definedName>
    <definedName name="HTML_Title" hidden="1">"PROJECT11"</definedName>
    <definedName name="huangling" localSheetId="0">'[40]表5-2工程监理费南'!$E$10</definedName>
    <definedName name="huangling" localSheetId="2">'[40]表5-2工程监理费南'!$E$10</definedName>
    <definedName name="huangling" localSheetId="24">'[40]表5-2工程监理费南'!$E$10</definedName>
    <definedName name="huangling" localSheetId="3">'[41]表5-2工程监理费南'!$E$10</definedName>
    <definedName name="huangling">'[42]表5-2工程监理费南'!$E$10</definedName>
    <definedName name="hvac" localSheetId="0">'[23]Financ. Overview'!#REF!</definedName>
    <definedName name="hvac" localSheetId="2">'[23]Financ. Overview'!#REF!</definedName>
    <definedName name="hvac" localSheetId="3">'[24]Financ. Overview'!#REF!</definedName>
    <definedName name="hvac">'[25]Financ. Overview'!#REF!</definedName>
    <definedName name="HWSheet">1</definedName>
    <definedName name="IS80_50_250" localSheetId="0">[13]附表2材料价格表!#REF!</definedName>
    <definedName name="IS80_50_250" localSheetId="2">[13]附表2材料价格表!#REF!</definedName>
    <definedName name="IS80_50_250" localSheetId="3">[14]附表2材料价格表!#REF!</definedName>
    <definedName name="IS80_50_250">[15]附表2材料价格表!#REF!</definedName>
    <definedName name="kk" hidden="1">{"'现金流量表（全部投资）'!$B$4:$P$23"}</definedName>
    <definedName name="KL" localSheetId="0" hidden="1">[35]Sheet2!$E$1:$E$65536,[35]Sheet2!$N$1:$P$65536</definedName>
    <definedName name="KL" localSheetId="2" hidden="1">[35]Sheet2!$E$1:$E$65536,[35]Sheet2!$N$1:$P$65536</definedName>
    <definedName name="KL" localSheetId="24" hidden="1">[35]Sheet2!$E$1:$E$65536,[35]Sheet2!$N$1:$P$65536</definedName>
    <definedName name="KL" localSheetId="3" hidden="1">[43]Sheet2!$E$1:$E$65536,[43]Sheet2!$N$1:$P$65536</definedName>
    <definedName name="KL" hidden="1">[44]Sheet2!$E$1:$E$65536,[44]Sheet2!$N$1:$P$65536</definedName>
    <definedName name="l" localSheetId="0">#REF!</definedName>
    <definedName name="l" localSheetId="2">#REF!</definedName>
    <definedName name="l" localSheetId="24">#REF!</definedName>
    <definedName name="l" localSheetId="3">#REF!</definedName>
    <definedName name="l">#REF!</definedName>
    <definedName name="LCountry" localSheetId="0">[45]数据字典!$Q$2:$Q$246</definedName>
    <definedName name="LCountry" localSheetId="2">[45]数据字典!$Q$2:$Q$246</definedName>
    <definedName name="LCountry" localSheetId="24">[45]数据字典!$Q$2:$Q$246</definedName>
    <definedName name="LCountry" localSheetId="3">[46]数据字典!$Q$2:$Q$246</definedName>
    <definedName name="LCountry">[47]数据字典!$Q$2:$Q$246</definedName>
    <definedName name="LGender" localSheetId="0">[48]数据字典!$L$2:$L$3</definedName>
    <definedName name="LGender" localSheetId="2">[48]数据字典!$L$2:$L$3</definedName>
    <definedName name="LGender" localSheetId="24">[48]数据字典!$L$2:$L$3</definedName>
    <definedName name="LGender" localSheetId="3">[49]数据字典!$L$2:$L$3</definedName>
    <definedName name="LGender">[50]数据字典!$L$2:$L$3</definedName>
    <definedName name="limcount" hidden="1">5</definedName>
    <definedName name="LPZone" localSheetId="0">[45]数据字典!$L$12:$L$42</definedName>
    <definedName name="LPZone" localSheetId="2">[45]数据字典!$L$12:$L$42</definedName>
    <definedName name="LPZone" localSheetId="24">[45]数据字典!$L$12:$L$42</definedName>
    <definedName name="LPZone" localSheetId="3">[46]数据字典!$L$12:$L$42</definedName>
    <definedName name="LPZone">[47]数据字典!$L$12:$L$42</definedName>
    <definedName name="M10浆砌砖基础" localSheetId="0">[51]附表4直接工程费单价表!#REF!</definedName>
    <definedName name="M10浆砌砖基础" localSheetId="2">[51]附表4直接工程费单价表!#REF!</definedName>
    <definedName name="M10浆砌砖基础" localSheetId="3">[52]附表4直接工程费单价表!#REF!</definedName>
    <definedName name="M10浆砌砖基础">[54]附表4直接工程费单价表!#REF!</definedName>
    <definedName name="M10砂浆" localSheetId="0">[55]配合比!$O$10</definedName>
    <definedName name="M10砂浆" localSheetId="2">[55]配合比!$O$10</definedName>
    <definedName name="M10砂浆" localSheetId="24">[55]配合比!$O$10</definedName>
    <definedName name="M10砂浆" localSheetId="3">[56]配合比!$O$10</definedName>
    <definedName name="M10砂浆">[57]配合比!$O$10</definedName>
    <definedName name="M5砂浆" localSheetId="0">[55]配合比!#REF!</definedName>
    <definedName name="M5砂浆" localSheetId="2">[55]配合比!#REF!</definedName>
    <definedName name="M5砂浆" localSheetId="3">[56]配合比!#REF!</definedName>
    <definedName name="M5砂浆">[57]配合比!#REF!</definedName>
    <definedName name="M7.5砂浆" localSheetId="0">[55]配合比!$O$9</definedName>
    <definedName name="M7.5砂浆" localSheetId="2">[55]配合比!$O$9</definedName>
    <definedName name="M7.5砂浆" localSheetId="24">[55]配合比!$O$9</definedName>
    <definedName name="M7.5砂浆" localSheetId="3">[56]配合比!$O$9</definedName>
    <definedName name="M7.5砂浆">[57]配合比!$O$9</definedName>
    <definedName name="MakeIt" localSheetId="24">'[28]00000ppy'!$A$26</definedName>
    <definedName name="MakeIt" localSheetId="3">'[32]00000ppy'!$A$26</definedName>
    <definedName name="MakeIt">'[33]00000ppy'!$A$26</definedName>
    <definedName name="Module.Prix_SMC">#N/A</definedName>
    <definedName name="Morning" localSheetId="24">'[28]00000ppy'!$C$39</definedName>
    <definedName name="Morning" localSheetId="3">'[32]00000ppy'!$C$39</definedName>
    <definedName name="Morning">'[33]00000ppy'!$C$39</definedName>
    <definedName name="ol" hidden="1">{"'现金流量表（全部投资）'!$B$4:$P$23"}</definedName>
    <definedName name="ol_1" hidden="1">{"'现金流量表（全部投资）'!$B$4:$P$23"}</definedName>
    <definedName name="OS" localSheetId="0">[53]Open!#REF!</definedName>
    <definedName name="OS" localSheetId="2">[53]Open!#REF!</definedName>
    <definedName name="OS" localSheetId="3">[58]Open!#REF!</definedName>
    <definedName name="OS">[59]Open!#REF!</definedName>
    <definedName name="P152890000" localSheetId="2">#REF!</definedName>
    <definedName name="P152890000" localSheetId="24">#REF!</definedName>
    <definedName name="P152890000">#REF!</definedName>
    <definedName name="P1529000" localSheetId="2">#REF!</definedName>
    <definedName name="P1529000" localSheetId="24">#REF!</definedName>
    <definedName name="P1529000">#REF!</definedName>
    <definedName name="Poppy" localSheetId="24">'[28]00000ppy'!$C$27</definedName>
    <definedName name="Poppy" localSheetId="3">'[32]00000ppy'!$C$27</definedName>
    <definedName name="Poppy">'[33]00000ppy'!$C$27</definedName>
    <definedName name="pp" hidden="1">{"'现金流量表（全部投资）'!$B$4:$P$23"}</definedName>
    <definedName name="pr_toolbox" localSheetId="0">[23]Toolbox!$A$3:$I$80</definedName>
    <definedName name="pr_toolbox" localSheetId="2">[23]Toolbox!$A$3:$I$80</definedName>
    <definedName name="pr_toolbox" localSheetId="24">[23]Toolbox!$A$3:$I$80</definedName>
    <definedName name="pr_toolbox" localSheetId="3">[24]Toolbox!$A$3:$I$80</definedName>
    <definedName name="pr_toolbox">[25]Toolbox!$A$3:$I$80</definedName>
    <definedName name="_xlnm.Print_Area" localSheetId="1">'建筑概算核  (2)'!$A$1:$G$365</definedName>
    <definedName name="_xlnm.Print_Area" localSheetId="6">总概算核!$A$1:$F$33</definedName>
    <definedName name="_xlnm.Print_Titles" localSheetId="14">单价汇总表!$1:$4</definedName>
    <definedName name="_xlnm.Print_Titles" localSheetId="0">#REF!</definedName>
    <definedName name="_xlnm.Print_Titles" localSheetId="2">#REF!</definedName>
    <definedName name="_xlnm.Print_Titles" localSheetId="24">#REF!</definedName>
    <definedName name="_xlnm.Print_Titles" localSheetId="1">'建筑概算核  (2)'!$1:$3</definedName>
    <definedName name="_xlnm.Print_Titles" localSheetId="11">建筑工程估算表!$1:$3</definedName>
    <definedName name="_xlnm.Print_Titles" localSheetId="3" hidden="1">#REF!</definedName>
    <definedName name="_xlnm.Print_Titles" hidden="1">#REF!</definedName>
    <definedName name="Print_titles1" localSheetId="0">[60]定额!$A$1:$IV$3</definedName>
    <definedName name="Print_titles1" localSheetId="2">[60]定额!$A$1:$IV$3</definedName>
    <definedName name="Print_titles1" localSheetId="24">[60]定额!$A$1:$IV$3</definedName>
    <definedName name="Print_titles1" localSheetId="3">[61]定额!$A$1:$IV$3</definedName>
    <definedName name="Print_titles1">[62]定额!$A$1:$IV$3</definedName>
    <definedName name="Prix_SMC" localSheetId="0">[63]独立费用!Prix_SMC</definedName>
    <definedName name="Prix_SMC" localSheetId="2">[63]独立费用!Prix_SMC</definedName>
    <definedName name="Prix_SMC" localSheetId="3">[64]总报价!Prix_SMC</definedName>
    <definedName name="Prix_SMC">[65]总报价!Prix_SMC</definedName>
    <definedName name="PVC变径短管1.5寸" localSheetId="0">[13]附表2材料价格表!#REF!</definedName>
    <definedName name="PVC变径短管1.5寸" localSheetId="2">[13]附表2材料价格表!#REF!</definedName>
    <definedName name="PVC变径短管1.5寸" localSheetId="3">[14]附表2材料价格表!#REF!</definedName>
    <definedName name="PVC变径短管1.5寸">[15]附表2材料价格表!#REF!</definedName>
    <definedName name="PVC堵头φ40" localSheetId="0">[13]附表2材料价格表!#REF!</definedName>
    <definedName name="PVC堵头φ40" localSheetId="2">[13]附表2材料价格表!#REF!</definedName>
    <definedName name="PVC堵头φ40" localSheetId="3">[14]附表2材料价格表!#REF!</definedName>
    <definedName name="PVC堵头φ40">[15]附表2材料价格表!#REF!</definedName>
    <definedName name="PVC活节φ1.5寸" localSheetId="0">[13]附表2材料价格表!#REF!</definedName>
    <definedName name="PVC活节φ1.5寸" localSheetId="2">[13]附表2材料价格表!#REF!</definedName>
    <definedName name="PVC活节φ1.5寸" localSheetId="3">[14]附表2材料价格表!#REF!</definedName>
    <definedName name="PVC活节φ1.5寸">[15]附表2材料价格表!#REF!</definedName>
    <definedName name="PVC连丝1.5寸" localSheetId="0">[13]附表2材料价格表!#REF!</definedName>
    <definedName name="PVC连丝1.5寸" localSheetId="2">[13]附表2材料价格表!#REF!</definedName>
    <definedName name="PVC连丝1.5寸" localSheetId="3">[14]附表2材料价格表!#REF!</definedName>
    <definedName name="PVC连丝1.5寸">[15]附表2材料价格表!#REF!</definedName>
    <definedName name="PVC球阀1.5寸" localSheetId="0">[13]附表2材料价格表!#REF!</definedName>
    <definedName name="PVC球阀1.5寸" localSheetId="2">[13]附表2材料价格表!#REF!</definedName>
    <definedName name="PVC球阀1.5寸" localSheetId="3">[14]附表2材料价格表!#REF!</definedName>
    <definedName name="PVC球阀1.5寸">[15]附表2材料价格表!#REF!</definedName>
    <definedName name="PVC三通φ16×16×16" localSheetId="0">[13]附表2材料价格表!#REF!</definedName>
    <definedName name="PVC三通φ16×16×16" localSheetId="2">[13]附表2材料价格表!#REF!</definedName>
    <definedName name="PVC三通φ16×16×16" localSheetId="3">[14]附表2材料价格表!#REF!</definedName>
    <definedName name="PVC三通φ16×16×16">[15]附表2材料价格表!#REF!</definedName>
    <definedName name="PVC三通φ40×1.5×40" localSheetId="0">[13]附表2材料价格表!#REF!</definedName>
    <definedName name="PVC三通φ40×1.5×40" localSheetId="2">[13]附表2材料价格表!#REF!</definedName>
    <definedName name="PVC三通φ40×1.5×40" localSheetId="3">[14]附表2材料价格表!#REF!</definedName>
    <definedName name="PVC三通φ40×1.5×40">[15]附表2材料价格表!#REF!</definedName>
    <definedName name="PVC塑管φ40" localSheetId="0">[13]附表2材料价格表!#REF!</definedName>
    <definedName name="PVC塑管φ40" localSheetId="2">[13]附表2材料价格表!#REF!</definedName>
    <definedName name="PVC塑管φ40" localSheetId="3">[14]附表2材料价格表!#REF!</definedName>
    <definedName name="PVC塑管φ40">[15]附表2材料价格表!#REF!</definedName>
    <definedName name="PVC直通φ16" localSheetId="0">[13]附表2材料价格表!#REF!</definedName>
    <definedName name="PVC直通φ16" localSheetId="2">[13]附表2材料价格表!#REF!</definedName>
    <definedName name="PVC直通φ16" localSheetId="3">[14]附表2材料价格表!#REF!</definedName>
    <definedName name="PVC直通φ16">[15]附表2材料价格表!#REF!</definedName>
    <definedName name="q" localSheetId="0">#REF!</definedName>
    <definedName name="q" localSheetId="2">#REF!</definedName>
    <definedName name="q" localSheetId="24">#REF!</definedName>
    <definedName name="q" localSheetId="3">#REF!</definedName>
    <definedName name="q">#REF!</definedName>
    <definedName name="QJ30_240_12_200" localSheetId="0">[13]附表2材料价格表!#REF!</definedName>
    <definedName name="QJ30_240_12_200" localSheetId="2">[13]附表2材料价格表!#REF!</definedName>
    <definedName name="QJ30_240_12_200" localSheetId="3">[14]附表2材料价格表!#REF!</definedName>
    <definedName name="QJ30_240_12_200">[15]附表2材料价格表!#REF!</definedName>
    <definedName name="QJ50_120_12_250" localSheetId="0">[13]附表2材料价格表!#REF!</definedName>
    <definedName name="QJ50_120_12_250" localSheetId="2">[13]附表2材料价格表!#REF!</definedName>
    <definedName name="QJ50_120_12_250" localSheetId="3">[14]附表2材料价格表!#REF!</definedName>
    <definedName name="QJ50_120_12_250">[15]附表2材料价格表!#REF!</definedName>
    <definedName name="qw" localSheetId="24">[54]定额!$A$1:$IV$3</definedName>
    <definedName name="qw">[66]定额!$A$1:$IV$3</definedName>
    <definedName name="range_jxtb" localSheetId="0">[57]DE!$A$8:$M$405</definedName>
    <definedName name="range_jxtb" localSheetId="2">[57]DE!$A$8:$M$405</definedName>
    <definedName name="range_jxtb" localSheetId="24">[57]DE!$A$8:$M$405</definedName>
    <definedName name="range_jxtb" localSheetId="3">[67]DE!$A$8:$M$405</definedName>
    <definedName name="range_jxtb">[68]DE!$A$8:$M$405</definedName>
    <definedName name="rr" hidden="1">{"'现金流量表（全部投资）'!$B$4:$P$23"}</definedName>
    <definedName name="s_c_list" localSheetId="0">[65]Toolbox!$A$7:$H$969</definedName>
    <definedName name="s_c_list" localSheetId="2">[65]Toolbox!$A$7:$H$969</definedName>
    <definedName name="s_c_list" localSheetId="24">[65]Toolbox!$A$7:$H$969</definedName>
    <definedName name="s_c_list" localSheetId="3">[69]Toolbox!$A$7:$H$969</definedName>
    <definedName name="s_c_list">[70]Toolbox!$A$7:$H$969</definedName>
    <definedName name="SCG" localSheetId="0">'[59]G.1R-Shou COP Gf'!#REF!</definedName>
    <definedName name="SCG" localSheetId="2">'[59]G.1R-Shou COP Gf'!#REF!</definedName>
    <definedName name="SCG" localSheetId="3">'[71]G.1R-Shou COP Gf'!#REF!</definedName>
    <definedName name="SCG">'[72]G.1R-Shou COP Gf'!#REF!</definedName>
    <definedName name="sdlfee" localSheetId="0">'[23]Financ. Overview'!$H$13</definedName>
    <definedName name="sdlfee" localSheetId="2">'[23]Financ. Overview'!$H$13</definedName>
    <definedName name="sdlfee" localSheetId="24">'[23]Financ. Overview'!$H$13</definedName>
    <definedName name="sdlfee" localSheetId="3">'[24]Financ. Overview'!$H$13</definedName>
    <definedName name="sdlfee">'[25]Financ. Overview'!$H$13</definedName>
    <definedName name="sencount" hidden="1">1</definedName>
    <definedName name="solar_ratio" localSheetId="0">'[73]POWER ASSUMPTIONS'!$H$7</definedName>
    <definedName name="solar_ratio" localSheetId="2">'[73]POWER ASSUMPTIONS'!$H$7</definedName>
    <definedName name="solar_ratio" localSheetId="24">'[18]POWER ASSUMPTIONS'!$H$7</definedName>
    <definedName name="solar_ratio" localSheetId="3">'[74]POWER ASSUMPTIONS'!$H$7</definedName>
    <definedName name="solar_ratio">'[75]POWER ASSUMPTIONS'!$H$7</definedName>
    <definedName name="ss" hidden="1">{"'现金流量表（全部投资）'!$B$4:$P$23"}</definedName>
    <definedName name="ss_1">{"'现金流量表（全部投资）'!$B$4:$P$23"}</definedName>
    <definedName name="ss7fee" localSheetId="0">'[23]Financ. Overview'!$H$18</definedName>
    <definedName name="ss7fee" localSheetId="2">'[23]Financ. Overview'!$H$18</definedName>
    <definedName name="ss7fee" localSheetId="24">'[23]Financ. Overview'!$H$18</definedName>
    <definedName name="ss7fee" localSheetId="3">'[24]Financ. Overview'!$H$18</definedName>
    <definedName name="ss7fee">'[25]Financ. Overview'!$H$18</definedName>
    <definedName name="subsfee" localSheetId="0">'[23]Financ. Overview'!$H$14</definedName>
    <definedName name="subsfee" localSheetId="2">'[23]Financ. Overview'!$H$14</definedName>
    <definedName name="subsfee" localSheetId="24">'[23]Financ. Overview'!$H$14</definedName>
    <definedName name="subsfee" localSheetId="3">'[24]Financ. Overview'!$H$14</definedName>
    <definedName name="subsfee">'[25]Financ. Overview'!$H$14</definedName>
    <definedName name="text" localSheetId="2">#REF!</definedName>
    <definedName name="text" localSheetId="24">#REF!</definedName>
    <definedName name="text">#REF!</definedName>
    <definedName name="toolbox" localSheetId="0">[62]Toolbox!$C$5:$T$1578</definedName>
    <definedName name="toolbox" localSheetId="2">[62]Toolbox!$C$5:$T$1578</definedName>
    <definedName name="toolbox" localSheetId="24">[62]Toolbox!$C$5:$T$1578</definedName>
    <definedName name="toolbox" localSheetId="3">[76]Toolbox!$C$5:$T$1578</definedName>
    <definedName name="toolbox">[77]Toolbox!$C$5:$T$1578</definedName>
    <definedName name="UPVC管道Φ100" localSheetId="0">[51]附表2材料价格计算表!#REF!</definedName>
    <definedName name="UPVC管道Φ100" localSheetId="2">[51]附表2材料价格计算表!#REF!</definedName>
    <definedName name="UPVC管道Φ100" localSheetId="3">[78]附表2材料价格计算表!#REF!</definedName>
    <definedName name="UPVC管道Φ100">[53]附表2材料价格计算表!#REF!</definedName>
    <definedName name="UPVC管道Φ50" localSheetId="0">[51]附表2材料价格计算表!#REF!</definedName>
    <definedName name="UPVC管道Φ50" localSheetId="2">[51]附表2材料价格计算表!#REF!</definedName>
    <definedName name="UPVC管道Φ50" localSheetId="3">[78]附表2材料价格计算表!#REF!</definedName>
    <definedName name="UPVC管道Φ50">[53]附表2材料价格计算表!#REF!</definedName>
    <definedName name="UT线夹_NUT_2" localSheetId="0">[13]附表2材料价格表!#REF!</definedName>
    <definedName name="UT线夹_NUT_2" localSheetId="2">[13]附表2材料价格表!#REF!</definedName>
    <definedName name="UT线夹_NUT_2" localSheetId="3">[14]附表2材料价格表!#REF!</definedName>
    <definedName name="UT线夹_NUT_2">[15]附表2材料价格表!#REF!</definedName>
    <definedName name="UT线夹NUT_2" localSheetId="0">[13]附表2材料价格表!#REF!</definedName>
    <definedName name="UT线夹NUT_2" localSheetId="2">[13]附表2材料价格表!#REF!</definedName>
    <definedName name="UT线夹NUT_2" localSheetId="3">[14]附表2材料价格表!#REF!</definedName>
    <definedName name="UT线夹NUT_2">[15]附表2材料价格表!#REF!</definedName>
    <definedName name="UT型线夹NUT_1" localSheetId="0">[13]附表2材料价格表!#REF!</definedName>
    <definedName name="UT型线夹NUT_1" localSheetId="2">[13]附表2材料价格表!#REF!</definedName>
    <definedName name="UT型线夹NUT_1" localSheetId="3">[14]附表2材料价格表!#REF!</definedName>
    <definedName name="UT型线夹NUT_1">[15]附表2材料价格表!#REF!</definedName>
    <definedName name="UT型线夹NUT2" localSheetId="0">[51]附表2材料价格计算表!#REF!</definedName>
    <definedName name="UT型线夹NUT2" localSheetId="2">[51]附表2材料价格计算表!#REF!</definedName>
    <definedName name="UT型线夹NUT2" localSheetId="3">[78]附表2材料价格计算表!#REF!</definedName>
    <definedName name="UT型线夹NUT2">[53]附表2材料价格计算表!#REF!</definedName>
    <definedName name="U型抱箍U16_200" localSheetId="0">[13]附表2材料价格表!#REF!</definedName>
    <definedName name="U型抱箍U16_200" localSheetId="2">[13]附表2材料价格表!#REF!</definedName>
    <definedName name="U型抱箍U16_200" localSheetId="3">[14]附表2材料价格表!#REF!</definedName>
    <definedName name="U型抱箍U16_200">[15]附表2材料价格表!#REF!</definedName>
    <definedName name="U型挂环U_16" localSheetId="0">[13]附表2材料价格表!#REF!</definedName>
    <definedName name="U型挂环U_16" localSheetId="2">[13]附表2材料价格表!#REF!</definedName>
    <definedName name="U型挂环U_16" localSheetId="3">[14]附表2材料价格表!#REF!</definedName>
    <definedName name="U型挂环U_16">[15]附表2材料价格表!#REF!</definedName>
    <definedName name="U型挂环U_7" localSheetId="0">[13]附表2材料价格表!#REF!</definedName>
    <definedName name="U型挂环U_7" localSheetId="2">[13]附表2材料价格表!#REF!</definedName>
    <definedName name="U型挂环U_7" localSheetId="3">[14]附表2材料价格表!#REF!</definedName>
    <definedName name="U型挂环U_7">[15]附表2材料价格表!#REF!</definedName>
    <definedName name="V5.1Fee" localSheetId="0">'[23]Financ. Overview'!$H$15</definedName>
    <definedName name="V5.1Fee" localSheetId="2">'[23]Financ. Overview'!$H$15</definedName>
    <definedName name="V5.1Fee" localSheetId="24">'[23]Financ. Overview'!$H$15</definedName>
    <definedName name="V5.1Fee" localSheetId="3">'[24]Financ. Overview'!$H$15</definedName>
    <definedName name="V5.1Fee">'[25]Financ. Overview'!$H$15</definedName>
    <definedName name="w" localSheetId="0">#REF!</definedName>
    <definedName name="w" localSheetId="2">#REF!</definedName>
    <definedName name="w" localSheetId="24">#REF!</definedName>
    <definedName name="w" localSheetId="3">#REF!</definedName>
    <definedName name="w">#REF!</definedName>
    <definedName name="we" localSheetId="24" hidden="1">[54]材料表!$E$1:$E$65536,[54]材料表!$J$1:$L$65536</definedName>
    <definedName name="we" hidden="1">[66]材料表!$E$1:$E$65536,[66]材料表!$J$1:$L$65536</definedName>
    <definedName name="ww" hidden="1">{"'现金流量表（全部投资）'!$B$4:$P$23"}</definedName>
    <definedName name="x" localSheetId="0">#REF!</definedName>
    <definedName name="x" localSheetId="2">#REF!</definedName>
    <definedName name="x" localSheetId="24">#REF!</definedName>
    <definedName name="x" localSheetId="3">#REF!</definedName>
    <definedName name="x">#REF!</definedName>
    <definedName name="xx" hidden="1">{"'现金流量表（全部投资）'!$B$4:$P$23"}</definedName>
    <definedName name="z" localSheetId="0">#REF!</definedName>
    <definedName name="z" localSheetId="2">#REF!</definedName>
    <definedName name="z" localSheetId="24">#REF!</definedName>
    <definedName name="z" localSheetId="3">#REF!</definedName>
    <definedName name="z">#REF!</definedName>
    <definedName name="Z_D416CCE0_90DA_11D2_8B33_444553540000_.wvu.Cols" localSheetId="0" hidden="1">[60]材料表!$E$1:$E$65536,[60]材料表!$J$1:$L$65536</definedName>
    <definedName name="Z_D416CCE0_90DA_11D2_8B33_444553540000_.wvu.Cols" localSheetId="2" hidden="1">[60]材料表!$E$1:$E$65536,[60]材料表!$J$1:$L$65536</definedName>
    <definedName name="Z_D416CCE0_90DA_11D2_8B33_444553540000_.wvu.Cols" localSheetId="24" hidden="1">[60]材料表!$E$1:$E$65536,[60]材料表!$J$1:$L$65536</definedName>
    <definedName name="Z_D416CCE0_90DA_11D2_8B33_444553540000_.wvu.Cols" localSheetId="3" hidden="1">[61]材料表!$E$1:$E$65536,[61]材料表!$J$1:$L$65536</definedName>
    <definedName name="Z_D416CCE0_90DA_11D2_8B33_444553540000_.wvu.Cols" hidden="1">[62]材料表!$E$1:$E$65536,[62]材料表!$J$1:$L$65536</definedName>
    <definedName name="Z_D416CCE0_90DA_11D2_8B33_444553540000_.wvu.PrintTitles" localSheetId="0" hidden="1">#REF!</definedName>
    <definedName name="Z_D416CCE0_90DA_11D2_8B33_444553540000_.wvu.PrintTitles" localSheetId="2" hidden="1">#REF!</definedName>
    <definedName name="Z_D416CCE0_90DA_11D2_8B33_444553540000_.wvu.PrintTitles" localSheetId="24" hidden="1">#REF!</definedName>
    <definedName name="Z_D416CCE0_90DA_11D2_8B33_444553540000_.wvu.PrintTitles" localSheetId="3" hidden="1">#REF!</definedName>
    <definedName name="Z_D416CCE0_90DA_11D2_8B33_444553540000_.wvu.PrintTitles" hidden="1">#REF!</definedName>
    <definedName name="Z_E7D01C20_B8FC_11D1_9E4F_B5D6E120E308_.wvu.Cols" localSheetId="0" hidden="1">[60]材料表!$E$1:$E$65536,[60]材料表!$J$1:$L$65536</definedName>
    <definedName name="Z_E7D01C20_B8FC_11D1_9E4F_B5D6E120E308_.wvu.Cols" localSheetId="2" hidden="1">[60]材料表!$E$1:$E$65536,[60]材料表!$J$1:$L$65536</definedName>
    <definedName name="Z_E7D01C20_B8FC_11D1_9E4F_B5D6E120E308_.wvu.Cols" localSheetId="24" hidden="1">[60]材料表!$E$1:$E$65536,[60]材料表!$J$1:$L$65536</definedName>
    <definedName name="Z_E7D01C20_B8FC_11D1_9E4F_B5D6E120E308_.wvu.Cols" localSheetId="3" hidden="1">[61]材料表!$E$1:$E$65536,[61]材料表!$J$1:$L$65536</definedName>
    <definedName name="Z_E7D01C20_B8FC_11D1_9E4F_B5D6E120E308_.wvu.Cols" hidden="1">[62]材料表!$E$1:$E$65536,[62]材料表!$J$1:$L$65536</definedName>
    <definedName name="Z_E7D01C20_B8FC_11D1_9E4F_B5D6E120E308_.wvu.PrintTitles" localSheetId="0" hidden="1">#REF!</definedName>
    <definedName name="Z_E7D01C20_B8FC_11D1_9E4F_B5D6E120E308_.wvu.PrintTitles" localSheetId="2" hidden="1">#REF!</definedName>
    <definedName name="Z_E7D01C20_B8FC_11D1_9E4F_B5D6E120E308_.wvu.PrintTitles" localSheetId="24" hidden="1">#REF!</definedName>
    <definedName name="Z_E7D01C20_B8FC_11D1_9E4F_B5D6E120E308_.wvu.PrintTitles" localSheetId="3" hidden="1">#REF!</definedName>
    <definedName name="Z_E7D01C20_B8FC_11D1_9E4F_B5D6E120E308_.wvu.PrintTitles" hidden="1">#REF!</definedName>
    <definedName name="Z32_Cost_red" localSheetId="0">'[23]Financ. Overview'!#REF!</definedName>
    <definedName name="Z32_Cost_red" localSheetId="2">'[23]Financ. Overview'!#REF!</definedName>
    <definedName name="Z32_Cost_red" localSheetId="3">'[24]Financ. Overview'!#REF!</definedName>
    <definedName name="Z32_Cost_red">'[25]Financ. Overview'!#REF!</definedName>
    <definedName name="zz" hidden="1">{"'现金流量表（全部投资）'!$B$4:$P$23"}</definedName>
    <definedName name="φ10PVC管" localSheetId="0">[13]附表2材料价格表!#REF!</definedName>
    <definedName name="φ10PVC管" localSheetId="2">[13]附表2材料价格表!#REF!</definedName>
    <definedName name="φ10PVC管" localSheetId="3">[14]附表2材料价格表!#REF!</definedName>
    <definedName name="φ10PVC管">[15]附表2材料价格表!#REF!</definedName>
    <definedName name="φ225沉淀管" localSheetId="0">[13]附表2材料价格表!#REF!</definedName>
    <definedName name="φ225沉淀管" localSheetId="2">[13]附表2材料价格表!#REF!</definedName>
    <definedName name="φ225沉淀管" localSheetId="3">[14]附表2材料价格表!#REF!</definedName>
    <definedName name="φ225沉淀管">[15]附表2材料价格表!#REF!</definedName>
    <definedName name="φ225滤水管" localSheetId="0">[13]附表2材料价格表!#REF!</definedName>
    <definedName name="φ225滤水管" localSheetId="2">[13]附表2材料价格表!#REF!</definedName>
    <definedName name="φ225滤水管" localSheetId="3">[14]附表2材料价格表!#REF!</definedName>
    <definedName name="φ225滤水管">[15]附表2材料价格表!#REF!</definedName>
    <definedName name="φ310铸铁管" localSheetId="0">[13]附表2材料价格表!#REF!</definedName>
    <definedName name="φ310铸铁管" localSheetId="2">[13]附表2材料价格表!#REF!</definedName>
    <definedName name="φ310铸铁管" localSheetId="3">[14]附表2材料价格表!#REF!</definedName>
    <definedName name="φ310铸铁管">[15]附表2材料价格表!#REF!</definedName>
    <definedName name="φ350铸铁管" localSheetId="0">[13]附表2材料价格表!#REF!</definedName>
    <definedName name="φ350铸铁管" localSheetId="2">[13]附表2材料价格表!#REF!</definedName>
    <definedName name="φ350铸铁管" localSheetId="3">[14]附表2材料价格表!#REF!</definedName>
    <definedName name="φ350铸铁管">[15]附表2材料价格表!#REF!</definedName>
    <definedName name="安措" localSheetId="0">[55]Sheet3!$H$10</definedName>
    <definedName name="安措" localSheetId="2">[55]Sheet3!$H$10</definedName>
    <definedName name="安措" localSheetId="24">[55]Sheet3!$H$10</definedName>
    <definedName name="安措" localSheetId="3">[56]Sheet3!$H$10</definedName>
    <definedName name="安措">[57]Sheet3!$H$10</definedName>
    <definedName name="安间" localSheetId="0">[55]Sheet3!$F$21</definedName>
    <definedName name="安间" localSheetId="2">[55]Sheet3!$F$21</definedName>
    <definedName name="安间" localSheetId="24">[55]Sheet3!$F$21</definedName>
    <definedName name="安间" localSheetId="3">[56]Sheet3!$F$21</definedName>
    <definedName name="安间">[57]Sheet3!$F$21</definedName>
    <definedName name="安全阀Dg120" localSheetId="0">[13]附表2材料价格表!#REF!</definedName>
    <definedName name="安全阀Dg120" localSheetId="2">[13]附表2材料价格表!#REF!</definedName>
    <definedName name="安全阀Dg120" localSheetId="3">[14]附表2材料价格表!#REF!</definedName>
    <definedName name="安全阀Dg120">[15]附表2材料价格表!#REF!</definedName>
    <definedName name="安全阀Dg90" localSheetId="0">[13]附表2材料价格表!#REF!</definedName>
    <definedName name="安全阀Dg90" localSheetId="2">[13]附表2材料价格表!#REF!</definedName>
    <definedName name="安全阀Dg90" localSheetId="3">[14]附表2材料价格表!#REF!</definedName>
    <definedName name="安全阀Dg90">[15]附表2材料价格表!#REF!</definedName>
    <definedName name="安装" localSheetId="3">#REF!</definedName>
    <definedName name="安装">#REF!</definedName>
    <definedName name="安装单价" localSheetId="0">#REF!</definedName>
    <definedName name="安装单价" localSheetId="2">#REF!</definedName>
    <definedName name="安装单价" localSheetId="24">#REF!</definedName>
    <definedName name="安装单价" localSheetId="3">#REF!</definedName>
    <definedName name="安装单价">#REF!</definedName>
    <definedName name="安装工程机械系数" localSheetId="0">#REF!</definedName>
    <definedName name="安装工程机械系数" localSheetId="2">#REF!</definedName>
    <definedName name="安装工程机械系数" localSheetId="24">#REF!</definedName>
    <definedName name="安装工程机械系数" localSheetId="3">#REF!</definedName>
    <definedName name="安装工程机械系数">#REF!</definedName>
    <definedName name="安装工程量" localSheetId="0">#REF!</definedName>
    <definedName name="安装工程量" localSheetId="2">#REF!</definedName>
    <definedName name="安装工程量" localSheetId="24">#REF!</definedName>
    <definedName name="安装工程量" localSheetId="3">#REF!</definedName>
    <definedName name="安装工程量">#REF!</definedName>
    <definedName name="按" localSheetId="3">#REF!</definedName>
    <definedName name="按">#REF!</definedName>
    <definedName name="柏树" localSheetId="0">[13]附表2材料价格表!#REF!</definedName>
    <definedName name="柏树" localSheetId="2">[13]附表2材料价格表!#REF!</definedName>
    <definedName name="柏树" localSheetId="3">[14]附表2材料价格表!#REF!</definedName>
    <definedName name="柏树">[15]附表2材料价格表!#REF!</definedName>
    <definedName name="柏油路1" localSheetId="0">'[79]估算表-干沟、支干沟'!$M$9</definedName>
    <definedName name="柏油路1" localSheetId="2">'[79]估算表-干沟、支干沟'!$M$9</definedName>
    <definedName name="柏油路1" localSheetId="24">'[79]估算表-干沟、支干沟'!$M$9</definedName>
    <definedName name="柏油路1" localSheetId="3">'[80]估算表-干沟、支干沟'!$M$9</definedName>
    <definedName name="柏油路1">'[81]估算表-干沟、支干沟'!$M$9</definedName>
    <definedName name="板方材价差" localSheetId="0">[55]主材!$P$16</definedName>
    <definedName name="板方材价差" localSheetId="2">[55]主材!$P$16</definedName>
    <definedName name="板方材价差" localSheetId="24">[55]主材!$P$16</definedName>
    <definedName name="板方材价差" localSheetId="3">[56]主材!$P$16</definedName>
    <definedName name="板方材价差">[57]主材!$P$16</definedName>
    <definedName name="板枋材" localSheetId="0">[55]主材!$M$16</definedName>
    <definedName name="板枋材" localSheetId="2">[55]主材!$M$16</definedName>
    <definedName name="板枋材" localSheetId="24">[55]主材!$M$16</definedName>
    <definedName name="板枋材" localSheetId="3">[56]主材!$M$16</definedName>
    <definedName name="板枋材">[57]主材!$M$16</definedName>
    <definedName name="板枋材kg" localSheetId="0">[55]次材!#REF!</definedName>
    <definedName name="板枋材kg" localSheetId="2">[55]次材!#REF!</definedName>
    <definedName name="板枋材kg" localSheetId="3">[56]次材!#REF!</definedName>
    <definedName name="板枋材kg">[57]次材!#REF!</definedName>
    <definedName name="板枋材m3" localSheetId="0">[82]次要材料预算价格!#REF!</definedName>
    <definedName name="板枋材m3" localSheetId="2">[82]次要材料预算价格!#REF!</definedName>
    <definedName name="板枋材m3" localSheetId="3">[2]次要材料预算价格!#REF!</definedName>
    <definedName name="板枋材m3">[3]次要材料预算价格!#REF!</definedName>
    <definedName name="板枋材限价" localSheetId="0">[55]主材!$N$16</definedName>
    <definedName name="板枋材限价" localSheetId="2">[55]主材!$N$16</definedName>
    <definedName name="板枋材限价" localSheetId="24">[55]主材!$N$16</definedName>
    <definedName name="板枋材限价" localSheetId="3">[56]主材!$N$16</definedName>
    <definedName name="板枋材限价">[57]主材!$N$16</definedName>
    <definedName name="宝丰">'[83]申请表（正面）'!宝丰</definedName>
    <definedName name="备" localSheetId="0">'[72]#REF'!$I$2</definedName>
    <definedName name="备" localSheetId="2">'[72]#REF'!$I$2</definedName>
    <definedName name="备" localSheetId="24">'[72]#REF'!$I$2</definedName>
    <definedName name="备" localSheetId="3">'[84]#REF'!$I$2</definedName>
    <definedName name="备">'[85]#REF'!$I$2</definedName>
    <definedName name="苯板" localSheetId="0">[51]附表2材料价格计算表!#REF!</definedName>
    <definedName name="苯板" localSheetId="2">[51]附表2材料价格计算表!#REF!</definedName>
    <definedName name="苯板" localSheetId="3">[52]附表2材料价格计算表!#REF!</definedName>
    <definedName name="苯板">[54]附表2材料价格计算表!#REF!</definedName>
    <definedName name="避雷器HY5WS_17_50" localSheetId="0">[13]附表2材料价格表!#REF!</definedName>
    <definedName name="避雷器HY5WS_17_50" localSheetId="2">[13]附表2材料价格表!#REF!</definedName>
    <definedName name="避雷器HY5WS_17_50" localSheetId="3">[14]附表2材料价格表!#REF!</definedName>
    <definedName name="避雷器HY5WS_17_50">[15]附表2材料价格表!#REF!</definedName>
    <definedName name="编" localSheetId="0">'[72]#REF'!$A$2</definedName>
    <definedName name="编" localSheetId="2">'[72]#REF'!$A$2</definedName>
    <definedName name="编" localSheetId="24">'[72]#REF'!$A$2</definedName>
    <definedName name="编" localSheetId="3">'[84]#REF'!$A$2</definedName>
    <definedName name="编">'[85]#REF'!$A$2</definedName>
    <definedName name="扁钢" localSheetId="0">[13]附表2材料价格表!#REF!</definedName>
    <definedName name="扁钢" localSheetId="2">[13]附表2材料价格表!#REF!</definedName>
    <definedName name="扁钢" localSheetId="3">[14]附表2材料价格表!#REF!</definedName>
    <definedName name="扁钢">[15]附表2材料价格表!#REF!</definedName>
    <definedName name="变电构架安装__离心杆构架独" localSheetId="0">[86]定额!#REF!</definedName>
    <definedName name="变电构架安装__离心杆构架独" localSheetId="2">[86]定额!#REF!</definedName>
    <definedName name="变电构架安装__离心杆构架独" localSheetId="3">[87]定额!#REF!</definedName>
    <definedName name="变电构架安装__离心杆构架独">[88]定额!#REF!</definedName>
    <definedName name="变电构架安装离心杆构架" localSheetId="0">[75]定额!#REF!</definedName>
    <definedName name="变电构架安装离心杆构架" localSheetId="2">[75]定额!#REF!</definedName>
    <definedName name="变电构架安装离心杆构架" localSheetId="3">[89]定额!#REF!</definedName>
    <definedName name="变电构架安装离心杆构架">[90]定额!#REF!</definedName>
    <definedName name="变径11090" localSheetId="3">[19]附表2!#REF!</definedName>
    <definedName name="变径11090">[20]附表2!#REF!</definedName>
    <definedName name="变径160110" localSheetId="3">[19]附表2!#REF!</definedName>
    <definedName name="变径160110">[20]附表2!#REF!</definedName>
    <definedName name="变径16090" localSheetId="3">[19]附表2!#REF!</definedName>
    <definedName name="变径16090">[20]附表2!#REF!</definedName>
    <definedName name="变径200125" localSheetId="3">[19]附表2!#REF!</definedName>
    <definedName name="变径200125">[20]附表2!#REF!</definedName>
    <definedName name="变径200160" localSheetId="3">[19]附表2!#REF!</definedName>
    <definedName name="变径200160">[20]附表2!#REF!</definedName>
    <definedName name="变径250125" localSheetId="3">[19]附表2!#REF!</definedName>
    <definedName name="变径250125">[20]附表2!#REF!</definedName>
    <definedName name="变径250200" localSheetId="3">[19]附表2!#REF!</definedName>
    <definedName name="变径250200">[20]附表2!#REF!</definedName>
    <definedName name="变径250300" localSheetId="3">[19]附表2!#REF!</definedName>
    <definedName name="变径250300">[20]附表2!#REF!</definedName>
    <definedName name="变径315200" localSheetId="3">[19]附表2!#REF!</definedName>
    <definedName name="变径315200">[20]附表2!#REF!</definedName>
    <definedName name="变径315250" localSheetId="3">[19]附表2!#REF!</definedName>
    <definedName name="变径315250">[20]附表2!#REF!</definedName>
    <definedName name="变径三通Dg180×90" localSheetId="0">[13]附表2材料价格表!#REF!</definedName>
    <definedName name="变径三通Dg180×90" localSheetId="2">[13]附表2材料价格表!#REF!</definedName>
    <definedName name="变径三通Dg180×90" localSheetId="3">[14]附表2材料价格表!#REF!</definedName>
    <definedName name="变径三通Dg180×90">[15]附表2材料价格表!#REF!</definedName>
    <definedName name="变径三通φ110×80×90" localSheetId="0">[13]附表2材料价格表!#REF!</definedName>
    <definedName name="变径三通φ110×80×90" localSheetId="2">[13]附表2材料价格表!#REF!</definedName>
    <definedName name="变径三通φ110×80×90" localSheetId="3">[14]附表2材料价格表!#REF!</definedName>
    <definedName name="变径三通φ110×80×90">[15]附表2材料价格表!#REF!</definedName>
    <definedName name="变径三通φ125×80×110" localSheetId="0">[13]附表2材料价格表!#REF!</definedName>
    <definedName name="变径三通φ125×80×110" localSheetId="2">[13]附表2材料价格表!#REF!</definedName>
    <definedName name="变径三通φ125×80×110" localSheetId="3">[14]附表2材料价格表!#REF!</definedName>
    <definedName name="变径三通φ125×80×110">[15]附表2材料价格表!#REF!</definedName>
    <definedName name="变径三通φ160×80×110" localSheetId="0">[13]附表2材料价格表!#REF!</definedName>
    <definedName name="变径三通φ160×80×110" localSheetId="2">[13]附表2材料价格表!#REF!</definedName>
    <definedName name="变径三通φ160×80×110" localSheetId="3">[14]附表2材料价格表!#REF!</definedName>
    <definedName name="变径三通φ160×80×110">[15]附表2材料价格表!#REF!</definedName>
    <definedName name="变径三通φ160×80×125" localSheetId="0">[13]附表2材料价格表!#REF!</definedName>
    <definedName name="变径三通φ160×80×125" localSheetId="2">[13]附表2材料价格表!#REF!</definedName>
    <definedName name="变径三通φ160×80×125" localSheetId="3">[14]附表2材料价格表!#REF!</definedName>
    <definedName name="变径三通φ160×80×125">[15]附表2材料价格表!#REF!</definedName>
    <definedName name="变径三通φ200×80×160" localSheetId="0">[13]附表2材料价格表!#REF!</definedName>
    <definedName name="变径三通φ200×80×160" localSheetId="2">[13]附表2材料价格表!#REF!</definedName>
    <definedName name="变径三通φ200×80×160" localSheetId="3">[14]附表2材料价格表!#REF!</definedName>
    <definedName name="变径三通φ200×80×160">[15]附表2材料价格表!#REF!</definedName>
    <definedName name="变频机组8.5kvA" localSheetId="0">[13]附表3机械台班!#REF!</definedName>
    <definedName name="变频机组8.5kvA" localSheetId="2">[13]附表3机械台班!#REF!</definedName>
    <definedName name="变频机组8.5kvA" localSheetId="3">[14]附表3机械台班!#REF!</definedName>
    <definedName name="变频机组8.5kvA">[15]附表3机械台班!#REF!</definedName>
    <definedName name="变频振捣器4.5kw" localSheetId="0">#REF!</definedName>
    <definedName name="变频振捣器4.5kw" localSheetId="2">#REF!</definedName>
    <definedName name="变频振捣器4.5kw" localSheetId="24">#REF!</definedName>
    <definedName name="变频振捣器4.5kw" localSheetId="3">#REF!</definedName>
    <definedName name="变频振捣器4.5kw">#REF!</definedName>
    <definedName name="变压器160KVA" localSheetId="0">[13]附表2材料价格表!#REF!</definedName>
    <definedName name="变压器160KVA" localSheetId="2">[13]附表2材料价格表!#REF!</definedName>
    <definedName name="变压器160KVA" localSheetId="3">[14]附表2材料价格表!#REF!</definedName>
    <definedName name="变压器160KVA">[15]附表2材料价格表!#REF!</definedName>
    <definedName name="变压器80KVA" localSheetId="0">[13]附表2材料价格表!#REF!</definedName>
    <definedName name="变压器80KVA" localSheetId="2">[13]附表2材料价格表!#REF!</definedName>
    <definedName name="变压器80KVA" localSheetId="3">[14]附表2材料价格表!#REF!</definedName>
    <definedName name="变压器80KVA">[15]附表2材料价格表!#REF!</definedName>
    <definedName name="变压器油" localSheetId="0">[51]附表2材料价格计算表!#REF!</definedName>
    <definedName name="变压器油" localSheetId="2">[51]附表2材料价格计算表!#REF!</definedName>
    <definedName name="变压器油" localSheetId="3">[52]附表2材料价格计算表!#REF!</definedName>
    <definedName name="变压器油">[54]附表2材料价格计算表!#REF!</definedName>
    <definedName name="标段" localSheetId="3">#REF!</definedName>
    <definedName name="标段">#REF!</definedName>
    <definedName name="标准砖" localSheetId="0">[82]次要材料预算价格!#REF!</definedName>
    <definedName name="标准砖" localSheetId="2">[82]次要材料预算价格!#REF!</definedName>
    <definedName name="标准砖" localSheetId="3">[2]次要材料预算价格!#REF!</definedName>
    <definedName name="标准砖">[3]次要材料预算价格!#REF!</definedName>
    <definedName name="表" localSheetId="3">#REF!</definedName>
    <definedName name="表">#REF!</definedName>
    <definedName name="并沟线夹_BJ_2" localSheetId="0">[13]附表2材料价格表!#REF!</definedName>
    <definedName name="并沟线夹_BJ_2" localSheetId="2">[13]附表2材料价格表!#REF!</definedName>
    <definedName name="并沟线夹_BJ_2" localSheetId="3">[14]附表2材料价格表!#REF!</definedName>
    <definedName name="并沟线夹_BJ_2">[15]附表2材料价格表!#REF!</definedName>
    <definedName name="并沟线夹1635mm" localSheetId="0">[51]附表2材料价格计算表!#REF!</definedName>
    <definedName name="并沟线夹1635mm" localSheetId="2">[51]附表2材料价格计算表!#REF!</definedName>
    <definedName name="并沟线夹1635mm" localSheetId="3">[52]附表2材料价格计算表!#REF!</definedName>
    <definedName name="并沟线夹1635mm">[54]附表2材料价格计算表!#REF!</definedName>
    <definedName name="并沟线夹BJ_2" localSheetId="0">[13]附表2材料价格表!#REF!</definedName>
    <definedName name="并沟线夹BJ_2" localSheetId="2">[13]附表2材料价格表!#REF!</definedName>
    <definedName name="并沟线夹BJ_2" localSheetId="3">[14]附表2材料价格表!#REF!</definedName>
    <definedName name="并沟线夹BJ_2">[15]附表2材料价格表!#REF!</definedName>
    <definedName name="并沟线夹JB2" localSheetId="0">[51]附表2材料价格计算表!#REF!</definedName>
    <definedName name="并沟线夹JB2" localSheetId="2">[51]附表2材料价格计算表!#REF!</definedName>
    <definedName name="并沟线夹JB2" localSheetId="3">[78]附表2材料价格计算表!#REF!</definedName>
    <definedName name="并沟线夹JB2">[53]附表2材料价格计算表!#REF!</definedName>
    <definedName name="玻璃" localSheetId="0">[13]附表2材料价格表!#REF!</definedName>
    <definedName name="玻璃" localSheetId="2">[13]附表2材料价格表!#REF!</definedName>
    <definedName name="玻璃" localSheetId="3">[14]附表2材料价格表!#REF!</definedName>
    <definedName name="玻璃">[15]附表2材料价格表!#REF!</definedName>
    <definedName name="补01" localSheetId="0">[55]单价分析表!#REF!</definedName>
    <definedName name="补01" localSheetId="2">[55]单价分析表!#REF!</definedName>
    <definedName name="补01" localSheetId="3">[56]单价分析表!#REF!</definedName>
    <definedName name="补01">[57]单价分析表!#REF!</definedName>
    <definedName name="补充" localSheetId="0">[55]单价分析表!#REF!</definedName>
    <definedName name="补充" localSheetId="2">[55]单价分析表!#REF!</definedName>
    <definedName name="补充" localSheetId="3">[56]单价分析表!#REF!</definedName>
    <definedName name="补充">[57]单价分析表!#REF!</definedName>
    <definedName name="不可预见费" localSheetId="0">[91]表6不可预见!$H$14</definedName>
    <definedName name="不可预见费" localSheetId="2">[91]表6不可预见!$H$14</definedName>
    <definedName name="不可预见费" localSheetId="24">[91]表6不可预见!$H$14</definedName>
    <definedName name="不可预见费" localSheetId="3">[92]表6不可预见!$H$14</definedName>
    <definedName name="不可预见费">[93]表6不可预见!$H$14</definedName>
    <definedName name="不可预见费南" localSheetId="0">'[94]表6不可预见费南 '!$H$10</definedName>
    <definedName name="不可预见费南" localSheetId="2">'[94]表6不可预见费南 '!$H$10</definedName>
    <definedName name="不可预见费南" localSheetId="24">'[94]表6不可预见费南 '!$H$10</definedName>
    <definedName name="不可预见费南" localSheetId="3">'[95]表6不可预见费南 '!$H$10</definedName>
    <definedName name="不可预见费南">'[96]表6不可预见费南 '!$H$10</definedName>
    <definedName name="材" localSheetId="0">[13]附表5直接工程费单价表!#REF!</definedName>
    <definedName name="材" localSheetId="2">[13]附表5直接工程费单价表!#REF!</definedName>
    <definedName name="材" localSheetId="3">[14]附表5直接工程费单价表!#REF!</definedName>
    <definedName name="材">[15]附表5直接工程费单价表!#REF!</definedName>
    <definedName name="材1_23_1">0</definedName>
    <definedName name="材10001" localSheetId="0">[13]附表5直接工程费单价表!#REF!</definedName>
    <definedName name="材10001" localSheetId="2">[13]附表5直接工程费单价表!#REF!</definedName>
    <definedName name="材10001" localSheetId="3">[14]附表5直接工程费单价表!#REF!</definedName>
    <definedName name="材10001">[15]附表5直接工程费单价表!#REF!</definedName>
    <definedName name="材100017" localSheetId="0">[51]附表4直接工程费单价表!#REF!</definedName>
    <definedName name="材100017" localSheetId="2">[51]附表4直接工程费单价表!#REF!</definedName>
    <definedName name="材100017" localSheetId="3">[52]附表4直接工程费单价表!#REF!</definedName>
    <definedName name="材100017">[54]附表4直接工程费单价表!#REF!</definedName>
    <definedName name="材10002" localSheetId="0">[13]附表5直接工程费单价表!#REF!</definedName>
    <definedName name="材10002" localSheetId="2">[13]附表5直接工程费单价表!#REF!</definedName>
    <definedName name="材10002" localSheetId="3">[14]附表5直接工程费单价表!#REF!</definedName>
    <definedName name="材10002">[15]附表5直接工程费单价表!#REF!</definedName>
    <definedName name="材100023" localSheetId="0">[51]附表4直接工程费单价表!#REF!</definedName>
    <definedName name="材100023" localSheetId="2">[51]附表4直接工程费单价表!#REF!</definedName>
    <definedName name="材100023" localSheetId="3">[52]附表4直接工程费单价表!#REF!</definedName>
    <definedName name="材100023">[54]附表4直接工程费单价表!#REF!</definedName>
    <definedName name="材10003" localSheetId="0">[13]附表5直接工程费单价表!#REF!</definedName>
    <definedName name="材10003" localSheetId="2">[13]附表5直接工程费单价表!#REF!</definedName>
    <definedName name="材10003" localSheetId="3">[14]附表5直接工程费单价表!#REF!</definedName>
    <definedName name="材10003">[15]附表5直接工程费单价表!#REF!</definedName>
    <definedName name="材100049" localSheetId="0">[51]附表4直接工程费单价表!#REF!</definedName>
    <definedName name="材100049" localSheetId="2">[51]附表4直接工程费单价表!#REF!</definedName>
    <definedName name="材100049" localSheetId="3">[78]附表4直接工程费单价表!#REF!</definedName>
    <definedName name="材100049">[53]附表4直接工程费单价表!#REF!</definedName>
    <definedName name="材10008" localSheetId="0">[13]附表5直接工程费单价表!#REF!</definedName>
    <definedName name="材10008" localSheetId="2">[13]附表5直接工程费单价表!#REF!</definedName>
    <definedName name="材10008" localSheetId="3">[14]附表5直接工程费单价表!#REF!</definedName>
    <definedName name="材10008">[15]附表5直接工程费单价表!#REF!</definedName>
    <definedName name="材10019" localSheetId="0">[13]附表5直接工程费单价表!#REF!</definedName>
    <definedName name="材10019" localSheetId="2">[13]附表5直接工程费单价表!#REF!</definedName>
    <definedName name="材10019" localSheetId="3">[14]附表5直接工程费单价表!#REF!</definedName>
    <definedName name="材10019">[15]附表5直接工程费单价表!#REF!</definedName>
    <definedName name="材10020" localSheetId="0">[13]附表5直接工程费单价表!#REF!</definedName>
    <definedName name="材10020" localSheetId="2">[13]附表5直接工程费单价表!#REF!</definedName>
    <definedName name="材10020" localSheetId="3">[14]附表5直接工程费单价表!#REF!</definedName>
    <definedName name="材10020">[15]附表5直接工程费单价表!#REF!</definedName>
    <definedName name="材10021" localSheetId="0">[13]附表5直接工程费单价表!#REF!</definedName>
    <definedName name="材10021" localSheetId="2">[13]附表5直接工程费单价表!#REF!</definedName>
    <definedName name="材10021" localSheetId="3">[14]附表5直接工程费单价表!#REF!</definedName>
    <definedName name="材10021">[15]附表5直接工程费单价表!#REF!</definedName>
    <definedName name="材10045" localSheetId="0">[13]附表5直接工程费单价表!#REF!</definedName>
    <definedName name="材10045" localSheetId="2">[13]附表5直接工程费单价表!#REF!</definedName>
    <definedName name="材10045" localSheetId="3">[14]附表5直接工程费单价表!#REF!</definedName>
    <definedName name="材10045">[15]附表5直接工程费单价表!#REF!</definedName>
    <definedName name="材10047" localSheetId="0">[13]附表5直接工程费单价表!#REF!</definedName>
    <definedName name="材10047" localSheetId="2">[13]附表5直接工程费单价表!#REF!</definedName>
    <definedName name="材10047" localSheetId="3">[14]附表5直接工程费单价表!#REF!</definedName>
    <definedName name="材10047">[15]附表5直接工程费单价表!#REF!</definedName>
    <definedName name="材10049" localSheetId="0">[13]附表5直接工程费单价表!#REF!</definedName>
    <definedName name="材10049" localSheetId="2">[13]附表5直接工程费单价表!#REF!</definedName>
    <definedName name="材10049" localSheetId="3">[14]附表5直接工程费单价表!#REF!</definedName>
    <definedName name="材10049">[15]附表5直接工程费单价表!#REF!</definedName>
    <definedName name="材10052" localSheetId="0">[13]附表5直接工程费单价表!#REF!</definedName>
    <definedName name="材10052" localSheetId="2">[13]附表5直接工程费单价表!#REF!</definedName>
    <definedName name="材10052" localSheetId="3">[14]附表5直接工程费单价表!#REF!</definedName>
    <definedName name="材10052">[15]附表5直接工程费单价表!#REF!</definedName>
    <definedName name="材10054" localSheetId="0">[13]附表5直接工程费单价表!#REF!</definedName>
    <definedName name="材10054" localSheetId="2">[13]附表5直接工程费单价表!#REF!</definedName>
    <definedName name="材10054" localSheetId="3">[14]附表5直接工程费单价表!#REF!</definedName>
    <definedName name="材10054">[15]附表5直接工程费单价表!#REF!</definedName>
    <definedName name="材10056" localSheetId="0">[13]附表5直接工程费单价表!#REF!</definedName>
    <definedName name="材10056" localSheetId="2">[13]附表5直接工程费单价表!#REF!</definedName>
    <definedName name="材10056" localSheetId="3">[14]附表5直接工程费单价表!#REF!</definedName>
    <definedName name="材10056">[15]附表5直接工程费单价表!#REF!</definedName>
    <definedName name="材10066" localSheetId="0">[13]附表5直接工程费单价表!#REF!</definedName>
    <definedName name="材10066" localSheetId="2">[13]附表5直接工程费单价表!#REF!</definedName>
    <definedName name="材10066" localSheetId="3">[14]附表5直接工程费单价表!#REF!</definedName>
    <definedName name="材10066">[15]附表5直接工程费单价表!#REF!</definedName>
    <definedName name="材10071" localSheetId="0">[13]附表5直接工程费单价表!#REF!</definedName>
    <definedName name="材10071" localSheetId="2">[13]附表5直接工程费单价表!#REF!</definedName>
    <definedName name="材10071" localSheetId="3">[14]附表5直接工程费单价表!#REF!</definedName>
    <definedName name="材10071">[15]附表5直接工程费单价表!#REF!</definedName>
    <definedName name="材10075" localSheetId="0">[13]附表5直接工程费单价表!#REF!</definedName>
    <definedName name="材10075" localSheetId="2">[13]附表5直接工程费单价表!#REF!</definedName>
    <definedName name="材10075" localSheetId="3">[14]附表5直接工程费单价表!#REF!</definedName>
    <definedName name="材10075">[15]附表5直接工程费单价表!#REF!</definedName>
    <definedName name="材10090" localSheetId="0">[13]附表5直接工程费单价表!#REF!</definedName>
    <definedName name="材10090" localSheetId="2">[13]附表5直接工程费单价表!#REF!</definedName>
    <definedName name="材10090" localSheetId="3">[14]附表5直接工程费单价表!#REF!</definedName>
    <definedName name="材10090">[15]附表5直接工程费单价表!#REF!</definedName>
    <definedName name="材10095" localSheetId="0">[13]附表5直接工程费单价表!#REF!</definedName>
    <definedName name="材10095" localSheetId="2">[13]附表5直接工程费单价表!#REF!</definedName>
    <definedName name="材10095" localSheetId="3">[14]附表5直接工程费单价表!#REF!</definedName>
    <definedName name="材10095">[15]附表5直接工程费单价表!#REF!</definedName>
    <definedName name="材10114" localSheetId="0">[13]附表5直接工程费单价表!#REF!</definedName>
    <definedName name="材10114" localSheetId="2">[13]附表5直接工程费单价表!#REF!</definedName>
    <definedName name="材10114" localSheetId="3">[14]附表5直接工程费单价表!#REF!</definedName>
    <definedName name="材10114">[15]附表5直接工程费单价表!#REF!</definedName>
    <definedName name="材10116" localSheetId="0">[13]附表5直接工程费单价表!#REF!</definedName>
    <definedName name="材10116" localSheetId="2">[13]附表5直接工程费单价表!#REF!</definedName>
    <definedName name="材10116" localSheetId="3">[14]附表5直接工程费单价表!#REF!</definedName>
    <definedName name="材10116">[15]附表5直接工程费单价表!#REF!</definedName>
    <definedName name="材10118" localSheetId="0">[13]附表5直接工程费单价表!#REF!</definedName>
    <definedName name="材10118" localSheetId="2">[13]附表5直接工程费单价表!#REF!</definedName>
    <definedName name="材10118" localSheetId="3">[14]附表5直接工程费单价表!#REF!</definedName>
    <definedName name="材10118">[15]附表5直接工程费单价表!#REF!</definedName>
    <definedName name="材10204" localSheetId="0">[13]附表5直接工程费单价表!#REF!</definedName>
    <definedName name="材10204" localSheetId="2">[13]附表5直接工程费单价表!#REF!</definedName>
    <definedName name="材10204" localSheetId="3">[14]附表5直接工程费单价表!#REF!</definedName>
    <definedName name="材10204">[15]附表5直接工程费单价表!#REF!</definedName>
    <definedName name="材10269" localSheetId="0">[13]附表5直接工程费单价表!#REF!</definedName>
    <definedName name="材10269" localSheetId="2">[13]附表5直接工程费单价表!#REF!</definedName>
    <definedName name="材10269" localSheetId="3">[14]附表5直接工程费单价表!#REF!</definedName>
    <definedName name="材10269">[15]附表5直接工程费单价表!#REF!</definedName>
    <definedName name="材10270" localSheetId="0">[13]附表5直接工程费单价表!#REF!</definedName>
    <definedName name="材10270" localSheetId="2">[13]附表5直接工程费单价表!#REF!</definedName>
    <definedName name="材10270" localSheetId="3">[14]附表5直接工程费单价表!#REF!</definedName>
    <definedName name="材10270">[15]附表5直接工程费单价表!#REF!</definedName>
    <definedName name="材10271" localSheetId="0">[13]附表5直接工程费单价表!#REF!</definedName>
    <definedName name="材10271" localSheetId="2">[13]附表5直接工程费单价表!#REF!</definedName>
    <definedName name="材10271" localSheetId="3">[14]附表5直接工程费单价表!#REF!</definedName>
    <definedName name="材10271">[15]附表5直接工程费单价表!#REF!</definedName>
    <definedName name="材10272" localSheetId="0">[13]附表5直接工程费单价表!#REF!</definedName>
    <definedName name="材10272" localSheetId="2">[13]附表5直接工程费单价表!#REF!</definedName>
    <definedName name="材10272" localSheetId="3">[14]附表5直接工程费单价表!#REF!</definedName>
    <definedName name="材10272">[15]附表5直接工程费单价表!#REF!</definedName>
    <definedName name="材10273" localSheetId="0">[13]附表5直接工程费单价表!#REF!</definedName>
    <definedName name="材10273" localSheetId="2">[13]附表5直接工程费单价表!#REF!</definedName>
    <definedName name="材10273" localSheetId="3">[14]附表5直接工程费单价表!#REF!</definedName>
    <definedName name="材10273">[15]附表5直接工程费单价表!#REF!</definedName>
    <definedName name="材10275" localSheetId="0">[13]附表5直接工程费单价表!#REF!</definedName>
    <definedName name="材10275" localSheetId="2">[13]附表5直接工程费单价表!#REF!</definedName>
    <definedName name="材10275" localSheetId="3">[14]附表5直接工程费单价表!#REF!</definedName>
    <definedName name="材10275">[15]附表5直接工程费单价表!#REF!</definedName>
    <definedName name="材10277" localSheetId="0">[13]附表5直接工程费单价表!#REF!</definedName>
    <definedName name="材10277" localSheetId="2">[13]附表5直接工程费单价表!#REF!</definedName>
    <definedName name="材10277" localSheetId="3">[14]附表5直接工程费单价表!#REF!</definedName>
    <definedName name="材10277">[15]附表5直接工程费单价表!#REF!</definedName>
    <definedName name="材10278" localSheetId="0">[13]附表5直接工程费单价表!#REF!</definedName>
    <definedName name="材10278" localSheetId="2">[13]附表5直接工程费单价表!#REF!</definedName>
    <definedName name="材10278" localSheetId="3">[14]附表5直接工程费单价表!#REF!</definedName>
    <definedName name="材10278">[15]附表5直接工程费单价表!#REF!</definedName>
    <definedName name="材10279" localSheetId="0">[13]附表5直接工程费单价表!#REF!</definedName>
    <definedName name="材10279" localSheetId="2">[13]附表5直接工程费单价表!#REF!</definedName>
    <definedName name="材10279" localSheetId="3">[14]附表5直接工程费单价表!#REF!</definedName>
    <definedName name="材10279">[15]附表5直接工程费单价表!#REF!</definedName>
    <definedName name="材10279A" localSheetId="0">[13]附表5直接工程费单价表!#REF!</definedName>
    <definedName name="材10279A" localSheetId="2">[13]附表5直接工程费单价表!#REF!</definedName>
    <definedName name="材10279A" localSheetId="3">[14]附表5直接工程费单价表!#REF!</definedName>
    <definedName name="材10279A">[15]附表5直接工程费单价表!#REF!</definedName>
    <definedName name="材10280" localSheetId="0">[13]附表5直接工程费单价表!#REF!</definedName>
    <definedName name="材10280" localSheetId="2">[13]附表5直接工程费单价表!#REF!</definedName>
    <definedName name="材10280" localSheetId="3">[14]附表5直接工程费单价表!#REF!</definedName>
    <definedName name="材10280">[15]附表5直接工程费单价表!#REF!</definedName>
    <definedName name="材10280A" localSheetId="0">[13]附表5直接工程费单价表!#REF!</definedName>
    <definedName name="材10280A" localSheetId="2">[13]附表5直接工程费单价表!#REF!</definedName>
    <definedName name="材10280A" localSheetId="3">[14]附表5直接工程费单价表!#REF!</definedName>
    <definedName name="材10280A">[15]附表5直接工程费单价表!#REF!</definedName>
    <definedName name="材10281" localSheetId="0">[13]附表5直接工程费单价表!#REF!</definedName>
    <definedName name="材10281" localSheetId="2">[13]附表5直接工程费单价表!#REF!</definedName>
    <definedName name="材10281" localSheetId="3">[14]附表5直接工程费单价表!#REF!</definedName>
    <definedName name="材10281">[15]附表5直接工程费单价表!#REF!</definedName>
    <definedName name="材10281A" localSheetId="0">[13]附表5直接工程费单价表!#REF!</definedName>
    <definedName name="材10281A" localSheetId="2">[13]附表5直接工程费单价表!#REF!</definedName>
    <definedName name="材10281A" localSheetId="3">[14]附表5直接工程费单价表!#REF!</definedName>
    <definedName name="材10281A">[15]附表5直接工程费单价表!#REF!</definedName>
    <definedName name="材10282" localSheetId="0">[13]附表5直接工程费单价表!#REF!</definedName>
    <definedName name="材10282" localSheetId="2">[13]附表5直接工程费单价表!#REF!</definedName>
    <definedName name="材10282" localSheetId="3">[14]附表5直接工程费单价表!#REF!</definedName>
    <definedName name="材10282">[15]附表5直接工程费单价表!#REF!</definedName>
    <definedName name="材10282A" localSheetId="0">[13]附表5直接工程费单价表!#REF!</definedName>
    <definedName name="材10282A" localSheetId="2">[13]附表5直接工程费单价表!#REF!</definedName>
    <definedName name="材10282A" localSheetId="3">[14]附表5直接工程费单价表!#REF!</definedName>
    <definedName name="材10282A">[15]附表5直接工程费单价表!#REF!</definedName>
    <definedName name="材10283" localSheetId="0">[13]附表5直接工程费单价表!#REF!</definedName>
    <definedName name="材10283" localSheetId="2">[13]附表5直接工程费单价表!#REF!</definedName>
    <definedName name="材10283" localSheetId="3">[14]附表5直接工程费单价表!#REF!</definedName>
    <definedName name="材10283">[15]附表5直接工程费单价表!#REF!</definedName>
    <definedName name="材10283A" localSheetId="0">[13]附表5直接工程费单价表!#REF!</definedName>
    <definedName name="材10283A" localSheetId="2">[13]附表5直接工程费单价表!#REF!</definedName>
    <definedName name="材10283A" localSheetId="3">[14]附表5直接工程费单价表!#REF!</definedName>
    <definedName name="材10283A">[15]附表5直接工程费单价表!#REF!</definedName>
    <definedName name="材10309" localSheetId="0">[13]附表5直接工程费单价表!#REF!</definedName>
    <definedName name="材10309" localSheetId="2">[13]附表5直接工程费单价表!#REF!</definedName>
    <definedName name="材10309" localSheetId="3">[14]附表5直接工程费单价表!#REF!</definedName>
    <definedName name="材10309">[15]附表5直接工程费单价表!#REF!</definedName>
    <definedName name="材10310" localSheetId="0">[13]附表5直接工程费单价表!#REF!</definedName>
    <definedName name="材10310" localSheetId="2">[13]附表5直接工程费单价表!#REF!</definedName>
    <definedName name="材10310" localSheetId="3">[14]附表5直接工程费单价表!#REF!</definedName>
    <definedName name="材10310">[15]附表5直接工程费单价表!#REF!</definedName>
    <definedName name="材10311" localSheetId="0">[13]附表5直接工程费单价表!#REF!</definedName>
    <definedName name="材10311" localSheetId="2">[13]附表5直接工程费单价表!#REF!</definedName>
    <definedName name="材10311" localSheetId="3">[14]附表5直接工程费单价表!#REF!</definedName>
    <definedName name="材10311">[15]附表5直接工程费单价表!#REF!</definedName>
    <definedName name="材10339" localSheetId="0">[13]附表5直接工程费单价表!#REF!</definedName>
    <definedName name="材10339" localSheetId="2">[13]附表5直接工程费单价表!#REF!</definedName>
    <definedName name="材10339" localSheetId="3">[14]附表5直接工程费单价表!#REF!</definedName>
    <definedName name="材10339">[15]附表5直接工程费单价表!#REF!</definedName>
    <definedName name="材10345" localSheetId="0">[13]附表5直接工程费单价表!#REF!</definedName>
    <definedName name="材10345" localSheetId="2">[13]附表5直接工程费单价表!#REF!</definedName>
    <definedName name="材10345" localSheetId="3">[14]附表5直接工程费单价表!#REF!</definedName>
    <definedName name="材10345">[15]附表5直接工程费单价表!#REF!</definedName>
    <definedName name="材10360" localSheetId="0">[13]附表5直接工程费单价表!#REF!</definedName>
    <definedName name="材10360" localSheetId="2">[13]附表5直接工程费单价表!#REF!</definedName>
    <definedName name="材10360" localSheetId="3">[14]附表5直接工程费单价表!#REF!</definedName>
    <definedName name="材10360">[15]附表5直接工程费单价表!#REF!</definedName>
    <definedName name="材10361" localSheetId="0">[13]附表5直接工程费单价表!#REF!</definedName>
    <definedName name="材10361" localSheetId="2">[13]附表5直接工程费单价表!#REF!</definedName>
    <definedName name="材10361" localSheetId="3">[14]附表5直接工程费单价表!#REF!</definedName>
    <definedName name="材10361">[15]附表5直接工程费单价表!#REF!</definedName>
    <definedName name="材10365" localSheetId="0">[13]附表5直接工程费单价表!#REF!</definedName>
    <definedName name="材10365" localSheetId="2">[13]附表5直接工程费单价表!#REF!</definedName>
    <definedName name="材10365" localSheetId="3">[14]附表5直接工程费单价表!#REF!</definedName>
    <definedName name="材10365">[15]附表5直接工程费单价表!#REF!</definedName>
    <definedName name="材10366" localSheetId="0">[13]附表5直接工程费单价表!#REF!</definedName>
    <definedName name="材10366" localSheetId="2">[13]附表5直接工程费单价表!#REF!</definedName>
    <definedName name="材10366" localSheetId="3">[14]附表5直接工程费单价表!#REF!</definedName>
    <definedName name="材10366">[15]附表5直接工程费单价表!#REF!</definedName>
    <definedName name="材10367" localSheetId="0">[13]附表5直接工程费单价表!#REF!</definedName>
    <definedName name="材10367" localSheetId="2">[13]附表5直接工程费单价表!#REF!</definedName>
    <definedName name="材10367" localSheetId="3">[14]附表5直接工程费单价表!#REF!</definedName>
    <definedName name="材10367">[15]附表5直接工程费单价表!#REF!</definedName>
    <definedName name="材10464" localSheetId="0">[13]附表5直接工程费单价表!#REF!</definedName>
    <definedName name="材10464" localSheetId="2">[13]附表5直接工程费单价表!#REF!</definedName>
    <definedName name="材10464" localSheetId="3">[14]附表5直接工程费单价表!#REF!</definedName>
    <definedName name="材10464">[15]附表5直接工程费单价表!#REF!</definedName>
    <definedName name="材10465" localSheetId="0">[13]附表5直接工程费单价表!#REF!</definedName>
    <definedName name="材10465" localSheetId="2">[13]附表5直接工程费单价表!#REF!</definedName>
    <definedName name="材10465" localSheetId="3">[14]附表5直接工程费单价表!#REF!</definedName>
    <definedName name="材10465">[15]附表5直接工程费单价表!#REF!</definedName>
    <definedName name="材10469" localSheetId="0">[13]附表5直接工程费单价表!#REF!</definedName>
    <definedName name="材10469" localSheetId="2">[13]附表5直接工程费单价表!#REF!</definedName>
    <definedName name="材10469" localSheetId="3">[14]附表5直接工程费单价表!#REF!</definedName>
    <definedName name="材10469">[15]附表5直接工程费单价表!#REF!</definedName>
    <definedName name="材10469A" localSheetId="0">[13]附表5直接工程费单价表!#REF!</definedName>
    <definedName name="材10469A" localSheetId="2">[13]附表5直接工程费单价表!#REF!</definedName>
    <definedName name="材10469A" localSheetId="3">[14]附表5直接工程费单价表!#REF!</definedName>
    <definedName name="材10469A">[15]附表5直接工程费单价表!#REF!</definedName>
    <definedName name="材10473" localSheetId="0">[13]附表5直接工程费单价表!#REF!</definedName>
    <definedName name="材10473" localSheetId="2">[13]附表5直接工程费单价表!#REF!</definedName>
    <definedName name="材10473" localSheetId="3">[14]附表5直接工程费单价表!#REF!</definedName>
    <definedName name="材10473">[15]附表5直接工程费单价表!#REF!</definedName>
    <definedName name="材10474" localSheetId="0">[13]附表5直接工程费单价表!#REF!</definedName>
    <definedName name="材10474" localSheetId="2">[13]附表5直接工程费单价表!#REF!</definedName>
    <definedName name="材10474" localSheetId="3">[14]附表5直接工程费单价表!#REF!</definedName>
    <definedName name="材10474">[15]附表5直接工程费单价表!#REF!</definedName>
    <definedName name="材12001" localSheetId="0">[13]附表5直接工程费单价表!#REF!</definedName>
    <definedName name="材12001" localSheetId="2">[13]附表5直接工程费单价表!#REF!</definedName>
    <definedName name="材12001" localSheetId="3">[14]附表5直接工程费单价表!#REF!</definedName>
    <definedName name="材12001">[15]附表5直接工程费单价表!#REF!</definedName>
    <definedName name="材12074" localSheetId="0">[13]附表5直接工程费单价表!#REF!</definedName>
    <definedName name="材12074" localSheetId="2">[13]附表5直接工程费单价表!#REF!</definedName>
    <definedName name="材12074" localSheetId="3">[14]附表5直接工程费单价表!#REF!</definedName>
    <definedName name="材12074">[15]附表5直接工程费单价表!#REF!</definedName>
    <definedName name="材12075" localSheetId="0">[13]附表5直接工程费单价表!#REF!</definedName>
    <definedName name="材12075" localSheetId="2">[13]附表5直接工程费单价表!#REF!</definedName>
    <definedName name="材12075" localSheetId="3">[14]附表5直接工程费单价表!#REF!</definedName>
    <definedName name="材12075">[15]附表5直接工程费单价表!#REF!</definedName>
    <definedName name="材2_19_3" localSheetId="0">[13]附表5直接工程费单价表!#REF!</definedName>
    <definedName name="材2_19_3" localSheetId="2">[13]附表5直接工程费单价表!#REF!</definedName>
    <definedName name="材2_19_3" localSheetId="3">[14]附表5直接工程费单价表!#REF!</definedName>
    <definedName name="材2_19_3">[15]附表5直接工程费单价表!#REF!</definedName>
    <definedName name="材2_19_4" localSheetId="0">[13]附表5直接工程费单价表!#REF!</definedName>
    <definedName name="材2_19_4" localSheetId="2">[13]附表5直接工程费单价表!#REF!</definedName>
    <definedName name="材2_19_4" localSheetId="3">[14]附表5直接工程费单价表!#REF!</definedName>
    <definedName name="材2_19_4">[15]附表5直接工程费单价表!#REF!</definedName>
    <definedName name="材20484" localSheetId="0">[13]附表5直接工程费单价表!#REF!</definedName>
    <definedName name="材20484" localSheetId="2">[13]附表5直接工程费单价表!#REF!</definedName>
    <definedName name="材20484" localSheetId="3">[14]附表5直接工程费单价表!#REF!</definedName>
    <definedName name="材20484">[15]附表5直接工程费单价表!#REF!</definedName>
    <definedName name="材20485" localSheetId="0">[13]附表5直接工程费单价表!#REF!</definedName>
    <definedName name="材20485" localSheetId="2">[13]附表5直接工程费单价表!#REF!</definedName>
    <definedName name="材20485" localSheetId="3">[14]附表5直接工程费单价表!#REF!</definedName>
    <definedName name="材20485">[15]附表5直接工程费单价表!#REF!</definedName>
    <definedName name="材20488" localSheetId="0">[13]附表5直接工程费单价表!#REF!</definedName>
    <definedName name="材20488" localSheetId="2">[13]附表5直接工程费单价表!#REF!</definedName>
    <definedName name="材20488" localSheetId="3">[14]附表5直接工程费单价表!#REF!</definedName>
    <definedName name="材20488">[15]附表5直接工程费单价表!#REF!</definedName>
    <definedName name="材30001" localSheetId="0">[13]附表5直接工程费单价表!#REF!</definedName>
    <definedName name="材30001" localSheetId="2">[13]附表5直接工程费单价表!#REF!</definedName>
    <definedName name="材30001" localSheetId="3">[14]附表5直接工程费单价表!#REF!</definedName>
    <definedName name="材30001">[15]附表5直接工程费单价表!#REF!</definedName>
    <definedName name="材30002" localSheetId="0">[13]附表5直接工程费单价表!#REF!</definedName>
    <definedName name="材30002" localSheetId="2">[13]附表5直接工程费单价表!#REF!</definedName>
    <definedName name="材30002" localSheetId="3">[14]附表5直接工程费单价表!#REF!</definedName>
    <definedName name="材30002">[15]附表5直接工程费单价表!#REF!</definedName>
    <definedName name="材30016" localSheetId="0">[13]附表5直接工程费单价表!#REF!</definedName>
    <definedName name="材30016" localSheetId="2">[13]附表5直接工程费单价表!#REF!</definedName>
    <definedName name="材30016" localSheetId="3">[14]附表5直接工程费单价表!#REF!</definedName>
    <definedName name="材30016">[15]附表5直接工程费单价表!#REF!</definedName>
    <definedName name="材30019" localSheetId="0">[13]附表5直接工程费单价表!#REF!</definedName>
    <definedName name="材30019" localSheetId="2">[13]附表5直接工程费单价表!#REF!</definedName>
    <definedName name="材30019" localSheetId="3">[14]附表5直接工程费单价表!#REF!</definedName>
    <definedName name="材30019">[15]附表5直接工程费单价表!#REF!</definedName>
    <definedName name="材30020" localSheetId="0">[13]附表5直接工程费单价表!#REF!</definedName>
    <definedName name="材30020" localSheetId="2">[13]附表5直接工程费单价表!#REF!</definedName>
    <definedName name="材30020" localSheetId="3">[14]附表5直接工程费单价表!#REF!</definedName>
    <definedName name="材30020">[15]附表5直接工程费单价表!#REF!</definedName>
    <definedName name="材30021" localSheetId="0">[13]附表5直接工程费单价表!#REF!</definedName>
    <definedName name="材30021" localSheetId="2">[13]附表5直接工程费单价表!#REF!</definedName>
    <definedName name="材30021" localSheetId="3">[14]附表5直接工程费单价表!#REF!</definedName>
    <definedName name="材30021">[15]附表5直接工程费单价表!#REF!</definedName>
    <definedName name="材30022" localSheetId="0">[13]附表5直接工程费单价表!#REF!</definedName>
    <definedName name="材30022" localSheetId="2">[13]附表5直接工程费单价表!#REF!</definedName>
    <definedName name="材30022" localSheetId="3">[14]附表5直接工程费单价表!#REF!</definedName>
    <definedName name="材30022">[15]附表5直接工程费单价表!#REF!</definedName>
    <definedName name="材30023" localSheetId="0">[13]附表5直接工程费单价表!#REF!</definedName>
    <definedName name="材30023" localSheetId="2">[13]附表5直接工程费单价表!#REF!</definedName>
    <definedName name="材30023" localSheetId="3">[14]附表5直接工程费单价表!#REF!</definedName>
    <definedName name="材30023">[15]附表5直接工程费单价表!#REF!</definedName>
    <definedName name="材30024" localSheetId="0">[13]附表5直接工程费单价表!#REF!</definedName>
    <definedName name="材30024" localSheetId="2">[13]附表5直接工程费单价表!#REF!</definedName>
    <definedName name="材30024" localSheetId="3">[14]附表5直接工程费单价表!#REF!</definedName>
    <definedName name="材30024">[15]附表5直接工程费单价表!#REF!</definedName>
    <definedName name="材30025" localSheetId="0">[13]附表5直接工程费单价表!#REF!</definedName>
    <definedName name="材30025" localSheetId="2">[13]附表5直接工程费单价表!#REF!</definedName>
    <definedName name="材30025" localSheetId="3">[14]附表5直接工程费单价表!#REF!</definedName>
    <definedName name="材30025">[15]附表5直接工程费单价表!#REF!</definedName>
    <definedName name="材30027" localSheetId="0">[13]附表5直接工程费单价表!#REF!</definedName>
    <definedName name="材30027" localSheetId="2">[13]附表5直接工程费单价表!#REF!</definedName>
    <definedName name="材30027" localSheetId="3">[14]附表5直接工程费单价表!#REF!</definedName>
    <definedName name="材30027">[15]附表5直接工程费单价表!#REF!</definedName>
    <definedName name="材30028" localSheetId="0">[51]附表4直接工程费单价表!#REF!</definedName>
    <definedName name="材30028" localSheetId="2">[51]附表4直接工程费单价表!#REF!</definedName>
    <definedName name="材30028" localSheetId="3">[78]附表4直接工程费单价表!#REF!</definedName>
    <definedName name="材30028">[53]附表4直接工程费单价表!#REF!</definedName>
    <definedName name="材30038" localSheetId="0">[13]附表5直接工程费单价表!#REF!</definedName>
    <definedName name="材30038" localSheetId="2">[13]附表5直接工程费单价表!#REF!</definedName>
    <definedName name="材30038" localSheetId="3">[14]附表5直接工程费单价表!#REF!</definedName>
    <definedName name="材30038">[15]附表5直接工程费单价表!#REF!</definedName>
    <definedName name="材30048" localSheetId="0">[13]附表5直接工程费单价表!#REF!</definedName>
    <definedName name="材30048" localSheetId="2">[13]附表5直接工程费单价表!#REF!</definedName>
    <definedName name="材30048" localSheetId="3">[14]附表5直接工程费单价表!#REF!</definedName>
    <definedName name="材30048">[15]附表5直接工程费单价表!#REF!</definedName>
    <definedName name="材30048、30051" localSheetId="0">[13]附表5直接工程费单价表!#REF!</definedName>
    <definedName name="材30048、30051" localSheetId="2">[13]附表5直接工程费单价表!#REF!</definedName>
    <definedName name="材30048、30051" localSheetId="3">[14]附表5直接工程费单价表!#REF!</definedName>
    <definedName name="材30048、30051">[15]附表5直接工程费单价表!#REF!</definedName>
    <definedName name="材30049" localSheetId="0">[13]附表5直接工程费单价表!#REF!</definedName>
    <definedName name="材30049" localSheetId="2">[13]附表5直接工程费单价表!#REF!</definedName>
    <definedName name="材30049" localSheetId="3">[14]附表5直接工程费单价表!#REF!</definedName>
    <definedName name="材30049">[15]附表5直接工程费单价表!#REF!</definedName>
    <definedName name="材30064" localSheetId="0">[51]附表4直接工程费单价表!#REF!</definedName>
    <definedName name="材30064" localSheetId="2">[51]附表4直接工程费单价表!#REF!</definedName>
    <definedName name="材30064" localSheetId="3">[78]附表4直接工程费单价表!#REF!</definedName>
    <definedName name="材30064">[53]附表4直接工程费单价表!#REF!</definedName>
    <definedName name="材30067" localSheetId="0">[51]附表4直接工程费单价表!#REF!</definedName>
    <definedName name="材30067" localSheetId="2">[51]附表4直接工程费单价表!#REF!</definedName>
    <definedName name="材30067" localSheetId="3">[78]附表4直接工程费单价表!#REF!</definedName>
    <definedName name="材30067">[53]附表4直接工程费单价表!#REF!</definedName>
    <definedName name="材40004" localSheetId="0">[51]附表4直接工程费单价表!#REF!</definedName>
    <definedName name="材40004" localSheetId="2">[51]附表4直接工程费单价表!#REF!</definedName>
    <definedName name="材40004" localSheetId="3">[78]附表4直接工程费单价表!#REF!</definedName>
    <definedName name="材40004">[53]附表4直接工程费单价表!#REF!</definedName>
    <definedName name="材40006" localSheetId="0">[97]直接工程费!$F$192</definedName>
    <definedName name="材40006" localSheetId="2">[97]直接工程费!$F$192</definedName>
    <definedName name="材40006" localSheetId="24">[97]直接工程费!$F$192</definedName>
    <definedName name="材40006" localSheetId="3">[98]直接工程费!$F$192</definedName>
    <definedName name="材40006">[99]直接工程费!$F$192</definedName>
    <definedName name="材40006b" localSheetId="0">[51]附表4直接工程费单价表!#REF!</definedName>
    <definedName name="材40006b" localSheetId="2">[51]附表4直接工程费单价表!#REF!</definedName>
    <definedName name="材40006b" localSheetId="3">[52]附表4直接工程费单价表!#REF!</definedName>
    <definedName name="材40006b">[54]附表4直接工程费单价表!#REF!</definedName>
    <definedName name="材40006细石" localSheetId="0">[51]附表4直接工程费单价表!#REF!</definedName>
    <definedName name="材40006细石" localSheetId="2">[51]附表4直接工程费单价表!#REF!</definedName>
    <definedName name="材40006细石" localSheetId="3">[52]附表4直接工程费单价表!#REF!</definedName>
    <definedName name="材40006细石">[54]附表4直接工程费单价表!#REF!</definedName>
    <definedName name="材40030" localSheetId="0">[51]附表4直接工程费单价表!#REF!</definedName>
    <definedName name="材40030" localSheetId="2">[51]附表4直接工程费单价表!#REF!</definedName>
    <definedName name="材40030" localSheetId="3">[78]附表4直接工程费单价表!#REF!</definedName>
    <definedName name="材40030">[53]附表4直接工程费单价表!#REF!</definedName>
    <definedName name="材40031" localSheetId="0">[13]附表5直接工程费单价表!#REF!</definedName>
    <definedName name="材40031" localSheetId="2">[13]附表5直接工程费单价表!#REF!</definedName>
    <definedName name="材40031" localSheetId="3">[14]附表5直接工程费单价表!#REF!</definedName>
    <definedName name="材40031">[15]附表5直接工程费单价表!#REF!</definedName>
    <definedName name="材4003115" localSheetId="0">[51]附表4直接工程费单价表!#REF!</definedName>
    <definedName name="材4003115" localSheetId="2">[51]附表4直接工程费单价表!#REF!</definedName>
    <definedName name="材4003115" localSheetId="3">[78]附表4直接工程费单价表!#REF!</definedName>
    <definedName name="材4003115">[53]附表4直接工程费单价表!#REF!</definedName>
    <definedName name="材40041b" localSheetId="0">[51]附表4直接工程费单价表!#REF!</definedName>
    <definedName name="材40041b" localSheetId="2">[51]附表4直接工程费单价表!#REF!</definedName>
    <definedName name="材40041b" localSheetId="3">[78]附表4直接工程费单价表!#REF!</definedName>
    <definedName name="材40041b">[53]附表4直接工程费单价表!#REF!</definedName>
    <definedName name="材40056" localSheetId="0">[55]单价分析表!#REF!</definedName>
    <definedName name="材40056" localSheetId="2">[55]单价分析表!#REF!</definedName>
    <definedName name="材40056" localSheetId="3">[56]单价分析表!#REF!</definedName>
    <definedName name="材40056">[57]单价分析表!#REF!</definedName>
    <definedName name="材40058" localSheetId="0">[13]附表5直接工程费单价表!#REF!</definedName>
    <definedName name="材40058" localSheetId="2">[13]附表5直接工程费单价表!#REF!</definedName>
    <definedName name="材40058" localSheetId="3">[14]附表5直接工程费单价表!#REF!</definedName>
    <definedName name="材40058">[15]附表5直接工程费单价表!#REF!</definedName>
    <definedName name="材40058A" localSheetId="0">[13]附表5直接工程费单价表!#REF!</definedName>
    <definedName name="材40058A" localSheetId="2">[13]附表5直接工程费单价表!#REF!</definedName>
    <definedName name="材40058A" localSheetId="3">[14]附表5直接工程费单价表!#REF!</definedName>
    <definedName name="材40058A">[15]附表5直接工程费单价表!#REF!</definedName>
    <definedName name="材40061" localSheetId="0">[13]附表5直接工程费单价表!#REF!</definedName>
    <definedName name="材40061" localSheetId="2">[13]附表5直接工程费单价表!#REF!</definedName>
    <definedName name="材40061" localSheetId="3">[14]附表5直接工程费单价表!#REF!</definedName>
    <definedName name="材40061">[15]附表5直接工程费单价表!#REF!</definedName>
    <definedName name="材40062" localSheetId="0">[13]附表5直接工程费单价表!#REF!</definedName>
    <definedName name="材40062" localSheetId="2">[13]附表5直接工程费单价表!#REF!</definedName>
    <definedName name="材40062" localSheetId="3">[14]附表5直接工程费单价表!#REF!</definedName>
    <definedName name="材40062">[15]附表5直接工程费单价表!#REF!</definedName>
    <definedName name="材40063" localSheetId="0">[51]附表4直接工程费单价表!#REF!</definedName>
    <definedName name="材40063" localSheetId="2">[51]附表4直接工程费单价表!#REF!</definedName>
    <definedName name="材40063" localSheetId="3">[78]附表4直接工程费单价表!#REF!</definedName>
    <definedName name="材40063">[53]附表4直接工程费单价表!#REF!</definedName>
    <definedName name="材40064" localSheetId="0">[51]附表4直接工程费单价表!#REF!</definedName>
    <definedName name="材40064" localSheetId="2">[51]附表4直接工程费单价表!#REF!</definedName>
    <definedName name="材40064" localSheetId="3">[78]附表4直接工程费单价表!#REF!</definedName>
    <definedName name="材40064">[53]附表4直接工程费单价表!#REF!</definedName>
    <definedName name="材40067" localSheetId="0">[13]附表5直接工程费单价表!#REF!</definedName>
    <definedName name="材40067" localSheetId="2">[13]附表5直接工程费单价表!#REF!</definedName>
    <definedName name="材40067" localSheetId="3">[14]附表5直接工程费单价表!#REF!</definedName>
    <definedName name="材40067">[15]附表5直接工程费单价表!#REF!</definedName>
    <definedName name="材40067A" localSheetId="0">[13]附表5直接工程费单价表!#REF!</definedName>
    <definedName name="材40067A" localSheetId="2">[13]附表5直接工程费单价表!#REF!</definedName>
    <definedName name="材40067A" localSheetId="3">[14]附表5直接工程费单价表!#REF!</definedName>
    <definedName name="材40067A">[15]附表5直接工程费单价表!#REF!</definedName>
    <definedName name="材40068" localSheetId="0">[13]附表5直接工程费单价表!#REF!</definedName>
    <definedName name="材40068" localSheetId="2">[13]附表5直接工程费单价表!#REF!</definedName>
    <definedName name="材40068" localSheetId="3">[14]附表5直接工程费单价表!#REF!</definedName>
    <definedName name="材40068">[15]附表5直接工程费单价表!#REF!</definedName>
    <definedName name="材40069" localSheetId="0">[13]附表5直接工程费单价表!#REF!</definedName>
    <definedName name="材40069" localSheetId="2">[13]附表5直接工程费单价表!#REF!</definedName>
    <definedName name="材40069" localSheetId="3">[14]附表5直接工程费单价表!#REF!</definedName>
    <definedName name="材40069">[15]附表5直接工程费单价表!#REF!</definedName>
    <definedName name="材40070" localSheetId="0">[13]附表5直接工程费单价表!#REF!</definedName>
    <definedName name="材40070" localSheetId="2">[13]附表5直接工程费单价表!#REF!</definedName>
    <definedName name="材40070" localSheetId="3">[14]附表5直接工程费单价表!#REF!</definedName>
    <definedName name="材40070">[15]附表5直接工程费单价表!#REF!</definedName>
    <definedName name="材40072" localSheetId="0">[13]附表5直接工程费单价表!#REF!</definedName>
    <definedName name="材40072" localSheetId="2">[13]附表5直接工程费单价表!#REF!</definedName>
    <definedName name="材40072" localSheetId="3">[14]附表5直接工程费单价表!#REF!</definedName>
    <definedName name="材40072">[15]附表5直接工程费单价表!#REF!</definedName>
    <definedName name="材40073" localSheetId="0">[51]附表4直接工程费单价表!#REF!</definedName>
    <definedName name="材40073" localSheetId="2">[51]附表4直接工程费单价表!#REF!</definedName>
    <definedName name="材40073" localSheetId="3">[78]附表4直接工程费单价表!#REF!</definedName>
    <definedName name="材40073">[53]附表4直接工程费单价表!#REF!</definedName>
    <definedName name="材40074" localSheetId="0">[13]附表5直接工程费单价表!#REF!</definedName>
    <definedName name="材40074" localSheetId="2">[13]附表5直接工程费单价表!#REF!</definedName>
    <definedName name="材40074" localSheetId="3">[14]附表5直接工程费单价表!#REF!</definedName>
    <definedName name="材40074">[15]附表5直接工程费单价表!#REF!</definedName>
    <definedName name="材40075" localSheetId="0">[13]附表5直接工程费单价表!#REF!</definedName>
    <definedName name="材40075" localSheetId="2">[13]附表5直接工程费单价表!#REF!</definedName>
    <definedName name="材40075" localSheetId="3">[14]附表5直接工程费单价表!#REF!</definedName>
    <definedName name="材40075">[15]附表5直接工程费单价表!#REF!</definedName>
    <definedName name="材40076" localSheetId="0">[13]附表5直接工程费单价表!#REF!</definedName>
    <definedName name="材40076" localSheetId="2">[13]附表5直接工程费单价表!#REF!</definedName>
    <definedName name="材40076" localSheetId="3">[14]附表5直接工程费单价表!#REF!</definedName>
    <definedName name="材40076">[15]附表5直接工程费单价表!#REF!</definedName>
    <definedName name="材4007620" localSheetId="0">[51]附表4直接工程费单价表!#REF!</definedName>
    <definedName name="材4007620" localSheetId="2">[51]附表4直接工程费单价表!#REF!</definedName>
    <definedName name="材4007620" localSheetId="3">[78]附表4直接工程费单价表!#REF!</definedName>
    <definedName name="材4007620">[53]附表4直接工程费单价表!#REF!</definedName>
    <definedName name="材40077" localSheetId="0">[51]附表4直接工程费单价表!#REF!</definedName>
    <definedName name="材40077" localSheetId="2">[51]附表4直接工程费单价表!#REF!</definedName>
    <definedName name="材40077" localSheetId="3">[78]附表4直接工程费单价表!#REF!</definedName>
    <definedName name="材40077">[53]附表4直接工程费单价表!#REF!</definedName>
    <definedName name="材40079" localSheetId="0">[51]附表4直接工程费单价表!#REF!</definedName>
    <definedName name="材40079" localSheetId="2">[51]附表4直接工程费单价表!#REF!</definedName>
    <definedName name="材40079" localSheetId="3">[78]附表4直接工程费单价表!#REF!</definedName>
    <definedName name="材40079">[53]附表4直接工程费单价表!#REF!</definedName>
    <definedName name="材40090" localSheetId="0">[13]附表5直接工程费单价表!#REF!</definedName>
    <definedName name="材40090" localSheetId="2">[13]附表5直接工程费单价表!#REF!</definedName>
    <definedName name="材40090" localSheetId="3">[14]附表5直接工程费单价表!#REF!</definedName>
    <definedName name="材40090">[15]附表5直接工程费单价表!#REF!</definedName>
    <definedName name="材40096" localSheetId="0">[13]附表5直接工程费单价表!#REF!</definedName>
    <definedName name="材40096" localSheetId="2">[13]附表5直接工程费单价表!#REF!</definedName>
    <definedName name="材40096" localSheetId="3">[14]附表5直接工程费单价表!#REF!</definedName>
    <definedName name="材40096">[15]附表5直接工程费单价表!#REF!</definedName>
    <definedName name="材40101" localSheetId="0">[13]附表5直接工程费单价表!#REF!</definedName>
    <definedName name="材40101" localSheetId="2">[13]附表5直接工程费单价表!#REF!</definedName>
    <definedName name="材40101" localSheetId="3">[14]附表5直接工程费单价表!#REF!</definedName>
    <definedName name="材40101">[15]附表5直接工程费单价表!#REF!</definedName>
    <definedName name="材40101A" localSheetId="0">[13]附表5直接工程费单价表!#REF!</definedName>
    <definedName name="材40101A" localSheetId="2">[13]附表5直接工程费单价表!#REF!</definedName>
    <definedName name="材40101A" localSheetId="3">[14]附表5直接工程费单价表!#REF!</definedName>
    <definedName name="材40101A">[15]附表5直接工程费单价表!#REF!</definedName>
    <definedName name="材40101B" localSheetId="0">[13]附表5直接工程费单价表!#REF!</definedName>
    <definedName name="材40101B" localSheetId="2">[13]附表5直接工程费单价表!#REF!</definedName>
    <definedName name="材40101B" localSheetId="3">[14]附表5直接工程费单价表!#REF!</definedName>
    <definedName name="材40101B">[15]附表5直接工程费单价表!#REF!</definedName>
    <definedName name="材40109" localSheetId="0">[13]附表5直接工程费单价表!#REF!</definedName>
    <definedName name="材40109" localSheetId="2">[13]附表5直接工程费单价表!#REF!</definedName>
    <definedName name="材40109" localSheetId="3">[14]附表5直接工程费单价表!#REF!</definedName>
    <definedName name="材40109">[15]附表5直接工程费单价表!#REF!</definedName>
    <definedName name="材40110" localSheetId="0">[13]附表5直接工程费单价表!#REF!</definedName>
    <definedName name="材40110" localSheetId="2">[13]附表5直接工程费单价表!#REF!</definedName>
    <definedName name="材40110" localSheetId="3">[14]附表5直接工程费单价表!#REF!</definedName>
    <definedName name="材40110">[15]附表5直接工程费单价表!#REF!</definedName>
    <definedName name="材40111" localSheetId="0">[13]附表5直接工程费单价表!#REF!</definedName>
    <definedName name="材40111" localSheetId="2">[13]附表5直接工程费单价表!#REF!</definedName>
    <definedName name="材40111" localSheetId="3">[14]附表5直接工程费单价表!#REF!</definedName>
    <definedName name="材40111">[15]附表5直接工程费单价表!#REF!</definedName>
    <definedName name="材40112" localSheetId="0">[13]附表5直接工程费单价表!#REF!</definedName>
    <definedName name="材40112" localSheetId="2">[13]附表5直接工程费单价表!#REF!</definedName>
    <definedName name="材40112" localSheetId="3">[14]附表5直接工程费单价表!#REF!</definedName>
    <definedName name="材40112">[15]附表5直接工程费单价表!#REF!</definedName>
    <definedName name="材40113" localSheetId="0">[13]附表5直接工程费单价表!#REF!</definedName>
    <definedName name="材40113" localSheetId="2">[13]附表5直接工程费单价表!#REF!</definedName>
    <definedName name="材40113" localSheetId="3">[14]附表5直接工程费单价表!#REF!</definedName>
    <definedName name="材40113">[15]附表5直接工程费单价表!#REF!</definedName>
    <definedName name="材40114" localSheetId="0">[13]附表5直接工程费单价表!#REF!</definedName>
    <definedName name="材40114" localSheetId="2">[13]附表5直接工程费单价表!#REF!</definedName>
    <definedName name="材40114" localSheetId="3">[14]附表5直接工程费单价表!#REF!</definedName>
    <definedName name="材40114">[15]附表5直接工程费单价表!#REF!</definedName>
    <definedName name="材40115" localSheetId="0">[51]附表4直接工程费单价表!#REF!</definedName>
    <definedName name="材40115" localSheetId="2">[51]附表4直接工程费单价表!#REF!</definedName>
    <definedName name="材40115" localSheetId="3">[78]附表4直接工程费单价表!#REF!</definedName>
    <definedName name="材40115">[53]附表4直接工程费单价表!#REF!</definedName>
    <definedName name="材40116" localSheetId="0">[51]附表4直接工程费单价表!#REF!</definedName>
    <definedName name="材40116" localSheetId="2">[51]附表4直接工程费单价表!#REF!</definedName>
    <definedName name="材40116" localSheetId="3">[78]附表4直接工程费单价表!#REF!</definedName>
    <definedName name="材40116">[53]附表4直接工程费单价表!#REF!</definedName>
    <definedName name="材40117" localSheetId="0">[13]附表5直接工程费单价表!#REF!</definedName>
    <definedName name="材40117" localSheetId="2">[13]附表5直接工程费单价表!#REF!</definedName>
    <definedName name="材40117" localSheetId="3">[14]附表5直接工程费单价表!#REF!</definedName>
    <definedName name="材40117">[15]附表5直接工程费单价表!#REF!</definedName>
    <definedName name="材40118" localSheetId="0">[13]附表5直接工程费单价表!#REF!</definedName>
    <definedName name="材40118" localSheetId="2">[13]附表5直接工程费单价表!#REF!</definedName>
    <definedName name="材40118" localSheetId="3">[14]附表5直接工程费单价表!#REF!</definedName>
    <definedName name="材40118">[15]附表5直接工程费单价表!#REF!</definedName>
    <definedName name="材40120" localSheetId="0">[13]附表5直接工程费单价表!#REF!</definedName>
    <definedName name="材40120" localSheetId="2">[13]附表5直接工程费单价表!#REF!</definedName>
    <definedName name="材40120" localSheetId="3">[14]附表5直接工程费单价表!#REF!</definedName>
    <definedName name="材40120">[15]附表5直接工程费单价表!#REF!</definedName>
    <definedName name="材40124" localSheetId="0">[13]附表5直接工程费单价表!#REF!</definedName>
    <definedName name="材40124" localSheetId="2">[13]附表5直接工程费单价表!#REF!</definedName>
    <definedName name="材40124" localSheetId="3">[14]附表5直接工程费单价表!#REF!</definedName>
    <definedName name="材40124">[15]附表5直接工程费单价表!#REF!</definedName>
    <definedName name="材40125" localSheetId="0">[13]附表5直接工程费单价表!#REF!</definedName>
    <definedName name="材40125" localSheetId="2">[13]附表5直接工程费单价表!#REF!</definedName>
    <definedName name="材40125" localSheetId="3">[14]附表5直接工程费单价表!#REF!</definedName>
    <definedName name="材40125">[15]附表5直接工程费单价表!#REF!</definedName>
    <definedName name="材40133" localSheetId="0">[51]附表4直接工程费单价表!#REF!</definedName>
    <definedName name="材40133" localSheetId="2">[51]附表4直接工程费单价表!#REF!</definedName>
    <definedName name="材40133" localSheetId="3">[78]附表4直接工程费单价表!#REF!</definedName>
    <definedName name="材40133">[53]附表4直接工程费单价表!#REF!</definedName>
    <definedName name="材40134" localSheetId="0">[13]附表5直接工程费单价表!#REF!</definedName>
    <definedName name="材40134" localSheetId="2">[13]附表5直接工程费单价表!#REF!</definedName>
    <definedName name="材40134" localSheetId="3">[14]附表5直接工程费单价表!#REF!</definedName>
    <definedName name="材40134">[15]附表5直接工程费单价表!#REF!</definedName>
    <definedName name="材40143" localSheetId="0">[13]附表5直接工程费单价表!#REF!</definedName>
    <definedName name="材40143" localSheetId="2">[13]附表5直接工程费单价表!#REF!</definedName>
    <definedName name="材40143" localSheetId="3">[14]附表5直接工程费单价表!#REF!</definedName>
    <definedName name="材40143">[15]附表5直接工程费单价表!#REF!</definedName>
    <definedName name="材40203" localSheetId="0">[51]附表4直接工程费单价表!#REF!</definedName>
    <definedName name="材40203" localSheetId="2">[51]附表4直接工程费单价表!#REF!</definedName>
    <definedName name="材40203" localSheetId="3">[78]附表4直接工程费单价表!#REF!</definedName>
    <definedName name="材40203">[53]附表4直接工程费单价表!#REF!</definedName>
    <definedName name="材40210" localSheetId="0">[51]附表4直接工程费单价表!#REF!</definedName>
    <definedName name="材40210" localSheetId="2">[51]附表4直接工程费单价表!#REF!</definedName>
    <definedName name="材40210" localSheetId="3">[78]附表4直接工程费单价表!#REF!</definedName>
    <definedName name="材40210">[53]附表4直接工程费单价表!#REF!</definedName>
    <definedName name="材40214苯" localSheetId="0">[51]附表4直接工程费单价表!#REF!</definedName>
    <definedName name="材40214苯" localSheetId="2">[51]附表4直接工程费单价表!#REF!</definedName>
    <definedName name="材40214苯" localSheetId="3">[78]附表4直接工程费单价表!#REF!</definedName>
    <definedName name="材40214苯">[53]附表4直接工程费单价表!#REF!</definedName>
    <definedName name="材40224" localSheetId="0">[13]附表5直接工程费单价表!#REF!</definedName>
    <definedName name="材40224" localSheetId="2">[13]附表5直接工程费单价表!#REF!</definedName>
    <definedName name="材40224" localSheetId="3">[14]附表5直接工程费单价表!#REF!</definedName>
    <definedName name="材40224">[15]附表5直接工程费单价表!#REF!</definedName>
    <definedName name="材40260" localSheetId="0">[13]附表5直接工程费单价表!#REF!</definedName>
    <definedName name="材40260" localSheetId="2">[13]附表5直接工程费单价表!#REF!</definedName>
    <definedName name="材40260" localSheetId="3">[14]附表5直接工程费单价表!#REF!</definedName>
    <definedName name="材40260">[15]附表5直接工程费单价表!#REF!</definedName>
    <definedName name="材40263" localSheetId="0">[13]附表5直接工程费单价表!#REF!</definedName>
    <definedName name="材40263" localSheetId="2">[13]附表5直接工程费单价表!#REF!</definedName>
    <definedName name="材40263" localSheetId="3">[14]附表5直接工程费单价表!#REF!</definedName>
    <definedName name="材40263">[15]附表5直接工程费单价表!#REF!</definedName>
    <definedName name="材40271" localSheetId="0">[13]附表5直接工程费单价表!#REF!</definedName>
    <definedName name="材40271" localSheetId="2">[13]附表5直接工程费单价表!#REF!</definedName>
    <definedName name="材40271" localSheetId="3">[14]附表5直接工程费单价表!#REF!</definedName>
    <definedName name="材40271">[15]附表5直接工程费单价表!#REF!</definedName>
    <definedName name="材40286" localSheetId="0">[13]附表5直接工程费单价表!#REF!</definedName>
    <definedName name="材40286" localSheetId="2">[13]附表5直接工程费单价表!#REF!</definedName>
    <definedName name="材40286" localSheetId="3">[14]附表5直接工程费单价表!#REF!</definedName>
    <definedName name="材40286">[15]附表5直接工程费单价表!#REF!</definedName>
    <definedName name="材40287" localSheetId="0">[13]附表5直接工程费单价表!#REF!</definedName>
    <definedName name="材40287" localSheetId="2">[13]附表5直接工程费单价表!#REF!</definedName>
    <definedName name="材40287" localSheetId="3">[14]附表5直接工程费单价表!#REF!</definedName>
    <definedName name="材40287">[15]附表5直接工程费单价表!#REF!</definedName>
    <definedName name="材40288" localSheetId="0">[13]附表5直接工程费单价表!#REF!</definedName>
    <definedName name="材40288" localSheetId="2">[13]附表5直接工程费单价表!#REF!</definedName>
    <definedName name="材40288" localSheetId="3">[14]附表5直接工程费单价表!#REF!</definedName>
    <definedName name="材40288">[15]附表5直接工程费单价表!#REF!</definedName>
    <definedName name="材40289" localSheetId="0">[13]附表5直接工程费单价表!#REF!</definedName>
    <definedName name="材40289" localSheetId="2">[13]附表5直接工程费单价表!#REF!</definedName>
    <definedName name="材40289" localSheetId="3">[14]附表5直接工程费单价表!#REF!</definedName>
    <definedName name="材40289">[15]附表5直接工程费单价表!#REF!</definedName>
    <definedName name="材40289A" localSheetId="0">[13]附表5直接工程费单价表!#REF!</definedName>
    <definedName name="材40289A" localSheetId="2">[13]附表5直接工程费单价表!#REF!</definedName>
    <definedName name="材40289A" localSheetId="3">[14]附表5直接工程费单价表!#REF!</definedName>
    <definedName name="材40289A">[15]附表5直接工程费单价表!#REF!</definedName>
    <definedName name="材40306" localSheetId="0">[13]附表5直接工程费单价表!#REF!</definedName>
    <definedName name="材40306" localSheetId="2">[13]附表5直接工程费单价表!#REF!</definedName>
    <definedName name="材40306" localSheetId="3">[14]附表5直接工程费单价表!#REF!</definedName>
    <definedName name="材40306">[15]附表5直接工程费单价表!#REF!</definedName>
    <definedName name="材40306A" localSheetId="0">[13]附表5直接工程费单价表!#REF!</definedName>
    <definedName name="材40306A" localSheetId="2">[13]附表5直接工程费单价表!#REF!</definedName>
    <definedName name="材40306A" localSheetId="3">[14]附表5直接工程费单价表!#REF!</definedName>
    <definedName name="材40306A">[15]附表5直接工程费单价表!#REF!</definedName>
    <definedName name="材40306B" localSheetId="0">[13]附表5直接工程费单价表!#REF!</definedName>
    <definedName name="材40306B" localSheetId="2">[13]附表5直接工程费单价表!#REF!</definedName>
    <definedName name="材40306B" localSheetId="3">[14]附表5直接工程费单价表!#REF!</definedName>
    <definedName name="材40306B">[15]附表5直接工程费单价表!#REF!</definedName>
    <definedName name="材50003" localSheetId="0">[13]附表5直接工程费单价表!#REF!</definedName>
    <definedName name="材50003" localSheetId="2">[13]附表5直接工程费单价表!#REF!</definedName>
    <definedName name="材50003" localSheetId="3">[14]附表5直接工程费单价表!#REF!</definedName>
    <definedName name="材50003">[15]附表5直接工程费单价表!#REF!</definedName>
    <definedName name="材50004" localSheetId="0">[13]附表5直接工程费单价表!#REF!</definedName>
    <definedName name="材50004" localSheetId="2">[13]附表5直接工程费单价表!#REF!</definedName>
    <definedName name="材50004" localSheetId="3">[14]附表5直接工程费单价表!#REF!</definedName>
    <definedName name="材50004">[15]附表5直接工程费单价表!#REF!</definedName>
    <definedName name="材50005" localSheetId="0">[13]附表5直接工程费单价表!#REF!</definedName>
    <definedName name="材50005" localSheetId="2">[13]附表5直接工程费单价表!#REF!</definedName>
    <definedName name="材50005" localSheetId="3">[14]附表5直接工程费单价表!#REF!</definedName>
    <definedName name="材50005">[15]附表5直接工程费单价表!#REF!</definedName>
    <definedName name="材50006" localSheetId="0">[13]附表5直接工程费单价表!#REF!</definedName>
    <definedName name="材50006" localSheetId="2">[13]附表5直接工程费单价表!#REF!</definedName>
    <definedName name="材50006" localSheetId="3">[14]附表5直接工程费单价表!#REF!</definedName>
    <definedName name="材50006">[15]附表5直接工程费单价表!#REF!</definedName>
    <definedName name="材50014" localSheetId="0">[93]附表4工程费单价表!#REF!</definedName>
    <definedName name="材50014" localSheetId="2">[93]附表4工程费单价表!#REF!</definedName>
    <definedName name="材50014" localSheetId="3">[100]附表4工程费单价表!#REF!</definedName>
    <definedName name="材50014">[101]附表4工程费单价表!#REF!</definedName>
    <definedName name="材50045" localSheetId="0">[13]附表5直接工程费单价表!#REF!</definedName>
    <definedName name="材50045" localSheetId="2">[13]附表5直接工程费单价表!#REF!</definedName>
    <definedName name="材50045" localSheetId="3">[14]附表5直接工程费单价表!#REF!</definedName>
    <definedName name="材50045">[15]附表5直接工程费单价表!#REF!</definedName>
    <definedName name="材50046" localSheetId="0">[13]附表5直接工程费单价表!#REF!</definedName>
    <definedName name="材50046" localSheetId="2">[13]附表5直接工程费单价表!#REF!</definedName>
    <definedName name="材50046" localSheetId="3">[14]附表5直接工程费单价表!#REF!</definedName>
    <definedName name="材50046">[15]附表5直接工程费单价表!#REF!</definedName>
    <definedName name="材50049" localSheetId="0">[13]附表5直接工程费单价表!#REF!</definedName>
    <definedName name="材50049" localSheetId="2">[13]附表5直接工程费单价表!#REF!</definedName>
    <definedName name="材50049" localSheetId="3">[14]附表5直接工程费单价表!#REF!</definedName>
    <definedName name="材50049">[15]附表5直接工程费单价表!#REF!</definedName>
    <definedName name="材50050" localSheetId="0">[13]附表5直接工程费单价表!#REF!</definedName>
    <definedName name="材50050" localSheetId="2">[13]附表5直接工程费单价表!#REF!</definedName>
    <definedName name="材50050" localSheetId="3">[14]附表5直接工程费单价表!#REF!</definedName>
    <definedName name="材50050">[15]附表5直接工程费单价表!#REF!</definedName>
    <definedName name="材50064" localSheetId="0">[51]附表4直接工程费单价表!#REF!</definedName>
    <definedName name="材50064" localSheetId="2">[51]附表4直接工程费单价表!#REF!</definedName>
    <definedName name="材50064" localSheetId="3">[78]附表4直接工程费单价表!#REF!</definedName>
    <definedName name="材50064">[53]附表4直接工程费单价表!#REF!</definedName>
    <definedName name="材50067" localSheetId="0">[51]附表4直接工程费单价表!#REF!</definedName>
    <definedName name="材50067" localSheetId="2">[51]附表4直接工程费单价表!#REF!</definedName>
    <definedName name="材50067" localSheetId="3">[78]附表4直接工程费单价表!#REF!</definedName>
    <definedName name="材50067">[53]附表4直接工程费单价表!#REF!</definedName>
    <definedName name="材50113" localSheetId="0">[93]附表4工程费单价表!#REF!</definedName>
    <definedName name="材50113" localSheetId="2">[93]附表4工程费单价表!#REF!</definedName>
    <definedName name="材50113" localSheetId="3">[100]附表4工程费单价表!#REF!</definedName>
    <definedName name="材50113">[101]附表4工程费单价表!#REF!</definedName>
    <definedName name="材50115">0</definedName>
    <definedName name="材70007" localSheetId="0">[51]附表4直接工程费单价表!#REF!</definedName>
    <definedName name="材70007" localSheetId="2">[51]附表4直接工程费单价表!#REF!</definedName>
    <definedName name="材70007" localSheetId="3">[78]附表4直接工程费单价表!#REF!</definedName>
    <definedName name="材70007">[53]附表4直接工程费单价表!#REF!</definedName>
    <definedName name="材70013" localSheetId="0">[51]附表4直接工程费单价表!#REF!</definedName>
    <definedName name="材70013" localSheetId="2">[51]附表4直接工程费单价表!#REF!</definedName>
    <definedName name="材70013" localSheetId="3">[78]附表4直接工程费单价表!#REF!</definedName>
    <definedName name="材70013">[53]附表4直接工程费单价表!#REF!</definedName>
    <definedName name="材70014" localSheetId="0">[51]附表4直接工程费单价表!#REF!</definedName>
    <definedName name="材70014" localSheetId="2">[51]附表4直接工程费单价表!#REF!</definedName>
    <definedName name="材70014" localSheetId="3">[78]附表4直接工程费单价表!#REF!</definedName>
    <definedName name="材70014">[53]附表4直接工程费单价表!#REF!</definedName>
    <definedName name="材70070" localSheetId="0">[51]附表4直接工程费单价表!#REF!</definedName>
    <definedName name="材70070" localSheetId="2">[51]附表4直接工程费单价表!#REF!</definedName>
    <definedName name="材70070" localSheetId="3">[78]附表4直接工程费单价表!#REF!</definedName>
    <definedName name="材70070">[53]附表4直接工程费单价表!#REF!</definedName>
    <definedName name="材70105" localSheetId="0">[51]附表4直接工程费单价表!#REF!</definedName>
    <definedName name="材70105" localSheetId="2">[51]附表4直接工程费单价表!#REF!</definedName>
    <definedName name="材70105" localSheetId="3">[78]附表4直接工程费单价表!#REF!</definedName>
    <definedName name="材70105">[53]附表4直接工程费单价表!#REF!</definedName>
    <definedName name="材70106" localSheetId="0">[51]附表4直接工程费单价表!#REF!</definedName>
    <definedName name="材70106" localSheetId="2">[51]附表4直接工程费单价表!#REF!</definedName>
    <definedName name="材70106" localSheetId="3">[78]附表4直接工程费单价表!#REF!</definedName>
    <definedName name="材70106">[53]附表4直接工程费单价表!#REF!</definedName>
    <definedName name="材70125" localSheetId="0">[51]附表4直接工程费单价表!#REF!</definedName>
    <definedName name="材70125" localSheetId="2">[51]附表4直接工程费单价表!#REF!</definedName>
    <definedName name="材70125" localSheetId="3">[78]附表4直接工程费单价表!#REF!</definedName>
    <definedName name="材70125">[53]附表4直接工程费单价表!#REF!</definedName>
    <definedName name="材70194" localSheetId="0">[13]附表5直接工程费单价表!#REF!</definedName>
    <definedName name="材70194" localSheetId="2">[13]附表5直接工程费单价表!#REF!</definedName>
    <definedName name="材70194" localSheetId="3">[14]附表5直接工程费单价表!#REF!</definedName>
    <definedName name="材70194">[15]附表5直接工程费单价表!#REF!</definedName>
    <definedName name="材70195" localSheetId="0">[13]附表5直接工程费单价表!#REF!</definedName>
    <definedName name="材70195" localSheetId="2">[13]附表5直接工程费单价表!#REF!</definedName>
    <definedName name="材70195" localSheetId="3">[14]附表5直接工程费单价表!#REF!</definedName>
    <definedName name="材70195">[15]附表5直接工程费单价表!#REF!</definedName>
    <definedName name="材70196" localSheetId="0">[13]附表5直接工程费单价表!#REF!</definedName>
    <definedName name="材70196" localSheetId="2">[13]附表5直接工程费单价表!#REF!</definedName>
    <definedName name="材70196" localSheetId="3">[14]附表5直接工程费单价表!#REF!</definedName>
    <definedName name="材70196">[15]附表5直接工程费单价表!#REF!</definedName>
    <definedName name="材80023加8002410" localSheetId="0">[51]附表4直接工程费单价表!#REF!</definedName>
    <definedName name="材80023加8002410" localSheetId="2">[51]附表4直接工程费单价表!#REF!</definedName>
    <definedName name="材80023加8002410" localSheetId="3">[78]附表4直接工程费单价表!#REF!</definedName>
    <definedName name="材80023加8002410">[53]附表4直接工程费单价表!#REF!</definedName>
    <definedName name="材80033" localSheetId="0">[51]附表4直接工程费单价表!#REF!</definedName>
    <definedName name="材80033" localSheetId="2">[51]附表4直接工程费单价表!#REF!</definedName>
    <definedName name="材80033" localSheetId="3">[78]附表4直接工程费单价表!#REF!</definedName>
    <definedName name="材80033">[53]附表4直接工程费单价表!#REF!</definedName>
    <definedName name="材80034" localSheetId="0">[51]附表4直接工程费单价表!#REF!</definedName>
    <definedName name="材80034" localSheetId="2">[51]附表4直接工程费单价表!#REF!</definedName>
    <definedName name="材80034" localSheetId="3">[78]附表4直接工程费单价表!#REF!</definedName>
    <definedName name="材80034">[53]附表4直接工程费单价表!#REF!</definedName>
    <definedName name="材90013" localSheetId="0">[51]附表4直接工程费单价表!#REF!</definedName>
    <definedName name="材90013" localSheetId="2">[51]附表4直接工程费单价表!#REF!</definedName>
    <definedName name="材90013" localSheetId="3">[78]附表4直接工程费单价表!#REF!</definedName>
    <definedName name="材90013">[53]附表4直接工程费单价表!#REF!</definedName>
    <definedName name="材90014" localSheetId="0">[13]附表5直接工程费单价表!#REF!</definedName>
    <definedName name="材90014" localSheetId="2">[13]附表5直接工程费单价表!#REF!</definedName>
    <definedName name="材90014" localSheetId="3">[14]附表5直接工程费单价表!#REF!</definedName>
    <definedName name="材90014">[15]附表5直接工程费单价表!#REF!</definedName>
    <definedName name="材90017" localSheetId="0">[13]附表5直接工程费单价表!#REF!</definedName>
    <definedName name="材90017" localSheetId="2">[13]附表5直接工程费单价表!#REF!</definedName>
    <definedName name="材90017" localSheetId="3">[14]附表5直接工程费单价表!#REF!</definedName>
    <definedName name="材90017">[15]附表5直接工程费单价表!#REF!</definedName>
    <definedName name="材90017A" localSheetId="0">[13]附表5直接工程费单价表!#REF!</definedName>
    <definedName name="材90017A" localSheetId="2">[13]附表5直接工程费单价表!#REF!</definedName>
    <definedName name="材90017A" localSheetId="3">[14]附表5直接工程费单价表!#REF!</definedName>
    <definedName name="材90017A">[15]附表5直接工程费单价表!#REF!</definedName>
    <definedName name="材90085" localSheetId="0">[13]附表5直接工程费单价表!#REF!</definedName>
    <definedName name="材90085" localSheetId="2">[13]附表5直接工程费单价表!#REF!</definedName>
    <definedName name="材90085" localSheetId="3">[14]附表5直接工程费单价表!#REF!</definedName>
    <definedName name="材90085">[15]附表5直接工程费单价表!#REF!</definedName>
    <definedName name="材90086" localSheetId="0">[13]附表5直接工程费单价表!#REF!</definedName>
    <definedName name="材90086" localSheetId="2">[13]附表5直接工程费单价表!#REF!</definedName>
    <definedName name="材90086" localSheetId="3">[14]附表5直接工程费单价表!#REF!</definedName>
    <definedName name="材90086">[15]附表5直接工程费单价表!#REF!</definedName>
    <definedName name="材90087" localSheetId="0">[13]附表5直接工程费单价表!#REF!</definedName>
    <definedName name="材90087" localSheetId="2">[13]附表5直接工程费单价表!#REF!</definedName>
    <definedName name="材90087" localSheetId="3">[14]附表5直接工程费单价表!#REF!</definedName>
    <definedName name="材90087">[15]附表5直接工程费单价表!#REF!</definedName>
    <definedName name="材90087A" localSheetId="0">[13]附表5直接工程费单价表!#REF!</definedName>
    <definedName name="材90087A" localSheetId="2">[13]附表5直接工程费单价表!#REF!</definedName>
    <definedName name="材90087A" localSheetId="3">[14]附表5直接工程费单价表!#REF!</definedName>
    <definedName name="材90087A">[15]附表5直接工程费单价表!#REF!</definedName>
    <definedName name="材90136" localSheetId="0">[13]附表5直接工程费单价表!#REF!</definedName>
    <definedName name="材90136" localSheetId="2">[13]附表5直接工程费单价表!#REF!</definedName>
    <definedName name="材90136" localSheetId="3">[14]附表5直接工程费单价表!#REF!</definedName>
    <definedName name="材90136">[15]附表5直接工程费单价表!#REF!</definedName>
    <definedName name="材90147" localSheetId="0">[13]附表5直接工程费单价表!#REF!</definedName>
    <definedName name="材90147" localSheetId="2">[13]附表5直接工程费单价表!#REF!</definedName>
    <definedName name="材90147" localSheetId="3">[14]附表5直接工程费单价表!#REF!</definedName>
    <definedName name="材90147">[15]附表5直接工程费单价表!#REF!</definedName>
    <definedName name="材90189" localSheetId="0">[13]附表5直接工程费单价表!#REF!</definedName>
    <definedName name="材90189" localSheetId="2">[13]附表5直接工程费单价表!#REF!</definedName>
    <definedName name="材90189" localSheetId="3">[14]附表5直接工程费单价表!#REF!</definedName>
    <definedName name="材90189">[15]附表5直接工程费单价表!#REF!</definedName>
    <definedName name="材补1" localSheetId="0">[13]附表5直接工程费单价表!#REF!</definedName>
    <definedName name="材补1" localSheetId="2">[13]附表5直接工程费单价表!#REF!</definedName>
    <definedName name="材补1" localSheetId="3">[14]附表5直接工程费单价表!#REF!</definedName>
    <definedName name="材补1">[15]附表5直接工程费单价表!#REF!</definedName>
    <definedName name="材补1A" localSheetId="0">[13]附表5直接工程费单价表!#REF!</definedName>
    <definedName name="材补1A" localSheetId="2">[13]附表5直接工程费单价表!#REF!</definedName>
    <definedName name="材补1A" localSheetId="3">[14]附表5直接工程费单价表!#REF!</definedName>
    <definedName name="材补1A">[15]附表5直接工程费单价表!#REF!</definedName>
    <definedName name="材补2" localSheetId="0">[13]附表5直接工程费单价表!#REF!</definedName>
    <definedName name="材补2" localSheetId="2">[13]附表5直接工程费单价表!#REF!</definedName>
    <definedName name="材补2" localSheetId="3">[14]附表5直接工程费单价表!#REF!</definedName>
    <definedName name="材补2">[15]附表5直接工程费单价表!#REF!</definedName>
    <definedName name="材补3" localSheetId="0">[13]附表5直接工程费单价表!#REF!</definedName>
    <definedName name="材补3" localSheetId="2">[13]附表5直接工程费单价表!#REF!</definedName>
    <definedName name="材补3" localSheetId="3">[14]附表5直接工程费单价表!#REF!</definedName>
    <definedName name="材补3">[15]附表5直接工程费单价表!#REF!</definedName>
    <definedName name="材补4" localSheetId="0">[13]附表5直接工程费单价表!#REF!</definedName>
    <definedName name="材补4" localSheetId="2">[13]附表5直接工程费单价表!#REF!</definedName>
    <definedName name="材补4" localSheetId="3">[14]附表5直接工程费单价表!#REF!</definedName>
    <definedName name="材补4">[15]附表5直接工程费单价表!#REF!</definedName>
    <definedName name="材补5" localSheetId="0">[13]附表5直接工程费单价表!#REF!</definedName>
    <definedName name="材补5" localSheetId="2">[13]附表5直接工程费单价表!#REF!</definedName>
    <definedName name="材补5" localSheetId="3">[14]附表5直接工程费单价表!#REF!</definedName>
    <definedName name="材补5">[15]附表5直接工程费单价表!#REF!</definedName>
    <definedName name="材参60432" localSheetId="0">[13]附表5直接工程费单价表!#REF!</definedName>
    <definedName name="材参60432" localSheetId="2">[13]附表5直接工程费单价表!#REF!</definedName>
    <definedName name="材参60432" localSheetId="3">[14]附表5直接工程费单价表!#REF!</definedName>
    <definedName name="材参60432">[15]附表5直接工程费单价表!#REF!</definedName>
    <definedName name="材建11_25换" localSheetId="0">[13]附表5直接工程费单价表!#REF!</definedName>
    <definedName name="材建11_25换" localSheetId="2">[13]附表5直接工程费单价表!#REF!</definedName>
    <definedName name="材建11_25换" localSheetId="3">[14]附表5直接工程费单价表!#REF!</definedName>
    <definedName name="材建11_25换">[15]附表5直接工程费单价表!#REF!</definedName>
    <definedName name="材建4_10换" localSheetId="0">[13]附表5直接工程费单价表!#REF!</definedName>
    <definedName name="材建4_10换" localSheetId="2">[13]附表5直接工程费单价表!#REF!</definedName>
    <definedName name="材建4_10换" localSheetId="3">[14]附表5直接工程费单价表!#REF!</definedName>
    <definedName name="材建4_10换">[15]附表5直接工程费单价表!#REF!</definedName>
    <definedName name="材井" localSheetId="24">#REF!</definedName>
    <definedName name="材井" localSheetId="3">#REF!</definedName>
    <definedName name="材井">#REF!</definedName>
    <definedName name="材料差价" localSheetId="0">'[102]#REF'!$C$2</definedName>
    <definedName name="材料差价" localSheetId="2">'[102]#REF'!$C$2</definedName>
    <definedName name="材料差价" localSheetId="24">'[102]#REF'!$C$2</definedName>
    <definedName name="材料差价" localSheetId="3">'[103]#REF'!$C$2</definedName>
    <definedName name="材料差价">'[104]#REF'!$C$2</definedName>
    <definedName name="采后处理中心" hidden="1">1</definedName>
    <definedName name="槽钢" localSheetId="0">[51]附表2材料价格计算表!#REF!</definedName>
    <definedName name="槽钢" localSheetId="2">[51]附表2材料价格计算表!#REF!</definedName>
    <definedName name="槽钢" localSheetId="3">[52]附表2材料价格计算表!#REF!</definedName>
    <definedName name="槽钢">[54]附表2材料价格计算表!#REF!</definedName>
    <definedName name="草" localSheetId="2">#REF!</definedName>
    <definedName name="草" localSheetId="24">#REF!</definedName>
    <definedName name="草">#REF!</definedName>
    <definedName name="草土围堰">[55]单价分析表!#REF!</definedName>
    <definedName name="插入式振捣器2.2kw" localSheetId="0">#REF!</definedName>
    <definedName name="插入式振捣器2.2kw" localSheetId="2">#REF!</definedName>
    <definedName name="插入式振捣器2.2kw" localSheetId="24">#REF!</definedName>
    <definedName name="插入式振捣器2.2kw" localSheetId="3">#REF!</definedName>
    <definedName name="插入式振捣器2.2kw">#REF!</definedName>
    <definedName name="插入式振动器1.1kw" localSheetId="0">[13]附表3机械台班!#REF!</definedName>
    <definedName name="插入式振动器1.1kw" localSheetId="2">[13]附表3机械台班!#REF!</definedName>
    <definedName name="插入式振动器1.1kw" localSheetId="3">[14]附表3机械台班!#REF!</definedName>
    <definedName name="插入式振动器1.1kw">[15]附表3机械台班!#REF!</definedName>
    <definedName name="插入式振动器1.5kw" localSheetId="0">[13]附表3机械台班!#REF!</definedName>
    <definedName name="插入式振动器1.5kw" localSheetId="2">[13]附表3机械台班!#REF!</definedName>
    <definedName name="插入式振动器1.5kw" localSheetId="3">[14]附表3机械台班!#REF!</definedName>
    <definedName name="插入式振动器1.5kw">[15]附表3机械台班!#REF!</definedName>
    <definedName name="插入式振动器2.2kw" localSheetId="24">[29]附表3机械!$K$56</definedName>
    <definedName name="插入式振动器2.2kw" localSheetId="3">[105]附表3机械!$K$56</definedName>
    <definedName name="插入式振动器2.2kw">[106]附表3机械!$K$56</definedName>
    <definedName name="插座φ33" localSheetId="0">[13]附表2材料价格表!#REF!</definedName>
    <definedName name="插座φ33" localSheetId="2">[13]附表2材料价格表!#REF!</definedName>
    <definedName name="插座φ33" localSheetId="3">[14]附表2材料价格表!#REF!</definedName>
    <definedName name="插座φ33">[15]附表2材料价格表!#REF!</definedName>
    <definedName name="拆迁补偿费" localSheetId="0">#REF!</definedName>
    <definedName name="拆迁补偿费" localSheetId="2">#REF!</definedName>
    <definedName name="拆迁补偿费" localSheetId="24">#REF!</definedName>
    <definedName name="拆迁补偿费" localSheetId="3">#REF!</definedName>
    <definedName name="拆迁补偿费">#REF!</definedName>
    <definedName name="柴油" localSheetId="0">[55]主材!$M$13</definedName>
    <definedName name="柴油" localSheetId="2">[55]主材!$M$13</definedName>
    <definedName name="柴油" localSheetId="24">[55]主材!$M$13</definedName>
    <definedName name="柴油" localSheetId="3">[56]主材!$M$13</definedName>
    <definedName name="柴油">[57]主材!$M$13</definedName>
    <definedName name="柴油材差" localSheetId="24">[107]材料预算价!$N$11</definedName>
    <definedName name="柴油材差">[108]材料预算价!$N$11</definedName>
    <definedName name="柴油定额价" localSheetId="24">[107]材料预算价!$M$11</definedName>
    <definedName name="柴油定额价">[108]材料预算价!$M$11</definedName>
    <definedName name="柴油价差" localSheetId="0">[55]主材!$P$13</definedName>
    <definedName name="柴油价差" localSheetId="2">[55]主材!$P$13</definedName>
    <definedName name="柴油价差" localSheetId="24">[55]主材!$P$13</definedName>
    <definedName name="柴油价差" localSheetId="3">[56]主材!$P$13</definedName>
    <definedName name="柴油价差">[57]主材!$P$13</definedName>
    <definedName name="柴油限价" localSheetId="0">[55]主材!$N$13</definedName>
    <definedName name="柴油限价" localSheetId="2">[55]主材!$N$13</definedName>
    <definedName name="柴油限价" localSheetId="24">[55]主材!$N$13</definedName>
    <definedName name="柴油限价" localSheetId="3">[56]主材!$N$13</definedName>
    <definedName name="柴油限价">[57]主材!$N$13</definedName>
    <definedName name="柴油预算价" localSheetId="24">[107]材料预算价!$L$11</definedName>
    <definedName name="柴油预算价">[108]材料预算价!$L$11</definedName>
    <definedName name="铲运机2.75m3" localSheetId="0">[13]附表3机械台班!#REF!</definedName>
    <definedName name="铲运机2.75m3" localSheetId="2">[13]附表3机械台班!#REF!</definedName>
    <definedName name="铲运机2.75m3" localSheetId="3">[14]附表3机械台班!#REF!</definedName>
    <definedName name="铲运机2.75m3">[15]附表3机械台班!#REF!</definedName>
    <definedName name="承插式三通" localSheetId="3">[19]附表2!#REF!</definedName>
    <definedName name="承插式三通">[20]附表2!#REF!</definedName>
    <definedName name="冲击钻机CZ_22型" localSheetId="0">[13]附表3机械台班!#REF!</definedName>
    <definedName name="冲击钻机CZ_22型" localSheetId="2">[13]附表3机械台班!#REF!</definedName>
    <definedName name="冲击钻机CZ_22型" localSheetId="3">[14]附表3机械台班!#REF!</definedName>
    <definedName name="冲击钻机CZ_22型">[15]附表3机械台班!#REF!</definedName>
    <definedName name="初">#N/A</definedName>
    <definedName name="瓷横担_S210" localSheetId="0">[13]附表2材料价格表!#REF!</definedName>
    <definedName name="瓷横担_S210" localSheetId="2">[13]附表2材料价格表!#REF!</definedName>
    <definedName name="瓷横担_S210" localSheetId="3">[14]附表2材料价格表!#REF!</definedName>
    <definedName name="瓷横担_S210">[15]附表2材料价格表!#REF!</definedName>
    <definedName name="瓷横担S210" localSheetId="0">[51]附表2材料价格计算表!#REF!</definedName>
    <definedName name="瓷横担S210" localSheetId="2">[51]附表2材料价格计算表!#REF!</definedName>
    <definedName name="瓷横担S210" localSheetId="3">[14]附表2材料价格表!#REF!</definedName>
    <definedName name="瓷横担S210">[15]附表2材料价格表!#REF!</definedName>
    <definedName name="瓷横担S210Z" localSheetId="0">[51]附表2材料价格计算表!#REF!</definedName>
    <definedName name="瓷横担S210Z" localSheetId="2">[51]附表2材料价格计算表!#REF!</definedName>
    <definedName name="瓷横担S210Z" localSheetId="3">[52]附表2材料价格计算表!#REF!</definedName>
    <definedName name="瓷横担S210Z">[54]附表2材料价格计算表!#REF!</definedName>
    <definedName name="瓷瓶" localSheetId="0">[51]附表2材料价格计算表!#REF!</definedName>
    <definedName name="瓷瓶" localSheetId="2">[51]附表2材料价格计算表!#REF!</definedName>
    <definedName name="瓷瓶" localSheetId="3">[78]附表2材料价格计算表!#REF!</definedName>
    <definedName name="瓷瓶">[53]附表2材料价格计算表!#REF!</definedName>
    <definedName name="此次" hidden="1">{"'现金流量表（全部投资）'!$B$4:$P$23"}</definedName>
    <definedName name="此次_1" hidden="1">{"'现金流量表（全部投资）'!$B$4:$P$23"}</definedName>
    <definedName name="刺槐" localSheetId="3">[19]附表2!#REF!</definedName>
    <definedName name="刺槐">[20]附表2!#REF!</definedName>
    <definedName name="粗砂" localSheetId="0">[13]附表2材料价格表!#REF!</definedName>
    <definedName name="粗砂" localSheetId="2">[13]附表2材料价格表!#REF!</definedName>
    <definedName name="粗砂" localSheetId="3">[14]附表2材料价格表!#REF!</definedName>
    <definedName name="粗砂">[15]附表2材料价格表!#REF!</definedName>
    <definedName name="粗砂价差" localSheetId="0">[55]主材!$P$11</definedName>
    <definedName name="粗砂价差" localSheetId="2">[55]主材!$P$11</definedName>
    <definedName name="粗砂价差" localSheetId="24">[55]主材!$P$11</definedName>
    <definedName name="粗砂价差" localSheetId="3">[56]主材!$P$11</definedName>
    <definedName name="粗砂价差">[57]主材!$P$11</definedName>
    <definedName name="粗砂限价" localSheetId="0">[55]主材!$N$11</definedName>
    <definedName name="粗砂限价" localSheetId="2">[55]主材!$N$11</definedName>
    <definedName name="粗砂限价" localSheetId="24">[55]主材!$N$11</definedName>
    <definedName name="粗砂限价" localSheetId="3">[56]主材!$N$11</definedName>
    <definedName name="粗砂限价">[57]主材!$N$11</definedName>
    <definedName name="大大大" hidden="1">{"'现金流量表（全部投资）'!$B$4:$P$23"}</definedName>
    <definedName name="单" localSheetId="0">'[72]#REF'!$E$2</definedName>
    <definedName name="单" localSheetId="2">'[72]#REF'!$E$2</definedName>
    <definedName name="单" localSheetId="24">'[72]#REF'!$E$2</definedName>
    <definedName name="单" localSheetId="3">'[84]#REF'!$E$2</definedName>
    <definedName name="单">'[85]#REF'!$E$2</definedName>
    <definedName name="单10245c" localSheetId="0">[93]附表4工程费单价表!#REF!</definedName>
    <definedName name="单10245c" localSheetId="2">[93]附表4工程费单价表!#REF!</definedName>
    <definedName name="单10245c" localSheetId="3">[109]附表4工程费单价表!#REF!</definedName>
    <definedName name="单10245c">[110]附表4工程费单价表!#REF!</definedName>
    <definedName name="单承PVC塑管φ110×3.2×9000" localSheetId="0">[13]附表2材料价格表!#REF!</definedName>
    <definedName name="单承PVC塑管φ110×3.2×9000" localSheetId="2">[13]附表2材料价格表!#REF!</definedName>
    <definedName name="单承PVC塑管φ110×3.2×9000" localSheetId="3">[14]附表2材料价格表!#REF!</definedName>
    <definedName name="单承PVC塑管φ110×3.2×9000">[15]附表2材料价格表!#REF!</definedName>
    <definedName name="单承PVC塑管φ125×3.7×9000" localSheetId="0">[13]附表2材料价格表!#REF!</definedName>
    <definedName name="单承PVC塑管φ125×3.7×9000" localSheetId="2">[13]附表2材料价格表!#REF!</definedName>
    <definedName name="单承PVC塑管φ125×3.7×9000" localSheetId="3">[14]附表2材料价格表!#REF!</definedName>
    <definedName name="单承PVC塑管φ125×3.7×9000">[15]附表2材料价格表!#REF!</definedName>
    <definedName name="单承PVC塑管φ160×4.7×9000" localSheetId="0">[13]附表2材料价格表!#REF!</definedName>
    <definedName name="单承PVC塑管φ160×4.7×9000" localSheetId="2">[13]附表2材料价格表!#REF!</definedName>
    <definedName name="单承PVC塑管φ160×4.7×9000" localSheetId="3">[14]附表2材料价格表!#REF!</definedName>
    <definedName name="单承PVC塑管φ160×4.7×9000">[15]附表2材料价格表!#REF!</definedName>
    <definedName name="单承PVC塑管φ200×5.9×10000" localSheetId="0">[13]附表2材料价格表!#REF!</definedName>
    <definedName name="单承PVC塑管φ200×5.9×10000" localSheetId="2">[13]附表2材料价格表!#REF!</definedName>
    <definedName name="单承PVC塑管φ200×5.9×10000" localSheetId="3">[14]附表2材料价格表!#REF!</definedName>
    <definedName name="单承PVC塑管φ200×5.9×10000">[15]附表2材料价格表!#REF!</definedName>
    <definedName name="单承PVC塑管φ200×5.9×9000" localSheetId="0">[13]附表2材料价格表!#REF!</definedName>
    <definedName name="单承PVC塑管φ200×5.9×9000" localSheetId="2">[13]附表2材料价格表!#REF!</definedName>
    <definedName name="单承PVC塑管φ200×5.9×9000" localSheetId="3">[14]附表2材料价格表!#REF!</definedName>
    <definedName name="单承PVC塑管φ200×5.9×9000">[15]附表2材料价格表!#REF!</definedName>
    <definedName name="单承PVC塑管φ225×6.6×10000" localSheetId="0">[13]附表2材料价格表!#REF!</definedName>
    <definedName name="单承PVC塑管φ225×6.6×10000" localSheetId="2">[13]附表2材料价格表!#REF!</definedName>
    <definedName name="单承PVC塑管φ225×6.6×10000" localSheetId="3">[14]附表2材料价格表!#REF!</definedName>
    <definedName name="单承PVC塑管φ225×6.6×10000">[15]附表2材料价格表!#REF!</definedName>
    <definedName name="单承PVC塑管φ250×7.3×10000" localSheetId="0">[13]附表2材料价格表!#REF!</definedName>
    <definedName name="单承PVC塑管φ250×7.3×10000" localSheetId="2">[13]附表2材料价格表!#REF!</definedName>
    <definedName name="单承PVC塑管φ250×7.3×10000" localSheetId="3">[14]附表2材料价格表!#REF!</definedName>
    <definedName name="单承PVC塑管φ250×7.3×10000">[15]附表2材料价格表!#REF!</definedName>
    <definedName name="单承PVC塑管φ315×9.2×10000" localSheetId="0">[13]附表2材料价格表!#REF!</definedName>
    <definedName name="单承PVC塑管φ315×9.2×10000" localSheetId="2">[13]附表2材料价格表!#REF!</definedName>
    <definedName name="单承PVC塑管φ315×9.2×10000" localSheetId="3">[14]附表2材料价格表!#REF!</definedName>
    <definedName name="单承PVC塑管φ315×9.2×10000">[15]附表2材料价格表!#REF!</definedName>
    <definedName name="单承PVC塑管φ355×10.4×10000" localSheetId="0">[13]附表2材料价格表!#REF!</definedName>
    <definedName name="单承PVC塑管φ355×10.4×10000" localSheetId="2">[13]附表2材料价格表!#REF!</definedName>
    <definedName name="单承PVC塑管φ355×10.4×10000" localSheetId="3">[14]附表2材料价格表!#REF!</definedName>
    <definedName name="单承PVC塑管φ355×10.4×10000">[15]附表2材料价格表!#REF!</definedName>
    <definedName name="单承PVC塑管φ400×11.7×10000" localSheetId="0">[13]附表2材料价格表!#REF!</definedName>
    <definedName name="单承PVC塑管φ400×11.7×10000" localSheetId="2">[13]附表2材料价格表!#REF!</definedName>
    <definedName name="单承PVC塑管φ400×11.7×10000" localSheetId="3">[14]附表2材料价格表!#REF!</definedName>
    <definedName name="单承PVC塑管φ400×11.7×10000">[15]附表2材料价格表!#REF!</definedName>
    <definedName name="单承PVC塑管φ500×14.6×10000" localSheetId="0">[13]附表2材料价格表!#REF!</definedName>
    <definedName name="单承PVC塑管φ500×14.6×10000" localSheetId="2">[13]附表2材料价格表!#REF!</definedName>
    <definedName name="单承PVC塑管φ500×14.6×10000" localSheetId="3">[14]附表2材料价格表!#REF!</definedName>
    <definedName name="单承PVC塑管φ500×14.6×10000">[15]附表2材料价格表!#REF!</definedName>
    <definedName name="单承PVC塑管φ90×2.8×9000" localSheetId="0">[13]附表2材料价格表!#REF!</definedName>
    <definedName name="单承PVC塑管φ90×2.8×9000" localSheetId="2">[13]附表2材料价格表!#REF!</definedName>
    <definedName name="单承PVC塑管φ90×2.8×9000" localSheetId="3">[14]附表2材料价格表!#REF!</definedName>
    <definedName name="单承PVC塑管φ90×2.8×9000">[15]附表2材料价格表!#REF!</definedName>
    <definedName name="单斗挖掘机斗容1m3" localSheetId="24">[107]台班单价!$C$19</definedName>
    <definedName name="单斗挖掘机斗容1m3">[108]台班单价!$C$19</definedName>
    <definedName name="单斗挖掘机油动斗容0.5m3" localSheetId="0">[111]机械汇总!$K$6</definedName>
    <definedName name="单斗挖掘机油动斗容0.5m3" localSheetId="2">[111]机械汇总!$K$6</definedName>
    <definedName name="单斗挖掘机油动斗容0.5m3" localSheetId="24">[111]机械汇总!$K$6</definedName>
    <definedName name="单斗挖掘机油动斗容0.5m3" localSheetId="3">[112]机械汇总!$K$6</definedName>
    <definedName name="单斗挖掘机油动斗容0.5m3">[113]机械汇总!$K$6</definedName>
    <definedName name="单价" localSheetId="0">'[114]5'!$F$1</definedName>
    <definedName name="单价" localSheetId="2">'[114]5'!$F$1</definedName>
    <definedName name="单价" localSheetId="24">'[114]5'!$F$1</definedName>
    <definedName name="单价" localSheetId="3">'[115]5'!$F$1</definedName>
    <definedName name="单价">'[116]5'!$F$1</definedName>
    <definedName name="单盘插头" localSheetId="0">[13]附表2材料价格表!#REF!</definedName>
    <definedName name="单盘插头" localSheetId="2">[13]附表2材料价格表!#REF!</definedName>
    <definedName name="单盘插头" localSheetId="3">[14]附表2材料价格表!#REF!</definedName>
    <definedName name="单盘插头">[15]附表2材料价格表!#REF!</definedName>
    <definedName name="单盘插头110" localSheetId="0">[13]附表2材料价格表!#REF!</definedName>
    <definedName name="单盘插头110" localSheetId="2">[13]附表2材料价格表!#REF!</definedName>
    <definedName name="单盘插头110" localSheetId="3">[14]附表2材料价格表!#REF!</definedName>
    <definedName name="单盘插头110">[15]附表2材料价格表!#REF!</definedName>
    <definedName name="单盘插头φ160" localSheetId="0">[13]附表2材料价格表!#REF!</definedName>
    <definedName name="单盘插头φ160" localSheetId="2">[13]附表2材料价格表!#REF!</definedName>
    <definedName name="单盘插头φ160" localSheetId="3">[14]附表2材料价格表!#REF!</definedName>
    <definedName name="单盘插头φ160">[15]附表2材料价格表!#REF!</definedName>
    <definedName name="单盘插头φ200" localSheetId="0">[13]附表2材料价格表!#REF!</definedName>
    <definedName name="单盘插头φ200" localSheetId="2">[13]附表2材料价格表!#REF!</definedName>
    <definedName name="单盘插头φ200" localSheetId="3">[14]附表2材料价格表!#REF!</definedName>
    <definedName name="单盘插头φ200">[15]附表2材料价格表!#REF!</definedName>
    <definedName name="单盘插头φ225" localSheetId="0">[13]附表2材料价格表!#REF!</definedName>
    <definedName name="单盘插头φ225" localSheetId="2">[13]附表2材料价格表!#REF!</definedName>
    <definedName name="单盘插头φ225" localSheetId="3">[14]附表2材料价格表!#REF!</definedName>
    <definedName name="单盘插头φ225">[15]附表2材料价格表!#REF!</definedName>
    <definedName name="单盘插头φ250" localSheetId="0">[13]附表2材料价格表!#REF!</definedName>
    <definedName name="单盘插头φ250" localSheetId="2">[13]附表2材料价格表!#REF!</definedName>
    <definedName name="单盘插头φ250" localSheetId="3">[14]附表2材料价格表!#REF!</definedName>
    <definedName name="单盘插头φ250">[15]附表2材料价格表!#REF!</definedName>
    <definedName name="单盘插头φ315" localSheetId="0">[13]附表2材料价格表!#REF!</definedName>
    <definedName name="单盘插头φ315" localSheetId="2">[13]附表2材料价格表!#REF!</definedName>
    <definedName name="单盘插头φ315" localSheetId="3">[14]附表2材料价格表!#REF!</definedName>
    <definedName name="单盘插头φ315">[15]附表2材料价格表!#REF!</definedName>
    <definedName name="单盘插头φ355" localSheetId="0">[13]附表2材料价格表!#REF!</definedName>
    <definedName name="单盘插头φ355" localSheetId="2">[13]附表2材料价格表!#REF!</definedName>
    <definedName name="单盘插头φ355" localSheetId="3">[14]附表2材料价格表!#REF!</definedName>
    <definedName name="单盘插头φ355">[15]附表2材料价格表!#REF!</definedName>
    <definedName name="单盘插头φ400" localSheetId="0">[13]附表2材料价格表!#REF!</definedName>
    <definedName name="单盘插头φ400" localSheetId="2">[13]附表2材料价格表!#REF!</definedName>
    <definedName name="单盘插头φ400" localSheetId="3">[14]附表2材料价格表!#REF!</definedName>
    <definedName name="单盘插头φ400">[15]附表2材料价格表!#REF!</definedName>
    <definedName name="单盘插头φ500" localSheetId="0">[13]附表2材料价格表!#REF!</definedName>
    <definedName name="单盘插头φ500" localSheetId="2">[13]附表2材料价格表!#REF!</definedName>
    <definedName name="单盘插头φ500" localSheetId="3">[14]附表2材料价格表!#REF!</definedName>
    <definedName name="单盘插头φ500">[15]附表2材料价格表!#REF!</definedName>
    <definedName name="单盘铝承头φ76" localSheetId="0">[13]附表2材料价格表!#REF!</definedName>
    <definedName name="单盘铝承头φ76" localSheetId="2">[13]附表2材料价格表!#REF!</definedName>
    <definedName name="单盘铝承头φ76" localSheetId="3">[14]附表2材料价格表!#REF!</definedName>
    <definedName name="单盘铝承头φ76">[15]附表2材料价格表!#REF!</definedName>
    <definedName name="单盘三通φ110×80×110" localSheetId="0">[13]附表2材料价格表!#REF!</definedName>
    <definedName name="单盘三通φ110×80×110" localSheetId="2">[13]附表2材料价格表!#REF!</definedName>
    <definedName name="单盘三通φ110×80×110" localSheetId="3">[14]附表2材料价格表!#REF!</definedName>
    <definedName name="单盘三通φ110×80×110">[15]附表2材料价格表!#REF!</definedName>
    <definedName name="单盘三通φ125×80×125" localSheetId="0">[13]附表2材料价格表!#REF!</definedName>
    <definedName name="单盘三通φ125×80×125" localSheetId="2">[13]附表2材料价格表!#REF!</definedName>
    <definedName name="单盘三通φ125×80×125" localSheetId="3">[14]附表2材料价格表!#REF!</definedName>
    <definedName name="单盘三通φ125×80×125">[15]附表2材料价格表!#REF!</definedName>
    <definedName name="单盘三通φ160×80×160" localSheetId="0">[13]附表2材料价格表!#REF!</definedName>
    <definedName name="单盘三通φ160×80×160" localSheetId="2">[13]附表2材料价格表!#REF!</definedName>
    <definedName name="单盘三通φ160×80×160" localSheetId="3">[14]附表2材料价格表!#REF!</definedName>
    <definedName name="单盘三通φ160×80×160">[15]附表2材料价格表!#REF!</definedName>
    <definedName name="单盘三通φ200×80×200" localSheetId="0">[13]附表2材料价格表!#REF!</definedName>
    <definedName name="单盘三通φ200×80×200" localSheetId="2">[13]附表2材料价格表!#REF!</definedName>
    <definedName name="单盘三通φ200×80×200" localSheetId="3">[14]附表2材料价格表!#REF!</definedName>
    <definedName name="单盘三通φ200×80×200">[15]附表2材料价格表!#REF!</definedName>
    <definedName name="单位" localSheetId="0">'[72]#REF'!$C$2</definedName>
    <definedName name="单位" localSheetId="2">'[72]#REF'!$C$2</definedName>
    <definedName name="单位" localSheetId="24">'[72]#REF'!$C$2</definedName>
    <definedName name="单位" localSheetId="3">'[84]#REF'!$C$2</definedName>
    <definedName name="单位">'[85]#REF'!$C$2</definedName>
    <definedName name="挡浸沟涵洞" localSheetId="0">#REF!</definedName>
    <definedName name="挡浸沟涵洞" localSheetId="2">#REF!</definedName>
    <definedName name="挡浸沟涵洞" localSheetId="24">#REF!</definedName>
    <definedName name="挡浸沟涵洞" localSheetId="3">#REF!</definedName>
    <definedName name="挡浸沟涵洞">#REF!</definedName>
    <definedName name="导火线" localSheetId="0">#REF!</definedName>
    <definedName name="导火线" localSheetId="2">#REF!</definedName>
    <definedName name="导火线" localSheetId="24">#REF!</definedName>
    <definedName name="导火线" localSheetId="3">#REF!</definedName>
    <definedName name="导火线">#REF!</definedName>
    <definedName name="导线" localSheetId="0">[13]附表2材料价格表!#REF!</definedName>
    <definedName name="导线" localSheetId="2">[13]附表2材料价格表!#REF!</definedName>
    <definedName name="导线" localSheetId="3">[14]附表2材料价格表!#REF!</definedName>
    <definedName name="导线">[15]附表2材料价格表!#REF!</definedName>
    <definedName name="导线_BLX_16" localSheetId="0">[13]附表2材料价格表!#REF!</definedName>
    <definedName name="导线_BLX_16" localSheetId="2">[13]附表2材料价格表!#REF!</definedName>
    <definedName name="导线_BLX_16" localSheetId="3">[14]附表2材料价格表!#REF!</definedName>
    <definedName name="导线_BLX_16">[15]附表2材料价格表!#REF!</definedName>
    <definedName name="导线_LGJ" localSheetId="0">[13]附表2材料价格表!#REF!</definedName>
    <definedName name="导线_LGJ" localSheetId="2">[13]附表2材料价格表!#REF!</definedName>
    <definedName name="导线_LGJ" localSheetId="3">[14]附表2材料价格表!#REF!</definedName>
    <definedName name="导线_LGJ">[15]附表2材料价格表!#REF!</definedName>
    <definedName name="导线BLGJ" localSheetId="0">[51]附表2材料价格计算表!#REF!</definedName>
    <definedName name="导线BLGJ" localSheetId="2">[51]附表2材料价格计算表!#REF!</definedName>
    <definedName name="导线BLGJ" localSheetId="3">[78]附表2材料价格计算表!#REF!</definedName>
    <definedName name="导线BLGJ">[53]附表2材料价格计算表!#REF!</definedName>
    <definedName name="导线BLX_16" localSheetId="0">[13]附表2材料价格表!#REF!</definedName>
    <definedName name="导线BLX_16" localSheetId="2">[13]附表2材料价格表!#REF!</definedName>
    <definedName name="导线BLX_16" localSheetId="3">[14]附表2材料价格表!#REF!</definedName>
    <definedName name="导线BLX_16">[15]附表2材料价格表!#REF!</definedName>
    <definedName name="导线BLX16" localSheetId="0">[51]附表2材料价格计算表!#REF!</definedName>
    <definedName name="导线BLX16" localSheetId="2">[51]附表2材料价格计算表!#REF!</definedName>
    <definedName name="导线BLX16" localSheetId="3">[78]附表2材料价格计算表!#REF!</definedName>
    <definedName name="导线BLX16">[53]附表2材料价格计算表!#REF!</definedName>
    <definedName name="导线L_G_J" localSheetId="0">[13]附表2材料价格表!#REF!</definedName>
    <definedName name="导线L_G_J" localSheetId="2">[13]附表2材料价格表!#REF!</definedName>
    <definedName name="导线L_G_J" localSheetId="3">[14]附表2材料价格表!#REF!</definedName>
    <definedName name="导线L_G_J">[15]附表2材料价格表!#REF!</definedName>
    <definedName name="导线LGJ" localSheetId="0">[13]附表2材料价格表!#REF!</definedName>
    <definedName name="导线LGJ" localSheetId="2">[13]附表2材料价格表!#REF!</definedName>
    <definedName name="导线LGJ" localSheetId="3">[14]附表2材料价格表!#REF!</definedName>
    <definedName name="导线LGJ">[15]附表2材料价格表!#REF!</definedName>
    <definedName name="导线LGJ_1" localSheetId="0">[13]附表2材料价格表!#REF!</definedName>
    <definedName name="导线LGJ_1" localSheetId="2">[13]附表2材料价格表!#REF!</definedName>
    <definedName name="导线LGJ_1" localSheetId="3">[14]附表2材料价格表!#REF!</definedName>
    <definedName name="导线LGJ_1">[15]附表2材料价格表!#REF!</definedName>
    <definedName name="导线LGJ1" localSheetId="0">[13]附表2材料价格表!#REF!</definedName>
    <definedName name="导线LGJ1" localSheetId="2">[13]附表2材料价格表!#REF!</definedName>
    <definedName name="导线LGJ1" localSheetId="3">[14]附表2材料价格表!#REF!</definedName>
    <definedName name="导线LGJ1">[15]附表2材料价格表!#REF!</definedName>
    <definedName name="道路工程" localSheetId="0">[91]表3工程施工费表!$I$10</definedName>
    <definedName name="道路工程" localSheetId="2">[91]表3工程施工费表!$I$10</definedName>
    <definedName name="道路工程" localSheetId="24">[91]表3工程施工费表!$I$10</definedName>
    <definedName name="道路工程" localSheetId="3">[92]表3工程施工费表!$I$10</definedName>
    <definedName name="道路工程">[93]表3工程施工费表!$I$10</definedName>
    <definedName name="道路影响投资" localSheetId="0">#REF!</definedName>
    <definedName name="道路影响投资" localSheetId="2">#REF!</definedName>
    <definedName name="道路影响投资" localSheetId="24">#REF!</definedName>
    <definedName name="道路影响投资" localSheetId="3">#REF!</definedName>
    <definedName name="道路影响投资">#REF!</definedName>
    <definedName name="的" localSheetId="0">#REF!</definedName>
    <definedName name="的" localSheetId="2">#REF!</definedName>
    <definedName name="的" localSheetId="24">#REF!</definedName>
    <definedName name="的" localSheetId="3">#REF!</definedName>
    <definedName name="的">#REF!</definedName>
    <definedName name="滴灌带φ16" localSheetId="0">[13]附表2材料价格表!#REF!</definedName>
    <definedName name="滴灌带φ16" localSheetId="2">[13]附表2材料价格表!#REF!</definedName>
    <definedName name="滴灌带φ16" localSheetId="3">[14]附表2材料价格表!#REF!</definedName>
    <definedName name="滴灌带φ16">[15]附表2材料价格表!#REF!</definedName>
    <definedName name="滴头" localSheetId="3">[19]附表2!#REF!</definedName>
    <definedName name="滴头">[20]附表2!#REF!</definedName>
    <definedName name="电" localSheetId="0">[55]次材!$D$5</definedName>
    <definedName name="电" localSheetId="2">[55]次材!$D$5</definedName>
    <definedName name="电" localSheetId="24">[55]次材!$D$5</definedName>
    <definedName name="电" localSheetId="3">[56]次材!$D$5</definedName>
    <definedName name="电">[57]次材!$D$5</definedName>
    <definedName name="电动葫芦0.5" localSheetId="0">[55]台班!$C$40</definedName>
    <definedName name="电动葫芦0.5" localSheetId="2">[55]台班!$C$40</definedName>
    <definedName name="电动葫芦0.5" localSheetId="24">[55]台班!$C$40</definedName>
    <definedName name="电动葫芦0.5" localSheetId="3">[56]台班!$C$40</definedName>
    <definedName name="电动葫芦0.5">[57]台班!$C$40</definedName>
    <definedName name="电动葫芦3" localSheetId="0">[55]台班!$C$41</definedName>
    <definedName name="电动葫芦3" localSheetId="2">[55]台班!$C$41</definedName>
    <definedName name="电动葫芦3" localSheetId="24">[55]台班!$C$41</definedName>
    <definedName name="电动葫芦3" localSheetId="3">[56]台班!$C$41</definedName>
    <definedName name="电动葫芦3">[57]台班!$C$41</definedName>
    <definedName name="电动葫芦3t" localSheetId="0">[117]附表3机械台班计算表!$K$100</definedName>
    <definedName name="电动葫芦3t" localSheetId="2">[117]附表3机械台班计算表!$K$100</definedName>
    <definedName name="电动葫芦3t" localSheetId="24">[117]附表3机械台班计算表!$K$100</definedName>
    <definedName name="电动葫芦3t" localSheetId="3">[118]附表3机械台班计算表!$K$100</definedName>
    <definedName name="电动葫芦3t">[119]附表3机械台班计算表!$K$100</definedName>
    <definedName name="电杆" localSheetId="0">[13]附表2材料价格表!#REF!</definedName>
    <definedName name="电杆" localSheetId="2">[13]附表2材料价格表!#REF!</definedName>
    <definedName name="电杆" localSheetId="3">[14]附表2材料价格表!#REF!</definedName>
    <definedName name="电杆">[15]附表2材料价格表!#REF!</definedName>
    <definedName name="电杆_10m" localSheetId="0">[13]附表2材料价格表!#REF!</definedName>
    <definedName name="电杆_10m" localSheetId="2">[13]附表2材料价格表!#REF!</definedName>
    <definedName name="电杆_10m" localSheetId="3">[14]附表2材料价格表!#REF!</definedName>
    <definedName name="电杆_10m">[15]附表2材料价格表!#REF!</definedName>
    <definedName name="电焊机25kvA" localSheetId="0">[13]附表3机械台班!#REF!</definedName>
    <definedName name="电焊机25kvA" localSheetId="2">[13]附表3机械台班!#REF!</definedName>
    <definedName name="电焊机25kvA" localSheetId="3">[14]附表3机械台班!#REF!</definedName>
    <definedName name="电焊机25kvA">[15]附表3机械台班!#REF!</definedName>
    <definedName name="电焊机30KVA" localSheetId="0">[13]附表3机械台班!#REF!</definedName>
    <definedName name="电焊机30KVA" localSheetId="2">[13]附表3机械台班!#REF!</definedName>
    <definedName name="电焊机30KVA" localSheetId="3">[14]附表3机械台班!#REF!</definedName>
    <definedName name="电焊机30KVA">[15]附表3机械台班!#REF!</definedName>
    <definedName name="电焊机交流20" localSheetId="0">[55]台班!$C$47</definedName>
    <definedName name="电焊机交流20" localSheetId="2">[55]台班!$C$47</definedName>
    <definedName name="电焊机交流20" localSheetId="24">[55]台班!$C$47</definedName>
    <definedName name="电焊机交流20" localSheetId="3">[56]台班!$C$47</definedName>
    <definedName name="电焊机交流20">[57]台班!$C$47</definedName>
    <definedName name="电焊机交流20_25kva">'[120]附表 3台班单价'!$C$46</definedName>
    <definedName name="电焊机交流25KVA" localSheetId="24">[107]台班单价!$C$50</definedName>
    <definedName name="电焊机交流25KVA">[108]台班单价!$C$50</definedName>
    <definedName name="电焊机交流30" localSheetId="0">[55]台班!$C$48</definedName>
    <definedName name="电焊机交流30" localSheetId="2">[55]台班!$C$48</definedName>
    <definedName name="电焊机交流30" localSheetId="24">[55]台班!$C$48</definedName>
    <definedName name="电焊机交流30" localSheetId="3">[56]台班!$C$48</definedName>
    <definedName name="电焊机交流30">[57]台班!$C$48</definedName>
    <definedName name="电焊机交流30kVA" localSheetId="24">[29]附表3机械!$K$120</definedName>
    <definedName name="电焊机交流30kVA" localSheetId="3">[105]附表3机械!$K$120</definedName>
    <definedName name="电焊机交流30kVA">[106]附表3机械!$K$120</definedName>
    <definedName name="电焊机直流30" localSheetId="0">[55]台班!$C$49</definedName>
    <definedName name="电焊机直流30" localSheetId="2">[55]台班!$C$49</definedName>
    <definedName name="电焊机直流30" localSheetId="24">[55]台班!$C$49</definedName>
    <definedName name="电焊机直流30" localSheetId="3">[56]台班!$C$49</definedName>
    <definedName name="电焊机直流30">[57]台班!$C$49</definedName>
    <definedName name="电焊条" localSheetId="0">[55]次材!$D$12</definedName>
    <definedName name="电焊条" localSheetId="2">[55]次材!$D$12</definedName>
    <definedName name="电焊条" localSheetId="24">[55]次材!$D$12</definedName>
    <definedName name="电焊条" localSheetId="3">[56]次材!$D$12</definedName>
    <definedName name="电焊条">[57]次材!$D$12</definedName>
    <definedName name="电焊条结32" localSheetId="0">[51]附表2材料价格计算表!#REF!</definedName>
    <definedName name="电焊条结32" localSheetId="2">[51]附表2材料价格计算表!#REF!</definedName>
    <definedName name="电焊条结32" localSheetId="3">[52]附表2材料价格计算表!#REF!</definedName>
    <definedName name="电焊条结32">[54]附表2材料价格计算表!#REF!</definedName>
    <definedName name="电气设备调差系数" localSheetId="0">#REF!</definedName>
    <definedName name="电气设备调差系数" localSheetId="2">#REF!</definedName>
    <definedName name="电气设备调差系数" localSheetId="24">#REF!</definedName>
    <definedName name="电气设备调差系数" localSheetId="3">#REF!</definedName>
    <definedName name="电气设备调差系数">#REF!</definedName>
    <definedName name="电石" localSheetId="0">#REF!</definedName>
    <definedName name="电石" localSheetId="2">#REF!</definedName>
    <definedName name="电石" localSheetId="24">#REF!</definedName>
    <definedName name="电石" localSheetId="3">#REF!</definedName>
    <definedName name="电石">#REF!</definedName>
    <definedName name="跌落开关RW11_200_10" localSheetId="0">[13]附表2材料价格表!#REF!</definedName>
    <definedName name="跌落开关RW11_200_10" localSheetId="2">[13]附表2材料价格表!#REF!</definedName>
    <definedName name="跌落开关RW11_200_10" localSheetId="3">[14]附表2材料价格表!#REF!</definedName>
    <definedName name="跌落开关RW11_200_10">[15]附表2材料价格表!#REF!</definedName>
    <definedName name="顶棚" localSheetId="3">#REF!</definedName>
    <definedName name="顶棚">#REF!</definedName>
    <definedName name="定额编号_1213" localSheetId="0">[121]新定额单价!$A$235</definedName>
    <definedName name="定额编号_1213" localSheetId="2">[121]新定额单价!$A$235</definedName>
    <definedName name="定额编号_1213" localSheetId="24">[121]新定额单价!$A$235</definedName>
    <definedName name="定额编号_1213" localSheetId="16">绿化定额!#REF!</definedName>
    <definedName name="定额编号_1213" localSheetId="3">[122]新定额单价!$A$201</definedName>
    <definedName name="定额编号_1213">新定额单价!$A$200</definedName>
    <definedName name="定额编号_2154" localSheetId="0">[121]新定额单价!#REF!</definedName>
    <definedName name="定额编号_2154" localSheetId="2">[121]新定额单价!#REF!</definedName>
    <definedName name="定额编号_2154" localSheetId="16">绿化定额!#REF!</definedName>
    <definedName name="定额编号_2154" localSheetId="3">[122]新定额单价!#REF!</definedName>
    <definedName name="定额编号_2154">新定额单价!#REF!</definedName>
    <definedName name="定额编号_3007" localSheetId="0">[121]新定额单价!#REF!</definedName>
    <definedName name="定额编号_3007" localSheetId="2">[121]新定额单价!#REF!</definedName>
    <definedName name="定额编号_3007" localSheetId="16">绿化定额!#REF!</definedName>
    <definedName name="定额编号_3007" localSheetId="3">[122]新定额单价!#REF!</definedName>
    <definedName name="定额编号_3007">新定额单价!#REF!</definedName>
    <definedName name="定额编号_4067" localSheetId="0">[121]新定额单价!$A$1287</definedName>
    <definedName name="定额编号_4067" localSheetId="2">[121]新定额单价!$A$1287</definedName>
    <definedName name="定额编号_4067" localSheetId="24">[121]新定额单价!$A$1287</definedName>
    <definedName name="定额编号_4067" localSheetId="16">绿化定额!#REF!</definedName>
    <definedName name="定额编号_4067" localSheetId="3">[122]新定额单价!$A$1162</definedName>
    <definedName name="定额编号_4067">新定额单价!$A$1180</definedName>
    <definedName name="定额编号_4069" localSheetId="0">[121]新定额单价!$A$1476</definedName>
    <definedName name="定额编号_4069" localSheetId="2">[121]新定额单价!$A$1476</definedName>
    <definedName name="定额编号_4069" localSheetId="24">[121]新定额单价!$A$1476</definedName>
    <definedName name="定额编号_4069" localSheetId="16">绿化定额!#REF!</definedName>
    <definedName name="定额编号_4069" localSheetId="3">[122]新定额单价!$A$1351</definedName>
    <definedName name="定额编号_4069">建筑工程单价分析表!$A$430</definedName>
    <definedName name="定额编号_6091" localSheetId="0">[121]新定额单价!#REF!</definedName>
    <definedName name="定额编号_6091" localSheetId="2">[121]新定额单价!#REF!</definedName>
    <definedName name="定额编号_6091" localSheetId="16">绿化定额!#REF!</definedName>
    <definedName name="定额编号_6091" localSheetId="3">[122]新定额单价!#REF!</definedName>
    <definedName name="定额编号_6091">新定额单价!#REF!</definedName>
    <definedName name="定额编号_6093" localSheetId="0">[121]新定额单价!#REF!</definedName>
    <definedName name="定额编号_6093" localSheetId="2">[121]新定额单价!#REF!</definedName>
    <definedName name="定额编号_6093" localSheetId="16">绿化定额!#REF!</definedName>
    <definedName name="定额编号_6093" localSheetId="3">[122]新定额单价!#REF!</definedName>
    <definedName name="定额编号_6093">新定额单价!#REF!</definedName>
    <definedName name="定额编号_8020" localSheetId="0">[121]新定额单价!#REF!</definedName>
    <definedName name="定额编号_8020" localSheetId="2">[121]新定额单价!#REF!</definedName>
    <definedName name="定额编号_8020" localSheetId="16">绿化定额!#REF!</definedName>
    <definedName name="定额编号_8020" localSheetId="3">[122]新定额单价!#REF!</definedName>
    <definedName name="定额编号_8020">新定额单价!#REF!</definedName>
    <definedName name="定额编号_8243" localSheetId="0">[121]新定额单价!#REF!</definedName>
    <definedName name="定额编号_8243" localSheetId="2">[121]新定额单价!#REF!</definedName>
    <definedName name="定额编号_8243" localSheetId="16">绿化定额!#REF!</definedName>
    <definedName name="定额编号_8243" localSheetId="3">[122]新定额单价!#REF!</definedName>
    <definedName name="定额编号_8243">新定额单价!#REF!</definedName>
    <definedName name="堵头90" localSheetId="24">'[21]附表2 材料价格表'!$L$112</definedName>
    <definedName name="堵头90">'[22]附表2 材料价格表'!$L$112</definedName>
    <definedName name="堵头φ76" localSheetId="0">[13]附表2材料价格表!#REF!</definedName>
    <definedName name="堵头φ76" localSheetId="2">[13]附表2材料价格表!#REF!</definedName>
    <definedName name="堵头φ76" localSheetId="3">[14]附表2材料价格表!#REF!</definedName>
    <definedName name="堵头φ76">[15]附表2材料价格表!#REF!</definedName>
    <definedName name="镀锌扁钢" localSheetId="0">[51]附表2材料价格计算表!#REF!</definedName>
    <definedName name="镀锌扁钢" localSheetId="2">[51]附表2材料价格计算表!#REF!</definedName>
    <definedName name="镀锌扁钢" localSheetId="3">[78]附表2材料价格计算表!#REF!</definedName>
    <definedName name="镀锌扁钢">[53]附表2材料价格计算表!#REF!</definedName>
    <definedName name="镀锌钢管" localSheetId="0">#REF!</definedName>
    <definedName name="镀锌钢管" localSheetId="2">#REF!</definedName>
    <definedName name="镀锌钢管" localSheetId="24">#REF!</definedName>
    <definedName name="镀锌钢管" localSheetId="3">#REF!</definedName>
    <definedName name="镀锌钢管">#REF!</definedName>
    <definedName name="镀锌钢绞拉线GJ_50" localSheetId="0">[13]附表2材料价格表!#REF!</definedName>
    <definedName name="镀锌钢绞拉线GJ_50" localSheetId="2">[13]附表2材料价格表!#REF!</definedName>
    <definedName name="镀锌钢绞拉线GJ_50" localSheetId="3">[14]附表2材料价格表!#REF!</definedName>
    <definedName name="镀锌钢绞拉线GJ_50">[15]附表2材料价格表!#REF!</definedName>
    <definedName name="镀锌钢绞线GL35" localSheetId="0">[51]附表2材料价格计算表!#REF!</definedName>
    <definedName name="镀锌钢绞线GL35" localSheetId="2">[51]附表2材料价格计算表!#REF!</definedName>
    <definedName name="镀锌钢绞线GL35" localSheetId="3">[52]附表2材料价格计算表!#REF!</definedName>
    <definedName name="镀锌钢绞线GL35">[54]附表2材料价格计算表!#REF!</definedName>
    <definedName name="镀锌钢绞线GL50" localSheetId="0">[51]附表2材料价格计算表!#REF!</definedName>
    <definedName name="镀锌钢绞线GL50" localSheetId="2">[51]附表2材料价格计算表!#REF!</definedName>
    <definedName name="镀锌钢绞线GL50" localSheetId="3">[52]附表2材料价格计算表!#REF!</definedName>
    <definedName name="镀锌钢绞线GL50">[54]附表2材料价格计算表!#REF!</definedName>
    <definedName name="镀锌铁皮0.35" localSheetId="0">[55]次材!$D$47</definedName>
    <definedName name="镀锌铁皮0.35" localSheetId="2">[55]次材!$D$47</definedName>
    <definedName name="镀锌铁皮0.35" localSheetId="24">[55]次材!$D$47</definedName>
    <definedName name="镀锌铁皮0.35" localSheetId="3">[56]次材!$D$47</definedName>
    <definedName name="镀锌铁皮0.35">[57]次材!$D$47</definedName>
    <definedName name="镀锌铁丝8" localSheetId="0">[13]附表2材料价格表!#REF!</definedName>
    <definedName name="镀锌铁丝8" localSheetId="2">[13]附表2材料价格表!#REF!</definedName>
    <definedName name="镀锌铁丝8" localSheetId="3">[14]附表2材料价格表!#REF!</definedName>
    <definedName name="镀锌铁丝8">[15]附表2材料价格表!#REF!</definedName>
    <definedName name="对焊机150型" localSheetId="0">[13]附表3机械台班!#REF!</definedName>
    <definedName name="对焊机150型" localSheetId="2">[13]附表3机械台班!#REF!</definedName>
    <definedName name="对焊机150型" localSheetId="3">[14]附表3机械台班!#REF!</definedName>
    <definedName name="对焊机150型">[15]附表3机械台班!#REF!</definedName>
    <definedName name="对焊机电弧150kvA" localSheetId="0">#REF!</definedName>
    <definedName name="对焊机电弧150kvA" localSheetId="2">#REF!</definedName>
    <definedName name="对焊机电弧150kvA" localSheetId="24">#REF!</definedName>
    <definedName name="对焊机电弧150kvA" localSheetId="3">#REF!</definedName>
    <definedName name="对焊机电弧150kvA">#REF!</definedName>
    <definedName name="镦" localSheetId="0">[124]材料费!$D$6</definedName>
    <definedName name="镦" localSheetId="2">[124]材料费!$D$6</definedName>
    <definedName name="镦" localSheetId="24">[125]材料费!$D$6</definedName>
    <definedName name="镦" localSheetId="3">[126]材料费!$D$6</definedName>
    <definedName name="镦">[127]材料费!$D$6</definedName>
    <definedName name="多" localSheetId="0">#REF!</definedName>
    <definedName name="多" localSheetId="2">#REF!</definedName>
    <definedName name="多" localSheetId="24">#REF!</definedName>
    <definedName name="多" localSheetId="3">#REF!</definedName>
    <definedName name="多">#REF!</definedName>
    <definedName name="多眼拉板_60_6_300" localSheetId="0">[13]附表2材料价格表!#REF!</definedName>
    <definedName name="多眼拉板_60_6_300" localSheetId="2">[13]附表2材料价格表!#REF!</definedName>
    <definedName name="多眼拉板_60_6_300" localSheetId="3">[14]附表2材料价格表!#REF!</definedName>
    <definedName name="多眼拉板_60_6_300">[15]附表2材料价格表!#REF!</definedName>
    <definedName name="多眼拉板_60_6_350" localSheetId="0">[13]附表2材料价格表!#REF!</definedName>
    <definedName name="多眼拉板_60_6_350" localSheetId="2">[13]附表2材料价格表!#REF!</definedName>
    <definedName name="多眼拉板_60_6_350" localSheetId="3">[14]附表2材料价格表!#REF!</definedName>
    <definedName name="多眼拉板_60_6_350">[15]附表2材料价格表!#REF!</definedName>
    <definedName name="二丁脂" localSheetId="0">[13]附表2材料价格表!#REF!</definedName>
    <definedName name="二丁脂" localSheetId="2">[13]附表2材料价格表!#REF!</definedName>
    <definedName name="二丁脂" localSheetId="3">[14]附表2材料价格表!#REF!</definedName>
    <definedName name="二丁脂">[15]附表2材料价格表!#REF!</definedName>
    <definedName name="二合抱箍抱1_190" localSheetId="0">[13]附表2材料价格表!#REF!</definedName>
    <definedName name="二合抱箍抱1_190" localSheetId="2">[13]附表2材料价格表!#REF!</definedName>
    <definedName name="二合抱箍抱1_190" localSheetId="3">[14]附表2材料价格表!#REF!</definedName>
    <definedName name="二合抱箍抱1_190">[15]附表2材料价格表!#REF!</definedName>
    <definedName name="二合抱箍抱2_200" localSheetId="0">[13]附表2材料价格表!#REF!</definedName>
    <definedName name="二合抱箍抱2_200" localSheetId="2">[13]附表2材料价格表!#REF!</definedName>
    <definedName name="二合抱箍抱2_200" localSheetId="3">[14]附表2材料价格表!#REF!</definedName>
    <definedName name="二合抱箍抱2_200">[15]附表2材料价格表!#REF!</definedName>
    <definedName name="阀兰阀体" localSheetId="0">[13]附表2材料价格表!#REF!</definedName>
    <definedName name="阀兰阀体" localSheetId="2">[13]附表2材料价格表!#REF!</definedName>
    <definedName name="阀兰阀体" localSheetId="3">[14]附表2材料价格表!#REF!</definedName>
    <definedName name="阀兰阀体">[15]附表2材料价格表!#REF!</definedName>
    <definedName name="阀兰阀体80" localSheetId="0">[13]附表2材料价格表!#REF!</definedName>
    <definedName name="阀兰阀体80" localSheetId="2">[13]附表2材料价格表!#REF!</definedName>
    <definedName name="阀兰阀体80" localSheetId="3">[14]附表2材料价格表!#REF!</definedName>
    <definedName name="阀兰阀体80">[15]附表2材料价格表!#REF!</definedName>
    <definedName name="阀门φ120" localSheetId="0">[13]附表2材料价格表!#REF!</definedName>
    <definedName name="阀门φ120" localSheetId="2">[13]附表2材料价格表!#REF!</definedName>
    <definedName name="阀门φ120" localSheetId="3">[14]附表2材料价格表!#REF!</definedName>
    <definedName name="阀门φ120">[15]附表2材料价格表!#REF!</definedName>
    <definedName name="阀门φ90" localSheetId="0">[13]附表2材料价格表!#REF!</definedName>
    <definedName name="阀门φ90" localSheetId="2">[13]附表2材料价格表!#REF!</definedName>
    <definedName name="阀门φ90" localSheetId="3">[14]附表2材料价格表!#REF!</definedName>
    <definedName name="阀门φ90">[15]附表2材料价格表!#REF!</definedName>
    <definedName name="法兰110" localSheetId="24">'[21]附表2 材料价格表'!$L$142</definedName>
    <definedName name="法兰110">'[22]附表2 材料价格表'!$L$142</definedName>
    <definedName name="法兰160" localSheetId="24">'[21]附表2 材料价格表'!$L$141</definedName>
    <definedName name="法兰160">'[22]附表2 材料价格表'!$L$141</definedName>
    <definedName name="法兰250" localSheetId="24">'[21]附表2 材料价格表'!$L$139</definedName>
    <definedName name="法兰250">'[22]附表2 材料价格表'!$L$139</definedName>
    <definedName name="法兰螺栓" localSheetId="0">[13]附表2材料价格表!#REF!</definedName>
    <definedName name="法兰螺栓" localSheetId="2">[13]附表2材料价格表!#REF!</definedName>
    <definedName name="法兰螺栓" localSheetId="3">[14]附表2材料价格表!#REF!</definedName>
    <definedName name="法兰螺栓">[15]附表2材料价格表!#REF!</definedName>
    <definedName name="法兰盘φ120" localSheetId="0">[13]附表2材料价格表!#REF!</definedName>
    <definedName name="法兰盘φ120" localSheetId="2">[13]附表2材料价格表!#REF!</definedName>
    <definedName name="法兰盘φ120" localSheetId="3">[14]附表2材料价格表!#REF!</definedName>
    <definedName name="法兰盘φ120">[15]附表2材料价格表!#REF!</definedName>
    <definedName name="法兰盘φ90" localSheetId="0">[13]附表2材料价格表!#REF!</definedName>
    <definedName name="法兰盘φ90" localSheetId="2">[13]附表2材料价格表!#REF!</definedName>
    <definedName name="法兰盘φ90" localSheetId="3">[14]附表2材料价格表!#REF!</definedName>
    <definedName name="法兰盘φ90">[15]附表2材料价格表!#REF!</definedName>
    <definedName name="放空管φ150×1500" localSheetId="0">[13]附表2材料价格表!#REF!</definedName>
    <definedName name="放空管φ150×1500" localSheetId="2">[13]附表2材料价格表!#REF!</definedName>
    <definedName name="放空管φ150×1500" localSheetId="3">[14]附表2材料价格表!#REF!</definedName>
    <definedName name="放空管φ150×1500">[15]附表2材料价格表!#REF!</definedName>
    <definedName name="分土方1" localSheetId="3">#REF!</definedName>
    <definedName name="分土方1">#REF!</definedName>
    <definedName name="风" localSheetId="0">[55]次材!$D$3</definedName>
    <definedName name="风" localSheetId="2">[55]次材!$D$3</definedName>
    <definedName name="风" localSheetId="24">[55]次材!$D$3</definedName>
    <definedName name="风" localSheetId="3">[56]次材!$D$3</definedName>
    <definedName name="风">[57]次材!$D$3</definedName>
    <definedName name="风砂水枪" localSheetId="0">#REF!</definedName>
    <definedName name="风砂水枪" localSheetId="2">#REF!</definedName>
    <definedName name="风砂水枪" localSheetId="24">#REF!</definedName>
    <definedName name="风砂水枪" localSheetId="3">[128]附表3机械台班计算表!$K$36</definedName>
    <definedName name="风砂水枪">[129]附表3机械台班计算表!$K$36</definedName>
    <definedName name="风水枪" localSheetId="0">[13]附表3机械台班!#REF!</definedName>
    <definedName name="风水枪" localSheetId="2">[13]附表3机械台班!#REF!</definedName>
    <definedName name="风水枪" localSheetId="3">[14]附表3机械台班!#REF!</definedName>
    <definedName name="风水枪">[15]附表3机械台班!#REF!</definedName>
    <definedName name="风水抢" localSheetId="0">[55]台班!$C$23</definedName>
    <definedName name="风水抢" localSheetId="2">[55]台班!$C$23</definedName>
    <definedName name="风水抢" localSheetId="24">[55]台班!$C$23</definedName>
    <definedName name="风水抢" localSheetId="3">[56]台班!$C$23</definedName>
    <definedName name="风水抢">[57]台班!$C$23</definedName>
    <definedName name="封井泥球" localSheetId="0">[13]附表2材料价格表!#REF!</definedName>
    <definedName name="封井泥球" localSheetId="2">[13]附表2材料价格表!#REF!</definedName>
    <definedName name="封井泥球" localSheetId="3">[14]附表2材料价格表!#REF!</definedName>
    <definedName name="封井泥球">[15]附表2材料价格表!#REF!</definedName>
    <definedName name="浮力塞" localSheetId="0">[13]附表2材料价格表!#REF!</definedName>
    <definedName name="浮力塞" localSheetId="2">[13]附表2材料价格表!#REF!</definedName>
    <definedName name="浮力塞" localSheetId="3">[14]附表2材料价格表!#REF!</definedName>
    <definedName name="浮力塞">[15]附表2材料价格表!#REF!</definedName>
    <definedName name="复合土工膜" localSheetId="0">[13]附表2材料价格表!#REF!</definedName>
    <definedName name="复合土工膜" localSheetId="2">[13]附表2材料价格表!#REF!</definedName>
    <definedName name="复合土工膜" localSheetId="3">[14]附表2材料价格表!#REF!</definedName>
    <definedName name="复合土工膜">[15]附表2材料价格表!#REF!</definedName>
    <definedName name="杆顶帽_帽_11" localSheetId="0">[13]附表2材料价格表!#REF!</definedName>
    <definedName name="杆顶帽_帽_11" localSheetId="2">[13]附表2材料价格表!#REF!</definedName>
    <definedName name="杆顶帽_帽_11" localSheetId="3">[14]附表2材料价格表!#REF!</definedName>
    <definedName name="杆顶帽_帽_11">[15]附表2材料价格表!#REF!</definedName>
    <definedName name="杆顶帽_帽_3" localSheetId="0">[13]附表2材料价格表!#REF!</definedName>
    <definedName name="杆顶帽_帽_3" localSheetId="2">[13]附表2材料价格表!#REF!</definedName>
    <definedName name="杆顶帽_帽_3" localSheetId="3">[14]附表2材料价格表!#REF!</definedName>
    <definedName name="杆顶帽_帽_3">[15]附表2材料价格表!#REF!</definedName>
    <definedName name="干沟护坡" localSheetId="0">'[79]估算表-干沟、支干沟'!$M$7</definedName>
    <definedName name="干沟护坡" localSheetId="2">'[79]估算表-干沟、支干沟'!$M$7</definedName>
    <definedName name="干沟护坡" localSheetId="24">'[79]估算表-干沟、支干沟'!$M$7</definedName>
    <definedName name="干沟护坡" localSheetId="3">'[80]估算表-干沟、支干沟'!$M$7</definedName>
    <definedName name="干沟护坡">'[81]估算表-干沟、支干沟'!$M$7</definedName>
    <definedName name="干沟清淤" localSheetId="0">'[79]估算表-干沟、支干沟'!$M$6</definedName>
    <definedName name="干沟清淤" localSheetId="2">'[79]估算表-干沟、支干沟'!$M$6</definedName>
    <definedName name="干沟清淤" localSheetId="24">'[79]估算表-干沟、支干沟'!$M$6</definedName>
    <definedName name="干沟清淤" localSheetId="3">'[80]估算表-干沟、支干沟'!$M$6</definedName>
    <definedName name="干沟清淤">'[81]估算表-干沟、支干沟'!$M$6</definedName>
    <definedName name="干沟尾水" localSheetId="0">'[79]估算表-干沟、支干沟'!$M$8</definedName>
    <definedName name="干沟尾水" localSheetId="2">'[79]估算表-干沟、支干沟'!$M$8</definedName>
    <definedName name="干沟尾水" localSheetId="24">'[79]估算表-干沟、支干沟'!$M$8</definedName>
    <definedName name="干沟尾水" localSheetId="3">'[80]估算表-干沟、支干沟'!$M$8</definedName>
    <definedName name="干沟尾水">'[81]估算表-干沟、支干沟'!$M$8</definedName>
    <definedName name="钢板" localSheetId="0">[55]次材!$D$17</definedName>
    <definedName name="钢板" localSheetId="2">[55]次材!$D$17</definedName>
    <definedName name="钢板" localSheetId="24">[55]次材!$D$17</definedName>
    <definedName name="钢板" localSheetId="3">[56]次材!$D$17</definedName>
    <definedName name="钢板">[57]次材!$D$17</definedName>
    <definedName name="钢板4mm" localSheetId="0">[13]附表2材料价格表!#REF!</definedName>
    <definedName name="钢板4mm" localSheetId="2">[13]附表2材料价格表!#REF!</definedName>
    <definedName name="钢板4mm" localSheetId="3">[14]附表2材料价格表!#REF!</definedName>
    <definedName name="钢板4mm">[15]附表2材料价格表!#REF!</definedName>
    <definedName name="钢材" localSheetId="0">[13]附表2材料价格表!#REF!</definedName>
    <definedName name="钢材" localSheetId="2">[13]附表2材料价格表!#REF!</definedName>
    <definedName name="钢材" localSheetId="3">[14]附表2材料价格表!#REF!</definedName>
    <definedName name="钢材">[15]附表2材料价格表!#REF!</definedName>
    <definedName name="钢垫板" localSheetId="0">[51]附表2材料价格计算表!#REF!</definedName>
    <definedName name="钢垫板" localSheetId="2">[51]附表2材料价格计算表!#REF!</definedName>
    <definedName name="钢垫板" localSheetId="3">[52]附表2材料价格计算表!#REF!</definedName>
    <definedName name="钢垫板">[54]附表2材料价格计算表!#REF!</definedName>
    <definedName name="钢管" localSheetId="0">[13]附表2材料价格表!#REF!</definedName>
    <definedName name="钢管" localSheetId="2">[13]附表2材料价格表!#REF!</definedName>
    <definedName name="钢管" localSheetId="3">[14]附表2材料价格表!#REF!</definedName>
    <definedName name="钢管">[15]附表2材料价格表!#REF!</definedName>
    <definedName name="钢管200" localSheetId="3">[19]附表2!#REF!</definedName>
    <definedName name="钢管200">[20]附表2!#REF!</definedName>
    <definedName name="钢管250" localSheetId="24">'[120]附表 2－1 材料价格'!$L$150</definedName>
    <definedName name="钢管250" localSheetId="3">[19]附表2!#REF!</definedName>
    <definedName name="钢管250">[20]附表2!#REF!</definedName>
    <definedName name="钢管300" localSheetId="3">[19]附表2!#REF!</definedName>
    <definedName name="钢管300">[20]附表2!#REF!</definedName>
    <definedName name="钢管φ120" localSheetId="0">[13]附表2材料价格表!#REF!</definedName>
    <definedName name="钢管φ120" localSheetId="2">[13]附表2材料价格表!#REF!</definedName>
    <definedName name="钢管φ120" localSheetId="3">[14]附表2材料价格表!#REF!</definedName>
    <definedName name="钢管φ120">[15]附表2材料价格表!#REF!</definedName>
    <definedName name="钢管φ140" localSheetId="0">[13]附表2材料价格表!#REF!</definedName>
    <definedName name="钢管φ140" localSheetId="2">[13]附表2材料价格表!#REF!</definedName>
    <definedName name="钢管φ140" localSheetId="3">[14]附表2材料价格表!#REF!</definedName>
    <definedName name="钢管φ140">[15]附表2材料价格表!#REF!</definedName>
    <definedName name="钢管φ160" localSheetId="0">[13]附表2材料价格表!#REF!</definedName>
    <definedName name="钢管φ160" localSheetId="2">[13]附表2材料价格表!#REF!</definedName>
    <definedName name="钢管φ160" localSheetId="3">[14]附表2材料价格表!#REF!</definedName>
    <definedName name="钢管φ160">[15]附表2材料价格表!#REF!</definedName>
    <definedName name="钢绞拉线GJ_35" localSheetId="0">[13]附表2材料价格表!#REF!</definedName>
    <definedName name="钢绞拉线GJ_35" localSheetId="2">[13]附表2材料价格表!#REF!</definedName>
    <definedName name="钢绞拉线GJ_35" localSheetId="3">[14]附表2材料价格表!#REF!</definedName>
    <definedName name="钢绞拉线GJ_35">[15]附表2材料价格表!#REF!</definedName>
    <definedName name="钢绞线GJ_25" localSheetId="0">[13]附表2材料价格表!#REF!</definedName>
    <definedName name="钢绞线GJ_25" localSheetId="2">[13]附表2材料价格表!#REF!</definedName>
    <definedName name="钢绞线GJ_25" localSheetId="3">[14]附表2材料价格表!#REF!</definedName>
    <definedName name="钢绞线GJ_25">[15]附表2材料价格表!#REF!</definedName>
    <definedName name="钢绞线GJ_35" localSheetId="0">[13]附表2材料价格表!#REF!</definedName>
    <definedName name="钢绞线GJ_35" localSheetId="2">[13]附表2材料价格表!#REF!</definedName>
    <definedName name="钢绞线GJ_35" localSheetId="3">[14]附表2材料价格表!#REF!</definedName>
    <definedName name="钢绞线GJ_35">[15]附表2材料价格表!#REF!</definedName>
    <definedName name="钢绞线GJ_35kg" localSheetId="0">[13]附表2材料价格表!#REF!</definedName>
    <definedName name="钢绞线GJ_35kg" localSheetId="2">[13]附表2材料价格表!#REF!</definedName>
    <definedName name="钢绞线GJ_35kg" localSheetId="3">[14]附表2材料价格表!#REF!</definedName>
    <definedName name="钢绞线GJ_35kg">[15]附表2材料价格表!#REF!</definedName>
    <definedName name="钢筋" localSheetId="0">#REF!</definedName>
    <definedName name="钢筋" localSheetId="2">#REF!</definedName>
    <definedName name="钢筋" localSheetId="24">#REF!</definedName>
    <definedName name="钢筋" localSheetId="3">#REF!</definedName>
    <definedName name="钢筋">#REF!</definedName>
    <definedName name="钢筋1" localSheetId="0">[130]材料调差!$L$5</definedName>
    <definedName name="钢筋1" localSheetId="2">[130]材料调差!$L$5</definedName>
    <definedName name="钢筋1" localSheetId="24">[130]材料调差!$L$5</definedName>
    <definedName name="钢筋1" localSheetId="3">[131]材料调差!$L$5</definedName>
    <definedName name="钢筋1">[132]材料调差!$L$5</definedName>
    <definedName name="钢筋10上" localSheetId="0">'[133]附表2-1主材'!$L$7</definedName>
    <definedName name="钢筋10上" localSheetId="2">'[133]附表2-1主材'!$L$7</definedName>
    <definedName name="钢筋10上" localSheetId="24">'[66]附表2-1主材'!$L$7</definedName>
    <definedName name="钢筋10上" localSheetId="3">'[134]附表2-1主材'!$L$7</definedName>
    <definedName name="钢筋10上">'[135]附表2-1主材'!$L$7</definedName>
    <definedName name="钢筋10下" localSheetId="0">'[133]附表2-1主材'!$L$6</definedName>
    <definedName name="钢筋10下" localSheetId="2">'[133]附表2-1主材'!$L$6</definedName>
    <definedName name="钢筋10下" localSheetId="24">'[66]附表2-1主材'!$L$6</definedName>
    <definedName name="钢筋10下" localSheetId="3">'[134]附表2-1主材'!$L$6</definedName>
    <definedName name="钢筋10下">'[135]附表2-1主材'!$L$6</definedName>
    <definedName name="钢筋10以内" localSheetId="0">[13]附表2材料价格表!#REF!</definedName>
    <definedName name="钢筋10以内" localSheetId="2">[13]附表2材料价格表!#REF!</definedName>
    <definedName name="钢筋10以内" localSheetId="3">[14]附表2材料价格表!#REF!</definedName>
    <definedName name="钢筋10以内">[15]附表2材料价格表!#REF!</definedName>
    <definedName name="钢筋10以上价差" localSheetId="0">[55]主材!$P$6</definedName>
    <definedName name="钢筋10以上价差" localSheetId="2">[55]主材!$P$6</definedName>
    <definedName name="钢筋10以上价差" localSheetId="24">[55]主材!$P$6</definedName>
    <definedName name="钢筋10以上价差" localSheetId="3">[56]主材!$P$6</definedName>
    <definedName name="钢筋10以上价差">[57]主材!$P$6</definedName>
    <definedName name="钢筋10以外" localSheetId="0">[13]附表2材料价格表!#REF!</definedName>
    <definedName name="钢筋10以外" localSheetId="2">[13]附表2材料价格表!#REF!</definedName>
    <definedName name="钢筋10以外" localSheetId="3">[14]附表2材料价格表!#REF!</definedName>
    <definedName name="钢筋10以外">[15]附表2材料价格表!#REF!</definedName>
    <definedName name="钢筋φ12" localSheetId="0">[13]附表2材料价格表!#REF!</definedName>
    <definedName name="钢筋φ12" localSheetId="2">[13]附表2材料价格表!#REF!</definedName>
    <definedName name="钢筋φ12" localSheetId="3">[14]附表2材料价格表!#REF!</definedName>
    <definedName name="钢筋φ12">[15]附表2材料价格表!#REF!</definedName>
    <definedName name="钢筋φ16" localSheetId="0">[13]附表2材料价格表!#REF!</definedName>
    <definedName name="钢筋φ16" localSheetId="2">[13]附表2材料价格表!#REF!</definedName>
    <definedName name="钢筋φ16" localSheetId="3">[14]附表2材料价格表!#REF!</definedName>
    <definedName name="钢筋φ16">[15]附表2材料价格表!#REF!</definedName>
    <definedName name="钢筋φ8" localSheetId="0">[13]附表2材料价格表!#REF!</definedName>
    <definedName name="钢筋φ8" localSheetId="2">[13]附表2材料价格表!#REF!</definedName>
    <definedName name="钢筋φ8" localSheetId="3">[14]附表2材料价格表!#REF!</definedName>
    <definedName name="钢筋φ8">[15]附表2材料价格表!#REF!</definedName>
    <definedName name="钢筋调直机14kw" localSheetId="0">#REF!</definedName>
    <definedName name="钢筋调直机14kw" localSheetId="2">#REF!</definedName>
    <definedName name="钢筋调直机14kw" localSheetId="24">#REF!</definedName>
    <definedName name="钢筋调直机14kw" localSheetId="3">#REF!</definedName>
    <definedName name="钢筋调直机14kw">#REF!</definedName>
    <definedName name="钢筋调直机4" localSheetId="0">[55]台班!$C$52</definedName>
    <definedName name="钢筋调直机4" localSheetId="2">[55]台班!$C$52</definedName>
    <definedName name="钢筋调直机4" localSheetId="24">[55]台班!$C$52</definedName>
    <definedName name="钢筋调直机4" localSheetId="3">[56]台班!$C$52</definedName>
    <definedName name="钢筋调直机4">[57]台班!$C$52</definedName>
    <definedName name="钢筋切断机10kw" localSheetId="0">#REF!</definedName>
    <definedName name="钢筋切断机10kw" localSheetId="2">#REF!</definedName>
    <definedName name="钢筋切断机10kw" localSheetId="24">#REF!</definedName>
    <definedName name="钢筋切断机10kw" localSheetId="3">#REF!</definedName>
    <definedName name="钢筋切断机10kw">#REF!</definedName>
    <definedName name="钢筋切断机20" localSheetId="0">[55]台班!$C$53</definedName>
    <definedName name="钢筋切断机20" localSheetId="2">[55]台班!$C$53</definedName>
    <definedName name="钢筋切断机20" localSheetId="24">[55]台班!$C$53</definedName>
    <definedName name="钢筋切断机20" localSheetId="3">[56]台班!$C$53</definedName>
    <definedName name="钢筋切断机20">[57]台班!$C$53</definedName>
    <definedName name="钢筋切断机20kw" localSheetId="0">[13]附表3机械台班!#REF!</definedName>
    <definedName name="钢筋切断机20kw" localSheetId="2">[13]附表3机械台班!#REF!</definedName>
    <definedName name="钢筋切断机20kw" localSheetId="3">[14]附表3机械台班!#REF!</definedName>
    <definedName name="钢筋切断机20kw">[15]附表3机械台班!#REF!</definedName>
    <definedName name="钢筋砼C20管" localSheetId="0">[13]附表2材料价格表!#REF!</definedName>
    <definedName name="钢筋砼C20管" localSheetId="2">[13]附表2材料价格表!#REF!</definedName>
    <definedName name="钢筋砼C20管" localSheetId="3">[14]附表2材料价格表!#REF!</definedName>
    <definedName name="钢筋砼C20管">[15]附表2材料价格表!#REF!</definedName>
    <definedName name="钢筋砼C20管_DN600" localSheetId="0">[13]附表2材料价格表!#REF!</definedName>
    <definedName name="钢筋砼C20管_DN600" localSheetId="2">[13]附表2材料价格表!#REF!</definedName>
    <definedName name="钢筋砼C20管_DN600" localSheetId="3">[14]附表2材料价格表!#REF!</definedName>
    <definedName name="钢筋砼C20管_DN600">[15]附表2材料价格表!#REF!</definedName>
    <definedName name="钢筋砼管1000" localSheetId="0">[55]次材!$D$31</definedName>
    <definedName name="钢筋砼管1000" localSheetId="2">[55]次材!$D$31</definedName>
    <definedName name="钢筋砼管1000" localSheetId="24">[55]次材!$D$31</definedName>
    <definedName name="钢筋砼管1000" localSheetId="3">[56]次材!$D$31</definedName>
    <definedName name="钢筋砼管1000">[57]次材!$D$31</definedName>
    <definedName name="钢筋砼管300" localSheetId="0">[55]次材!$D$25</definedName>
    <definedName name="钢筋砼管300" localSheetId="2">[55]次材!$D$25</definedName>
    <definedName name="钢筋砼管300" localSheetId="24">[55]次材!$D$25</definedName>
    <definedName name="钢筋砼管300" localSheetId="3">[56]次材!$D$25</definedName>
    <definedName name="钢筋砼管300">[57]次材!$D$25</definedName>
    <definedName name="钢筋砼管400" localSheetId="0">[55]次材!$D$26</definedName>
    <definedName name="钢筋砼管400" localSheetId="2">[55]次材!$D$26</definedName>
    <definedName name="钢筋砼管400" localSheetId="24">[55]次材!$D$26</definedName>
    <definedName name="钢筋砼管400" localSheetId="3">[56]次材!$D$26</definedName>
    <definedName name="钢筋砼管400">[57]次材!$D$26</definedName>
    <definedName name="钢筋砼管500" localSheetId="0">[82]次要材料预算价格!#REF!</definedName>
    <definedName name="钢筋砼管500" localSheetId="2">[82]次要材料预算价格!#REF!</definedName>
    <definedName name="钢筋砼管500" localSheetId="3">[2]次要材料预算价格!#REF!</definedName>
    <definedName name="钢筋砼管500">[3]次要材料预算价格!#REF!</definedName>
    <definedName name="钢筋砼管600" localSheetId="0">[55]次材!$D$28</definedName>
    <definedName name="钢筋砼管600" localSheetId="2">[55]次材!$D$28</definedName>
    <definedName name="钢筋砼管600" localSheetId="24">[55]次材!$D$28</definedName>
    <definedName name="钢筋砼管600" localSheetId="3">[56]次材!$D$28</definedName>
    <definedName name="钢筋砼管600">[57]次材!$D$28</definedName>
    <definedName name="钢筋砼管800" localSheetId="0">[55]次材!$D$29</definedName>
    <definedName name="钢筋砼管800" localSheetId="2">[55]次材!$D$29</definedName>
    <definedName name="钢筋砼管800" localSheetId="24">[55]次材!$D$29</definedName>
    <definedName name="钢筋砼管800" localSheetId="3">[56]次材!$D$29</definedName>
    <definedName name="钢筋砼管800">[57]次材!$D$29</definedName>
    <definedName name="钢筋砼管C25Φ1000" localSheetId="0">[117]附表2材料价格计算表!$D$43</definedName>
    <definedName name="钢筋砼管C25Φ1000" localSheetId="2">[117]附表2材料价格计算表!$D$43</definedName>
    <definedName name="钢筋砼管C25Φ1000" localSheetId="24">[117]附表2材料价格计算表!$D$43</definedName>
    <definedName name="钢筋砼管C25Φ1000" localSheetId="3">[118]附表2材料价格计算表!$D$43</definedName>
    <definedName name="钢筋砼管C25Φ1000">[119]附表2材料价格计算表!$D$43</definedName>
    <definedName name="钢筋砼管C25Φ400" localSheetId="0">[111]材价汇!$D$40</definedName>
    <definedName name="钢筋砼管C25Φ400" localSheetId="2">[111]材价汇!$D$40</definedName>
    <definedName name="钢筋砼管C25Φ400" localSheetId="24">[111]材价汇!$D$40</definedName>
    <definedName name="钢筋砼管C25Φ400" localSheetId="3">[112]材价汇!$D$40</definedName>
    <definedName name="钢筋砼管C25Φ400">[113]材价汇!$D$40</definedName>
    <definedName name="钢筋砼管C25Φ500" localSheetId="0">[111]材价汇!$D$41</definedName>
    <definedName name="钢筋砼管C25Φ500" localSheetId="2">[111]材价汇!$D$41</definedName>
    <definedName name="钢筋砼管C25Φ500" localSheetId="24">[111]材价汇!$D$41</definedName>
    <definedName name="钢筋砼管C25Φ500" localSheetId="3">[112]材价汇!$D$41</definedName>
    <definedName name="钢筋砼管C25Φ500">[113]材价汇!$D$41</definedName>
    <definedName name="钢筋砼管C25Φ600" localSheetId="0">[51]附表2材料价格计算表!#REF!</definedName>
    <definedName name="钢筋砼管C25Φ600" localSheetId="2">[51]附表2材料价格计算表!#REF!</definedName>
    <definedName name="钢筋砼管C25Φ600" localSheetId="3">[52]附表2材料价格计算表!#REF!</definedName>
    <definedName name="钢筋砼管C25Φ600">[54]附表2材料价格计算表!#REF!</definedName>
    <definedName name="钢筋砼管C25Φ800" localSheetId="0">[111]材价汇!$D$42</definedName>
    <definedName name="钢筋砼管C25Φ800" localSheetId="2">[111]材价汇!$D$42</definedName>
    <definedName name="钢筋砼管C25Φ800" localSheetId="24">[111]材价汇!$D$42</definedName>
    <definedName name="钢筋砼管C25Φ800" localSheetId="3">[112]材价汇!$D$42</definedName>
    <definedName name="钢筋砼管C25Φ800">[113]材价汇!$D$42</definedName>
    <definedName name="钢筋弯曲机40mm" localSheetId="0">#REF!</definedName>
    <definedName name="钢筋弯曲机40mm" localSheetId="2">#REF!</definedName>
    <definedName name="钢筋弯曲机40mm" localSheetId="24">#REF!</definedName>
    <definedName name="钢筋弯曲机40mm" localSheetId="3">#REF!</definedName>
    <definedName name="钢筋弯曲机40mm">#REF!</definedName>
    <definedName name="钢筋弯曲机6" localSheetId="0">[55]台班!$C$54</definedName>
    <definedName name="钢筋弯曲机6" localSheetId="2">[55]台班!$C$54</definedName>
    <definedName name="钢筋弯曲机6" localSheetId="24">[55]台班!$C$54</definedName>
    <definedName name="钢筋弯曲机6" localSheetId="3">[56]台班!$C$54</definedName>
    <definedName name="钢筋弯曲机6">[57]台班!$C$54</definedName>
    <definedName name="钢筋弯曲机φ6_40" localSheetId="0">[13]附表3机械台班!#REF!</definedName>
    <definedName name="钢筋弯曲机φ6_40" localSheetId="2">[13]附表3机械台班!#REF!</definedName>
    <definedName name="钢筋弯曲机φ6_40" localSheetId="3">[14]附表3机械台班!#REF!</definedName>
    <definedName name="钢筋弯曲机φ6_40">[15]附表3机械台班!#REF!</definedName>
    <definedName name="钢模板" localSheetId="0">[13]附表2材料价格表!#REF!</definedName>
    <definedName name="钢模板" localSheetId="2">[13]附表2材料价格表!#REF!</definedName>
    <definedName name="钢模板" localSheetId="3">[14]附表2材料价格表!#REF!</definedName>
    <definedName name="钢模板">[15]附表2材料价格表!#REF!</definedName>
    <definedName name="钢芯铝绞线LGJ_50_8" localSheetId="0">[13]附表2材料价格表!#REF!</definedName>
    <definedName name="钢芯铝绞线LGJ_50_8" localSheetId="2">[13]附表2材料价格表!#REF!</definedName>
    <definedName name="钢芯铝绞线LGJ_50_8" localSheetId="3">[14]附表2材料价格表!#REF!</definedName>
    <definedName name="钢芯铝绞线LGJ_50_8">[15]附表2材料价格表!#REF!</definedName>
    <definedName name="高">#N/A</definedName>
    <definedName name="给水栓" localSheetId="0">[13]附表2材料价格表!#REF!</definedName>
    <definedName name="给水栓" localSheetId="2">[13]附表2材料价格表!#REF!</definedName>
    <definedName name="给水栓" localSheetId="3">[14]附表2材料价格表!#REF!</definedName>
    <definedName name="给水栓">[15]附表2材料价格表!#REF!</definedName>
    <definedName name="给水栓三通Dg160×60" localSheetId="0">[13]附表2材料价格表!#REF!</definedName>
    <definedName name="给水栓三通Dg160×60" localSheetId="2">[13]附表2材料价格表!#REF!</definedName>
    <definedName name="给水栓三通Dg160×60" localSheetId="3">[14]附表2材料价格表!#REF!</definedName>
    <definedName name="给水栓三通Dg160×60">[15]附表2材料价格表!#REF!</definedName>
    <definedName name="给水栓三通Dg180×60" localSheetId="0">[13]附表2材料价格表!#REF!</definedName>
    <definedName name="给水栓三通Dg180×60" localSheetId="2">[13]附表2材料价格表!#REF!</definedName>
    <definedName name="给水栓三通Dg180×60" localSheetId="3">[14]附表2材料价格表!#REF!</definedName>
    <definedName name="给水栓三通Dg180×60">[15]附表2材料价格表!#REF!</definedName>
    <definedName name="给水栓三通Dg90×60" localSheetId="0">[13]附表2材料价格表!#REF!</definedName>
    <definedName name="给水栓三通Dg90×60" localSheetId="2">[13]附表2材料价格表!#REF!</definedName>
    <definedName name="给水栓三通Dg90×60" localSheetId="3">[14]附表2材料价格表!#REF!</definedName>
    <definedName name="给水栓三通Dg90×60">[15]附表2材料价格表!#REF!</definedName>
    <definedName name="工" localSheetId="0">#REF!</definedName>
    <definedName name="工" localSheetId="2">#REF!</definedName>
    <definedName name="工" localSheetId="24">#REF!</definedName>
    <definedName name="工" localSheetId="3">#REF!</definedName>
    <definedName name="工">#REF!</definedName>
    <definedName name="工100002" localSheetId="0">[55]单价分析表!#REF!</definedName>
    <definedName name="工100002" localSheetId="2">[55]单价分析表!#REF!</definedName>
    <definedName name="工100002" localSheetId="3">[19]附表4单价!#REF!</definedName>
    <definedName name="工100002">[20]附表4单价!#REF!</definedName>
    <definedName name="工100009" localSheetId="0">[55]单价分析表!#REF!</definedName>
    <definedName name="工100009" localSheetId="2">[55]单价分析表!#REF!</definedName>
    <definedName name="工100009" localSheetId="3">[56]单价分析表!#REF!</definedName>
    <definedName name="工100009">[57]单价分析表!#REF!</definedName>
    <definedName name="工10001" localSheetId="0">[55]单价分析表!#REF!</definedName>
    <definedName name="工10001" localSheetId="2">[55]单价分析表!#REF!</definedName>
    <definedName name="工10001" localSheetId="3">[56]单价分析表!#REF!</definedName>
    <definedName name="工10001">[57]单价分析表!#REF!</definedName>
    <definedName name="工100010" localSheetId="0">[55]单价分析表!#REF!</definedName>
    <definedName name="工100010" localSheetId="2">[55]单价分析表!#REF!</definedName>
    <definedName name="工100010" localSheetId="3">[56]单价分析表!#REF!</definedName>
    <definedName name="工100010">[57]单价分析表!#REF!</definedName>
    <definedName name="工100023" localSheetId="24">[21]附表4直接工程费单价表!$F$2268</definedName>
    <definedName name="工100023">[22]附表4直接工程费单价表!$F$2268</definedName>
    <definedName name="工10004" localSheetId="0">[55]单价分析表!#REF!</definedName>
    <definedName name="工10004" localSheetId="2">[55]单价分析表!#REF!</definedName>
    <definedName name="工10004" localSheetId="3">[56]单价分析表!#REF!</definedName>
    <definedName name="工10004">[57]单价分析表!#REF!</definedName>
    <definedName name="工1001">[136]单价宁夏新!$F$20</definedName>
    <definedName name="工10013">[136]单价宁夏新!$F$2007</definedName>
    <definedName name="工10015" localSheetId="24">[137]单价宁夏新!$F$1980</definedName>
    <definedName name="工10015">[138]单价宁夏新!$F$1980</definedName>
    <definedName name="工10015a">[136]单价宁夏新!$F$2048</definedName>
    <definedName name="工10017" localSheetId="0">[55]单价分析表!#REF!</definedName>
    <definedName name="工10017" localSheetId="2">[55]单价分析表!#REF!</definedName>
    <definedName name="工10017" localSheetId="3">[56]单价分析表!#REF!</definedName>
    <definedName name="工10017">[57]单价分析表!#REF!</definedName>
    <definedName name="工10019">[136]单价宁夏新!$F$2095</definedName>
    <definedName name="工10020" localSheetId="0">[55]单价分析表!$F$14</definedName>
    <definedName name="工10020" localSheetId="2">[55]单价分析表!$F$14</definedName>
    <definedName name="工10020" localSheetId="24">[55]单价分析表!$F$14</definedName>
    <definedName name="工10020" localSheetId="3">[56]单价分析表!$F$14</definedName>
    <definedName name="工10020">[57]单价分析表!$F$14</definedName>
    <definedName name="工10021" localSheetId="0">[55]单价分析表!#REF!</definedName>
    <definedName name="工10021" localSheetId="2">[55]单价分析表!#REF!</definedName>
    <definedName name="工10021" localSheetId="3">[56]单价分析表!#REF!</definedName>
    <definedName name="工10021">[57]单价分析表!#REF!</definedName>
    <definedName name="工10029" localSheetId="0">[55]单价分析表!$F$28</definedName>
    <definedName name="工10029" localSheetId="2">[55]单价分析表!$F$28</definedName>
    <definedName name="工10029" localSheetId="24">[55]单价分析表!$F$28</definedName>
    <definedName name="工10029" localSheetId="3">[56]单价分析表!$F$28</definedName>
    <definedName name="工10029">[57]单价分析表!$F$28</definedName>
    <definedName name="工10041" localSheetId="0">[55]单价分析表!#REF!</definedName>
    <definedName name="工10041" localSheetId="2">[55]单价分析表!#REF!</definedName>
    <definedName name="工10041" localSheetId="3">[56]单价分析表!#REF!</definedName>
    <definedName name="工10041">[57]单价分析表!#REF!</definedName>
    <definedName name="工10042" localSheetId="0">[51]附表4直接工程费单价表!#REF!</definedName>
    <definedName name="工10042" localSheetId="2">[51]附表4直接工程费单价表!#REF!</definedName>
    <definedName name="工10042" localSheetId="3">[78]附表4直接工程费单价表!#REF!</definedName>
    <definedName name="工10042">[53]附表4直接工程费单价表!#REF!</definedName>
    <definedName name="工10043" localSheetId="0">[51]附表4直接工程费单价表!#REF!</definedName>
    <definedName name="工10043" localSheetId="2">[51]附表4直接工程费单价表!#REF!</definedName>
    <definedName name="工10043" localSheetId="3">[78]附表4直接工程费单价表!#REF!</definedName>
    <definedName name="工10043">[53]附表4直接工程费单价表!#REF!</definedName>
    <definedName name="工10077">[136]单价宁夏新!$F$2129</definedName>
    <definedName name="工1016">[136]单价宁夏新!$F$39</definedName>
    <definedName name="工1017">[136]单价宁夏新!$F$58</definedName>
    <definedName name="工1019">[136]单价宁夏新!$F$99</definedName>
    <definedName name="工10196">[136]单价宁夏新!$F$1626</definedName>
    <definedName name="工10203" localSheetId="0">[55]单价分析表!$F$94</definedName>
    <definedName name="工10203" localSheetId="2">[55]单价分析表!$F$94</definedName>
    <definedName name="工10203" localSheetId="24">[55]单价分析表!$F$94</definedName>
    <definedName name="工10203" localSheetId="3">[56]单价分析表!$F$94</definedName>
    <definedName name="工10203">[57]单价分析表!$F$94</definedName>
    <definedName name="工10218" localSheetId="0">[55]单价分析表!$F$114</definedName>
    <definedName name="工10218" localSheetId="2">[55]单价分析表!$F$114</definedName>
    <definedName name="工10218" localSheetId="24">[55]单价分析表!$F$114</definedName>
    <definedName name="工10218" localSheetId="3">[56]单价分析表!$F$114</definedName>
    <definedName name="工10218">[57]单价分析表!$F$114</definedName>
    <definedName name="工10223" localSheetId="24">[9]单价分析!$F$1819</definedName>
    <definedName name="工10223">[139]单价分析!$F$1819</definedName>
    <definedName name="工10257" localSheetId="0">[55]单价分析表!#REF!</definedName>
    <definedName name="工10257" localSheetId="2">[55]单价分析表!#REF!</definedName>
    <definedName name="工10257" localSheetId="3">[56]单价分析表!#REF!</definedName>
    <definedName name="工10257">[57]单价分析表!#REF!</definedName>
    <definedName name="工10258" localSheetId="0">[55]单价分析表!#REF!</definedName>
    <definedName name="工10258" localSheetId="2">[55]单价分析表!#REF!</definedName>
    <definedName name="工10258" localSheetId="3">[56]单价分析表!#REF!</definedName>
    <definedName name="工10258">[57]单价分析表!#REF!</definedName>
    <definedName name="工10259" localSheetId="0">[55]单价分析表!#REF!</definedName>
    <definedName name="工10259" localSheetId="2">[55]单价分析表!#REF!</definedName>
    <definedName name="工10259" localSheetId="3">[56]单价分析表!#REF!</definedName>
    <definedName name="工10259">[57]单价分析表!#REF!</definedName>
    <definedName name="工10269" localSheetId="0">[51]附表4直接工程费单价表!#REF!</definedName>
    <definedName name="工10269" localSheetId="2">[51]附表4直接工程费单价表!#REF!</definedName>
    <definedName name="工10269" localSheetId="3">[78]附表4直接工程费单价表!#REF!</definedName>
    <definedName name="工10269">[53]附表4直接工程费单价表!#REF!</definedName>
    <definedName name="工10278" localSheetId="0">[55]单价分析表!#REF!</definedName>
    <definedName name="工10278" localSheetId="2">[55]单价分析表!#REF!</definedName>
    <definedName name="工10278" localSheetId="3">[56]单价分析表!#REF!</definedName>
    <definedName name="工10278">[57]单价分析表!#REF!</definedName>
    <definedName name="工10302" localSheetId="0">[55]单价分析表!$F$131</definedName>
    <definedName name="工10302" localSheetId="2">[55]单价分析表!$F$131</definedName>
    <definedName name="工10302" localSheetId="24">[55]单价分析表!$F$131</definedName>
    <definedName name="工10302" localSheetId="3">[56]单价分析表!$F$131</definedName>
    <definedName name="工10302">[57]单价分析表!$F$131</definedName>
    <definedName name="工10305" localSheetId="0">[55]单价分析表!$F$183</definedName>
    <definedName name="工10305" localSheetId="2">[55]单价分析表!$F$183</definedName>
    <definedName name="工10305" localSheetId="24">[55]单价分析表!$F$183</definedName>
    <definedName name="工10305" localSheetId="3">[56]单价分析表!$F$183</definedName>
    <definedName name="工10305">[57]单价分析表!$F$183</definedName>
    <definedName name="工10306" localSheetId="24">[21]附表4直接工程费单价表!$F$75</definedName>
    <definedName name="工10306">[22]附表4直接工程费单价表!$F$75</definedName>
    <definedName name="工1031">[136]单价宁夏新!$F$118</definedName>
    <definedName name="工10331" localSheetId="0">[55]单价分析表!#REF!</definedName>
    <definedName name="工10331" localSheetId="2">[55]单价分析表!#REF!</definedName>
    <definedName name="工10331" localSheetId="3">[56]单价分析表!#REF!</definedName>
    <definedName name="工10331">[57]单价分析表!#REF!</definedName>
    <definedName name="工10332" localSheetId="0">[55]单价分析表!#REF!</definedName>
    <definedName name="工10332" localSheetId="2">[55]单价分析表!#REF!</definedName>
    <definedName name="工10332" localSheetId="3">[56]单价分析表!#REF!</definedName>
    <definedName name="工10332">[57]单价分析表!#REF!</definedName>
    <definedName name="工10333" localSheetId="0">[55]单价分析表!#REF!</definedName>
    <definedName name="工10333" localSheetId="2">[55]单价分析表!#REF!</definedName>
    <definedName name="工10333" localSheetId="3">[56]单价分析表!#REF!</definedName>
    <definedName name="工10333">[57]单价分析表!#REF!</definedName>
    <definedName name="工10334" localSheetId="0">[55]单价分析表!$F$249</definedName>
    <definedName name="工10334" localSheetId="2">[55]单价分析表!$F$249</definedName>
    <definedName name="工10334" localSheetId="24">[55]单价分析表!$F$249</definedName>
    <definedName name="工10334" localSheetId="3">[56]单价分析表!$F$249</definedName>
    <definedName name="工10334">[57]单价分析表!$F$249</definedName>
    <definedName name="工1034">[136]单价宁夏新!$F$142</definedName>
    <definedName name="工10343" localSheetId="0">[55]单价分析表!$F$286</definedName>
    <definedName name="工10343" localSheetId="2">[55]单价分析表!$F$286</definedName>
    <definedName name="工10343" localSheetId="24">[55]单价分析表!$F$286</definedName>
    <definedName name="工10343" localSheetId="3">[56]单价分析表!$F$286</definedName>
    <definedName name="工10343">[57]单价分析表!$F$286</definedName>
    <definedName name="工10344" localSheetId="0">[51]附表4直接工程费单价表!#REF!</definedName>
    <definedName name="工10344" localSheetId="2">[51]附表4直接工程费单价表!#REF!</definedName>
    <definedName name="工10344" localSheetId="3">[52]附表4直接工程费单价表!#REF!</definedName>
    <definedName name="工10344">[54]附表4直接工程费单价表!#REF!</definedName>
    <definedName name="工10345" localSheetId="0">[55]单价分析表!$F$307</definedName>
    <definedName name="工10345" localSheetId="2">[55]单价分析表!$F$307</definedName>
    <definedName name="工10345" localSheetId="24">[55]单价分析表!$F$307</definedName>
    <definedName name="工10345" localSheetId="3">[56]单价分析表!$F$307</definedName>
    <definedName name="工10345">[57]单价分析表!$F$307</definedName>
    <definedName name="工10364" localSheetId="0">[55]单价分析表!$F$326</definedName>
    <definedName name="工10364" localSheetId="2">[55]单价分析表!$F$326</definedName>
    <definedName name="工10364" localSheetId="24">[55]单价分析表!$F$326</definedName>
    <definedName name="工10364" localSheetId="3">[56]单价分析表!$F$326</definedName>
    <definedName name="工10364">[57]单价分析表!$F$326</definedName>
    <definedName name="工1096">[136]单价宁夏新!$F$185</definedName>
    <definedName name="工1100">[136]单价宁夏新!$F$205</definedName>
    <definedName name="工1103">[136]单价宁夏新!$F$226</definedName>
    <definedName name="工1128" localSheetId="24">[9]单价分析!$F$380</definedName>
    <definedName name="工1128">[139]单价分析!$F$380</definedName>
    <definedName name="工1130" localSheetId="24">[9]单价分析!$F$380</definedName>
    <definedName name="工1130">[139]单价分析!$F$380</definedName>
    <definedName name="工1133">[136]单价宁夏新!$F$1379</definedName>
    <definedName name="工1144">[136]单价宁夏新!$F$294</definedName>
    <definedName name="工1158">[136]单价宁夏新!$F$381</definedName>
    <definedName name="工1215">[136]单价宁夏新!$F$1701</definedName>
    <definedName name="工1225">[136]单价宁夏新!$F$252</definedName>
    <definedName name="工1237">[136]单价宁夏新!$F$317</definedName>
    <definedName name="工1238">[136]单价宁夏新!$F$163</definedName>
    <definedName name="工1246">[136]单价宁夏新!$F$82</definedName>
    <definedName name="工1259">[136]单价宁夏新!$F$273</definedName>
    <definedName name="工30003" localSheetId="0">[55]单价分析表!$F$1318</definedName>
    <definedName name="工30003" localSheetId="2">[55]单价分析表!$F$1318</definedName>
    <definedName name="工30003" localSheetId="24">[55]单价分析表!$F$1318</definedName>
    <definedName name="工30003" localSheetId="3">[56]单价分析表!$F$1318</definedName>
    <definedName name="工30003">[57]单价分析表!$F$1318</definedName>
    <definedName name="工30013" localSheetId="0">[55]单价分析表!#REF!</definedName>
    <definedName name="工30013" localSheetId="2">[55]单价分析表!#REF!</definedName>
    <definedName name="工30013" localSheetId="3">[56]单价分析表!#REF!</definedName>
    <definedName name="工30013">[57]单价分析表!#REF!</definedName>
    <definedName name="工30016" localSheetId="0">[55]单价分析表!$F$346</definedName>
    <definedName name="工30016" localSheetId="2">[55]单价分析表!$F$346</definedName>
    <definedName name="工30016" localSheetId="24">[55]单价分析表!$F$346</definedName>
    <definedName name="工30016" localSheetId="3">[56]单价分析表!$F$346</definedName>
    <definedName name="工30016">[57]单价分析表!$F$346</definedName>
    <definedName name="工30017" localSheetId="0">[55]单价分析表!#REF!</definedName>
    <definedName name="工30017" localSheetId="2">[55]单价分析表!#REF!</definedName>
    <definedName name="工30017" localSheetId="3">[19]附表4单价!$F$337</definedName>
    <definedName name="工30017">[20]附表4单价!$F$337</definedName>
    <definedName name="工30018" localSheetId="0">[55]单价分析表!$F$367</definedName>
    <definedName name="工30018" localSheetId="2">[55]单价分析表!$F$367</definedName>
    <definedName name="工30018" localSheetId="24">[55]单价分析表!$F$367</definedName>
    <definedName name="工30018" localSheetId="3">[56]单价分析表!$F$367</definedName>
    <definedName name="工30018">[57]单价分析表!$F$367</definedName>
    <definedName name="工30019" localSheetId="0">[55]单价分析表!$F$387</definedName>
    <definedName name="工30019" localSheetId="2">[55]单价分析表!$F$387</definedName>
    <definedName name="工30019" localSheetId="24">[55]单价分析表!$F$387</definedName>
    <definedName name="工30019" localSheetId="3">[56]单价分析表!$F$387</definedName>
    <definedName name="工30019">[57]单价分析表!$F$387</definedName>
    <definedName name="工30019b" localSheetId="0">[51]附表4直接工程费单价表!$F$172</definedName>
    <definedName name="工30019b" localSheetId="2">[51]附表4直接工程费单价表!$F$172</definedName>
    <definedName name="工30019b" localSheetId="24">[51]附表4直接工程费单价表!$F$172</definedName>
    <definedName name="工30019b" localSheetId="3">[78]附表4直接工程费单价表!$F$172</definedName>
    <definedName name="工30019b">[53]附表4直接工程费单价表!$F$172</definedName>
    <definedName name="工30020" localSheetId="0">[55]单价分析表!$F$408</definedName>
    <definedName name="工30020" localSheetId="2">[55]单价分析表!$F$408</definedName>
    <definedName name="工30020" localSheetId="24">[55]单价分析表!$F$408</definedName>
    <definedName name="工30020" localSheetId="3">[56]单价分析表!$F$408</definedName>
    <definedName name="工30020">[57]单价分析表!$F$408</definedName>
    <definedName name="工30021" localSheetId="0">[55]单价分析表!#REF!</definedName>
    <definedName name="工30021" localSheetId="2">[55]单价分析表!#REF!</definedName>
    <definedName name="工30021" localSheetId="3">[19]附表4单价!$F$421</definedName>
    <definedName name="工30021">[20]附表4单价!$F$421</definedName>
    <definedName name="工30021b" localSheetId="0">[51]附表4直接工程费单价表!$F$226</definedName>
    <definedName name="工30021b" localSheetId="2">[51]附表4直接工程费单价表!$F$226</definedName>
    <definedName name="工30021b" localSheetId="24">[51]附表4直接工程费单价表!$F$226</definedName>
    <definedName name="工30021b" localSheetId="3">[78]附表4直接工程费单价表!$F$226</definedName>
    <definedName name="工30021b">[53]附表4直接工程费单价表!$F$226</definedName>
    <definedName name="工30025" localSheetId="0">[55]单价分析表!#REF!</definedName>
    <definedName name="工30025" localSheetId="2">[55]单价分析表!#REF!</definedName>
    <definedName name="工30025" localSheetId="3">[56]单价分析表!#REF!</definedName>
    <definedName name="工30025">[57]单价分析表!#REF!</definedName>
    <definedName name="工30028" localSheetId="0">[51]附表4直接工程费单价表!#REF!</definedName>
    <definedName name="工30028" localSheetId="2">[51]附表4直接工程费单价表!#REF!</definedName>
    <definedName name="工30028" localSheetId="3">[78]附表4直接工程费单价表!#REF!</definedName>
    <definedName name="工30028">[53]附表4直接工程费单价表!#REF!</definedName>
    <definedName name="工3004" localSheetId="24">[9]单价分析!$F$2208</definedName>
    <definedName name="工3004">[139]单价分析!$F$2208</definedName>
    <definedName name="工30043" localSheetId="0">[55]单价分析表!#REF!</definedName>
    <definedName name="工30043" localSheetId="2">[55]单价分析表!#REF!</definedName>
    <definedName name="工30043" localSheetId="3">[56]单价分析表!#REF!</definedName>
    <definedName name="工30043">[57]单价分析表!#REF!</definedName>
    <definedName name="工30058" localSheetId="0">[55]单价分析表!#REF!</definedName>
    <definedName name="工30058" localSheetId="2">[55]单价分析表!#REF!</definedName>
    <definedName name="工30058" localSheetId="3">[19]附表4单价!$F$730</definedName>
    <definedName name="工30058">[20]附表4单价!$F$730</definedName>
    <definedName name="工30064" localSheetId="0">[51]附表4直接工程费单价表!#REF!</definedName>
    <definedName name="工30064" localSheetId="2">[51]附表4直接工程费单价表!#REF!</definedName>
    <definedName name="工30064" localSheetId="3">[78]附表4直接工程费单价表!#REF!</definedName>
    <definedName name="工30064">[53]附表4直接工程费单价表!#REF!</definedName>
    <definedName name="工30065" localSheetId="0">[55]单价分析表!#REF!</definedName>
    <definedName name="工30065" localSheetId="2">[55]单价分析表!#REF!</definedName>
    <definedName name="工30065" localSheetId="3">[19]附表4单价!$F$1560</definedName>
    <definedName name="工30065">[20]附表4单价!$F$1560</definedName>
    <definedName name="工30066" localSheetId="0">[55]单价分析表!#REF!</definedName>
    <definedName name="工30066" localSheetId="2">[55]单价分析表!#REF!</definedName>
    <definedName name="工30066" localSheetId="3">[52]附表4直接工程费单价表!$F$278</definedName>
    <definedName name="工30066">[54]附表4直接工程费单价表!$F$278</definedName>
    <definedName name="工30069" localSheetId="0">[55]单价分析表!#REF!</definedName>
    <definedName name="工30069" localSheetId="2">[55]单价分析表!#REF!</definedName>
    <definedName name="工30069" localSheetId="3">[56]单价分析表!#REF!</definedName>
    <definedName name="工30069">[57]单价分析表!#REF!</definedName>
    <definedName name="工3007" localSheetId="24">[137]单价宁夏新!$F$1953</definedName>
    <definedName name="工3007">[138]单价宁夏新!$F$1953</definedName>
    <definedName name="工30075" localSheetId="0">[55]单价分析表!#REF!</definedName>
    <definedName name="工30075" localSheetId="2">[55]单价分析表!#REF!</definedName>
    <definedName name="工30075" localSheetId="3">[56]单价分析表!#REF!</definedName>
    <definedName name="工30075">[57]单价分析表!#REF!</definedName>
    <definedName name="工3007a">[136]单价宁夏新!$F$1912</definedName>
    <definedName name="工3008">[136]单价宁夏新!$F$1679</definedName>
    <definedName name="工3017">[136]单价宁夏新!$F$410</definedName>
    <definedName name="工3018">[136]单价宁夏新!$F$439</definedName>
    <definedName name="工3019">[136]单价宁夏新!$F$496</definedName>
    <definedName name="工3020">[136]单价宁夏新!$F$468</definedName>
    <definedName name="工3021" localSheetId="24">[9]单价分析!$F$547</definedName>
    <definedName name="工3021">[139]单价分析!$F$547</definedName>
    <definedName name="工3024">[136]单价宁夏新!$F$772</definedName>
    <definedName name="工3024a" localSheetId="24">[9]单价分析!$F$794</definedName>
    <definedName name="工3024a">[139]单价分析!$F$794</definedName>
    <definedName name="工3052">[136]单价宁夏新!$F$572</definedName>
    <definedName name="工3053">[136]单价宁夏新!$F$612</definedName>
    <definedName name="工3054">[136]单价宁夏新!$F$653</definedName>
    <definedName name="工3055">[136]单价宁夏新!$F$694</definedName>
    <definedName name="工3056">[136]单价宁夏新!$F$735</definedName>
    <definedName name="工3067">[136]单价宁夏新!$F$2157</definedName>
    <definedName name="工40004" localSheetId="0">[51]附表4直接工程费单价表!#REF!</definedName>
    <definedName name="工40004" localSheetId="2">[51]附表4直接工程费单价表!#REF!</definedName>
    <definedName name="工40004" localSheetId="3">[78]附表4直接工程费单价表!#REF!</definedName>
    <definedName name="工40004">[53]附表4直接工程费单价表!#REF!</definedName>
    <definedName name="工40006" localSheetId="0">[55]单价分析表!$F$1389</definedName>
    <definedName name="工40006" localSheetId="2">[55]单价分析表!$F$1389</definedName>
    <definedName name="工40006" localSheetId="24">[55]单价分析表!$F$1389</definedName>
    <definedName name="工40006" localSheetId="3">[56]单价分析表!$F$1389</definedName>
    <definedName name="工40006">[57]单价分析表!$F$1389</definedName>
    <definedName name="工40006a" localSheetId="0">[55]单价分析表!#REF!</definedName>
    <definedName name="工40006a" localSheetId="2">[55]单价分析表!#REF!</definedName>
    <definedName name="工40006a" localSheetId="3">[56]单价分析表!#REF!</definedName>
    <definedName name="工40006a">[57]单价分析表!#REF!</definedName>
    <definedName name="工40006b" localSheetId="0">[55]单价分析表!#REF!</definedName>
    <definedName name="工40006b" localSheetId="2">[55]单价分析表!#REF!</definedName>
    <definedName name="工40006b" localSheetId="3">[56]单价分析表!#REF!</definedName>
    <definedName name="工40006b">[57]单价分析表!#REF!</definedName>
    <definedName name="工40006c" localSheetId="0">[55]单价分析表!#REF!</definedName>
    <definedName name="工40006c" localSheetId="2">[55]单价分析表!#REF!</definedName>
    <definedName name="工40006c" localSheetId="3">[56]单价分析表!#REF!</definedName>
    <definedName name="工40006c">[57]单价分析表!#REF!</definedName>
    <definedName name="工40006d" localSheetId="0">[55]单价分析表!#REF!</definedName>
    <definedName name="工40006d" localSheetId="2">[55]单价分析表!#REF!</definedName>
    <definedName name="工40006d" localSheetId="3">[56]单价分析表!#REF!</definedName>
    <definedName name="工40006d">[57]单价分析表!#REF!</definedName>
    <definedName name="工40006细石" localSheetId="0">[51]附表4直接工程费单价表!#REF!</definedName>
    <definedName name="工40006细石" localSheetId="2">[51]附表4直接工程费单价表!#REF!</definedName>
    <definedName name="工40006细石" localSheetId="3">[78]附表4直接工程费单价表!#REF!</definedName>
    <definedName name="工40006细石">[53]附表4直接工程费单价表!#REF!</definedName>
    <definedName name="工40016" localSheetId="0">[55]单价分析表!$F$1761</definedName>
    <definedName name="工40016" localSheetId="2">[55]单价分析表!$F$1761</definedName>
    <definedName name="工40016" localSheetId="24">[55]单价分析表!$F$1761</definedName>
    <definedName name="工40016" localSheetId="3">[56]单价分析表!$F$1761</definedName>
    <definedName name="工40016">[57]单价分析表!$F$1761</definedName>
    <definedName name="工40023" localSheetId="0">[55]单价分析表!$F$1355</definedName>
    <definedName name="工40023" localSheetId="2">[55]单价分析表!$F$1355</definedName>
    <definedName name="工40023" localSheetId="24">[55]单价分析表!$F$1355</definedName>
    <definedName name="工40023" localSheetId="3">[56]单价分析表!$F$1355</definedName>
    <definedName name="工40023">[57]单价分析表!$F$1355</definedName>
    <definedName name="工40023a" localSheetId="0">[55]单价分析表!#REF!</definedName>
    <definedName name="工40023a" localSheetId="2">[55]单价分析表!#REF!</definedName>
    <definedName name="工40023a" localSheetId="3">[56]单价分析表!#REF!</definedName>
    <definedName name="工40023a">[57]单价分析表!#REF!</definedName>
    <definedName name="工40023b" localSheetId="0">[55]单价分析表!$F$441</definedName>
    <definedName name="工40023b" localSheetId="2">[55]单价分析表!$F$441</definedName>
    <definedName name="工40023b" localSheetId="24">[55]单价分析表!$F$441</definedName>
    <definedName name="工40023b" localSheetId="3">[56]单价分析表!$F$441</definedName>
    <definedName name="工40023b">[57]单价分析表!$F$441</definedName>
    <definedName name="工40030" localSheetId="0">[51]附表4直接工程费单价表!#REF!</definedName>
    <definedName name="工40030" localSheetId="2">[51]附表4直接工程费单价表!#REF!</definedName>
    <definedName name="工40030" localSheetId="3">[52]附表4直接工程费单价表!#REF!</definedName>
    <definedName name="工40030">[54]附表4直接工程费单价表!#REF!</definedName>
    <definedName name="工40030a" localSheetId="24">[21]附表4直接工程费单价表!$F$287</definedName>
    <definedName name="工40030a">[22]附表4直接工程费单价表!$F$287</definedName>
    <definedName name="工40031" localSheetId="0">[55]单价分析表!#REF!</definedName>
    <definedName name="工40031" localSheetId="2">[55]单价分析表!#REF!</definedName>
    <definedName name="工40031" localSheetId="3">[56]单价分析表!#REF!</definedName>
    <definedName name="工40031">[57]单价分析表!#REF!</definedName>
    <definedName name="工40031a" localSheetId="0">[51]附表4直接工程费单价表!#REF!</definedName>
    <definedName name="工40031a" localSheetId="2">[51]附表4直接工程费单价表!#REF!</definedName>
    <definedName name="工40031a" localSheetId="3">[78]附表4直接工程费单价表!#REF!</definedName>
    <definedName name="工40031a">[53]附表4直接工程费单价表!#REF!</definedName>
    <definedName name="工40041" localSheetId="0">[55]单价分析表!#REF!</definedName>
    <definedName name="工40041" localSheetId="2">[55]单价分析表!#REF!</definedName>
    <definedName name="工40041" localSheetId="3">[56]单价分析表!#REF!</definedName>
    <definedName name="工40041">[57]单价分析表!#REF!</definedName>
    <definedName name="工40041a" localSheetId="0">[55]单价分析表!#REF!</definedName>
    <definedName name="工40041a" localSheetId="2">[55]单价分析表!#REF!</definedName>
    <definedName name="工40041a" localSheetId="3">[52]附表4直接工程费单价表!$F$408</definedName>
    <definedName name="工40041a">[54]附表4直接工程费单价表!$F$408</definedName>
    <definedName name="工40041b" localSheetId="0">[51]附表4直接工程费单价表!#REF!</definedName>
    <definedName name="工40041b" localSheetId="2">[51]附表4直接工程费单价表!#REF!</definedName>
    <definedName name="工40041b" localSheetId="3">[78]附表4直接工程费单价表!#REF!</definedName>
    <definedName name="工40041b">[53]附表4直接工程费单价表!#REF!</definedName>
    <definedName name="工40043" localSheetId="24">[21]附表4直接工程费单价表!$F$380</definedName>
    <definedName name="工40043">[22]附表4直接工程费单价表!$F$380</definedName>
    <definedName name="工40045" localSheetId="24">[21]附表4直接工程费单价表!$F$411</definedName>
    <definedName name="工40045">[22]附表4直接工程费单价表!$F$411</definedName>
    <definedName name="工40050" localSheetId="0">[55]单价分析表!#REF!</definedName>
    <definedName name="工40050" localSheetId="2">[55]单价分析表!#REF!</definedName>
    <definedName name="工40050" localSheetId="3">[56]单价分析表!#REF!</definedName>
    <definedName name="工40050">[57]单价分析表!#REF!</definedName>
    <definedName name="工40056" localSheetId="0">[55]单价分析表!#REF!</definedName>
    <definedName name="工40056" localSheetId="2">[55]单价分析表!#REF!</definedName>
    <definedName name="工40056" localSheetId="3">[56]单价分析表!#REF!</definedName>
    <definedName name="工40056">[57]单价分析表!#REF!</definedName>
    <definedName name="工40056a" localSheetId="0">[55]单价分析表!#REF!</definedName>
    <definedName name="工40056a" localSheetId="2">[55]单价分析表!#REF!</definedName>
    <definedName name="工40056a" localSheetId="3">[56]单价分析表!#REF!</definedName>
    <definedName name="工40056a">[57]单价分析表!#REF!</definedName>
    <definedName name="工40065" localSheetId="0">[55]单价分析表!$F$512</definedName>
    <definedName name="工40065" localSheetId="2">[55]单价分析表!$F$512</definedName>
    <definedName name="工40065" localSheetId="24">[55]单价分析表!$F$512</definedName>
    <definedName name="工40065" localSheetId="3">[56]单价分析表!$F$512</definedName>
    <definedName name="工40065">[57]单价分析表!$F$512</definedName>
    <definedName name="工40066" localSheetId="0">[12]附表4单价!$F$776</definedName>
    <definedName name="工40066" localSheetId="2">[12]附表4单价!$F$776</definedName>
    <definedName name="工40066" localSheetId="24">[12]附表4单价!$F$776</definedName>
    <definedName name="工40066" localSheetId="3">[19]附表4单价!$F$776</definedName>
    <definedName name="工40066">[20]附表4单价!$F$776</definedName>
    <definedName name="工40073" localSheetId="0">[51]附表4直接工程费单价表!#REF!</definedName>
    <definedName name="工40073" localSheetId="2">[51]附表4直接工程费单价表!#REF!</definedName>
    <definedName name="工40073" localSheetId="3">[52]附表4直接工程费单价表!#REF!</definedName>
    <definedName name="工40073">[54]附表4直接工程费单价表!#REF!</definedName>
    <definedName name="工40076" localSheetId="0">[51]附表4直接工程费单价表!#REF!</definedName>
    <definedName name="工40076" localSheetId="2">[51]附表4直接工程费单价表!#REF!</definedName>
    <definedName name="工40076" localSheetId="3">[52]附表4直接工程费单价表!#REF!</definedName>
    <definedName name="工40076">[54]附表4直接工程费单价表!#REF!</definedName>
    <definedName name="工40076a" localSheetId="0">[55]单价分析表!$F$543</definedName>
    <definedName name="工40076a" localSheetId="2">[55]单价分析表!$F$543</definedName>
    <definedName name="工40076a" localSheetId="24">[55]单价分析表!$F$543</definedName>
    <definedName name="工40076a" localSheetId="3">[56]单价分析表!$F$543</definedName>
    <definedName name="工40076a">[57]单价分析表!$F$543</definedName>
    <definedName name="工40076b" localSheetId="24">[21]附表4直接工程费单价表!$F$458</definedName>
    <definedName name="工40076b">[22]附表4直接工程费单价表!$F$458</definedName>
    <definedName name="工40076d" localSheetId="0">[55]单价分析表!$F$577</definedName>
    <definedName name="工40076d" localSheetId="2">[55]单价分析表!$F$577</definedName>
    <definedName name="工40076d" localSheetId="24">[55]单价分析表!$F$577</definedName>
    <definedName name="工40076d" localSheetId="3">[56]单价分析表!$F$577</definedName>
    <definedName name="工40076d">[57]单价分析表!$F$577</definedName>
    <definedName name="工40077" localSheetId="0">[51]附表4直接工程费单价表!#REF!</definedName>
    <definedName name="工40077" localSheetId="2">[51]附表4直接工程费单价表!#REF!</definedName>
    <definedName name="工40077" localSheetId="3">[52]附表4直接工程费单价表!#REF!</definedName>
    <definedName name="工40077">[54]附表4直接工程费单价表!#REF!</definedName>
    <definedName name="工40079" localSheetId="0">[55]单价分析表!$F$612</definedName>
    <definedName name="工40079" localSheetId="2">[55]单价分析表!$F$612</definedName>
    <definedName name="工40079" localSheetId="24">[55]单价分析表!$F$612</definedName>
    <definedName name="工40079" localSheetId="3">[56]单价分析表!$F$612</definedName>
    <definedName name="工40079">[57]单价分析表!$F$612</definedName>
    <definedName name="工40106" localSheetId="0">[55]单价分析表!#REF!</definedName>
    <definedName name="工40106" localSheetId="2">[55]单价分析表!#REF!</definedName>
    <definedName name="工40106" localSheetId="3">[56]单价分析表!#REF!</definedName>
    <definedName name="工40106">[57]单价分析表!#REF!</definedName>
    <definedName name="工40115" localSheetId="0">[55]单价分析表!$F$636</definedName>
    <definedName name="工40115" localSheetId="2">[55]单价分析表!$F$636</definedName>
    <definedName name="工40115" localSheetId="24">[55]单价分析表!$F$636</definedName>
    <definedName name="工40115" localSheetId="3">[56]单价分析表!$F$636</definedName>
    <definedName name="工40115">[57]单价分析表!$F$636</definedName>
    <definedName name="工40116" localSheetId="0">[55]单价分析表!$F$1761</definedName>
    <definedName name="工40116" localSheetId="2">[55]单价分析表!$F$1761</definedName>
    <definedName name="工40116" localSheetId="24">[55]单价分析表!$F$1761</definedName>
    <definedName name="工40116" localSheetId="3">[56]单价分析表!$F$1761</definedName>
    <definedName name="工40116">[57]单价分析表!$F$1761</definedName>
    <definedName name="工40123" localSheetId="0">[12]附表4单价!$F$1012</definedName>
    <definedName name="工40123" localSheetId="2">[12]附表4单价!$F$1012</definedName>
    <definedName name="工40123" localSheetId="24">[12]附表4单价!$F$1012</definedName>
    <definedName name="工40123" localSheetId="3">[19]附表4单价!$F$1012</definedName>
    <definedName name="工40123">[20]附表4单价!$F$1012</definedName>
    <definedName name="工40124" localSheetId="0">[12]附表4单价!$F$1040</definedName>
    <definedName name="工40124" localSheetId="2">[12]附表4单价!$F$1040</definedName>
    <definedName name="工40124" localSheetId="24">[12]附表4单价!$F$1040</definedName>
    <definedName name="工40124" localSheetId="3">[19]附表4单价!$F$1040</definedName>
    <definedName name="工40124">[20]附表4单价!$F$1040</definedName>
    <definedName name="工40132" localSheetId="24">[21]附表4直接工程费单价表!$F$568</definedName>
    <definedName name="工40132">[22]附表4直接工程费单价表!$F$568</definedName>
    <definedName name="工40132a" localSheetId="0">[55]单价分析表!$F$1622</definedName>
    <definedName name="工40132a" localSheetId="2">[55]单价分析表!$F$1622</definedName>
    <definedName name="工40132a" localSheetId="24">[55]单价分析表!$F$1622</definedName>
    <definedName name="工40132a" localSheetId="3">[56]单价分析表!$F$1622</definedName>
    <definedName name="工40132a">[57]单价分析表!$F$1622</definedName>
    <definedName name="工40133" localSheetId="0">[55]单价分析表!$F$712</definedName>
    <definedName name="工40133" localSheetId="2">[55]单价分析表!$F$712</definedName>
    <definedName name="工40133" localSheetId="24">[55]单价分析表!$F$712</definedName>
    <definedName name="工40133" localSheetId="3">[56]单价分析表!$F$712</definedName>
    <definedName name="工40133">[57]单价分析表!$F$712</definedName>
    <definedName name="工40135" localSheetId="24">[21]附表4直接工程费单价表!$F$592</definedName>
    <definedName name="工40135">[22]附表4直接工程费单价表!$F$592</definedName>
    <definedName name="工40136" localSheetId="0">[55]单价分析表!#REF!</definedName>
    <definedName name="工40136" localSheetId="2">[55]单价分析表!#REF!</definedName>
    <definedName name="工40136" localSheetId="3">[56]单价分析表!#REF!</definedName>
    <definedName name="工40136">[57]单价分析表!#REF!</definedName>
    <definedName name="工40139" localSheetId="0">[55]单价分析表!#REF!</definedName>
    <definedName name="工40139" localSheetId="2">[55]单价分析表!#REF!</definedName>
    <definedName name="工40139" localSheetId="3">[56]单价分析表!#REF!</definedName>
    <definedName name="工40139">[57]单价分析表!#REF!</definedName>
    <definedName name="工40159" localSheetId="0">[55]单价分析表!$F$745</definedName>
    <definedName name="工40159" localSheetId="2">[55]单价分析表!$F$745</definedName>
    <definedName name="工40159" localSheetId="24">[55]单价分析表!$F$745</definedName>
    <definedName name="工40159" localSheetId="3">[56]单价分析表!$F$745</definedName>
    <definedName name="工40159">[57]单价分析表!$F$745</definedName>
    <definedName name="工40172" localSheetId="3">[19]附表4单价!#REF!</definedName>
    <definedName name="工40172">[20]附表4单价!#REF!</definedName>
    <definedName name="工40174" localSheetId="0">[55]单价分析表!$F$1691</definedName>
    <definedName name="工40174" localSheetId="2">[55]单价分析表!$F$1691</definedName>
    <definedName name="工40174" localSheetId="24">[55]单价分析表!$F$1691</definedName>
    <definedName name="工40174" localSheetId="3">[56]单价分析表!$F$1691</definedName>
    <definedName name="工40174">[57]单价分析表!$F$1691</definedName>
    <definedName name="工40190" localSheetId="0">[51]附表4直接工程费单价表!$F$816</definedName>
    <definedName name="工40190" localSheetId="2">[51]附表4直接工程费单价表!$F$816</definedName>
    <definedName name="工40190" localSheetId="24">[51]附表4直接工程费单价表!$F$816</definedName>
    <definedName name="工40190" localSheetId="3">[78]附表4直接工程费单价表!$F$816</definedName>
    <definedName name="工40190">[53]附表4直接工程费单价表!$F$816</definedName>
    <definedName name="工40192" localSheetId="0">[55]单价分析表!#REF!</definedName>
    <definedName name="工40192" localSheetId="2">[55]单价分析表!#REF!</definedName>
    <definedName name="工40192" localSheetId="3">[52]附表4直接工程费单价表!#REF!</definedName>
    <definedName name="工40192">[54]附表4直接工程费单价表!#REF!</definedName>
    <definedName name="工40199" localSheetId="0">[55]单价分析表!$F$1640</definedName>
    <definedName name="工40199" localSheetId="2">[55]单价分析表!$F$1640</definedName>
    <definedName name="工40199" localSheetId="24">[55]单价分析表!$F$1640</definedName>
    <definedName name="工40199" localSheetId="3">[56]单价分析表!$F$1640</definedName>
    <definedName name="工40199">[57]单价分析表!$F$1640</definedName>
    <definedName name="工40203" localSheetId="0">[51]附表4直接工程费单价表!#REF!</definedName>
    <definedName name="工40203" localSheetId="2">[51]附表4直接工程费单价表!#REF!</definedName>
    <definedName name="工40203" localSheetId="3">[52]附表4直接工程费单价表!#REF!</definedName>
    <definedName name="工40203">[54]附表4直接工程费单价表!#REF!</definedName>
    <definedName name="工40211" localSheetId="0">[51]附表4直接工程费单价表!$F$853</definedName>
    <definedName name="工40211" localSheetId="2">[51]附表4直接工程费单价表!$F$853</definedName>
    <definedName name="工40211" localSheetId="24">[51]附表4直接工程费单价表!$F$853</definedName>
    <definedName name="工40211" localSheetId="3">[78]附表4直接工程费单价表!$F$853</definedName>
    <definedName name="工40211">[53]附表4直接工程费单价表!$F$853</definedName>
    <definedName name="工40211补" localSheetId="0">[55]单价分析表!$F$816</definedName>
    <definedName name="工40211补" localSheetId="2">[55]单价分析表!$F$816</definedName>
    <definedName name="工40211补" localSheetId="24">[55]单价分析表!$F$816</definedName>
    <definedName name="工40211补" localSheetId="3">[56]单价分析表!$F$816</definedName>
    <definedName name="工40211补">[57]单价分析表!$F$816</definedName>
    <definedName name="工40213" localSheetId="24">[21]附表4直接工程费单价表!$F$678</definedName>
    <definedName name="工40213">[22]附表4直接工程费单价表!$F$678</definedName>
    <definedName name="工40214参" localSheetId="24">[21]附表4直接工程费单价表!$F$697</definedName>
    <definedName name="工40214参">[22]附表4直接工程费单价表!$F$697</definedName>
    <definedName name="工40214参2" localSheetId="24">[21]附表4直接工程费单价表!$F$716</definedName>
    <definedName name="工40214参2">[22]附表4直接工程费单价表!$F$716</definedName>
    <definedName name="工40215" localSheetId="0">[51]附表4直接工程费单价表!$F$900</definedName>
    <definedName name="工40215" localSheetId="2">[51]附表4直接工程费单价表!$F$900</definedName>
    <definedName name="工40215" localSheetId="24">[51]附表4直接工程费单价表!$F$900</definedName>
    <definedName name="工40215" localSheetId="3">[78]附表4直接工程费单价表!$F$900</definedName>
    <definedName name="工40215">[53]附表4直接工程费单价表!$F$900</definedName>
    <definedName name="工40215补" localSheetId="0">[12]附表4单价!$F$1222</definedName>
    <definedName name="工40215补" localSheetId="2">[12]附表4单价!$F$1222</definedName>
    <definedName name="工40215补" localSheetId="24">[12]附表4单价!$F$1222</definedName>
    <definedName name="工40215补" localSheetId="3">[19]附表4单价!$F$1222</definedName>
    <definedName name="工40215补">[20]附表4单价!$F$1222</definedName>
    <definedName name="工40216" localSheetId="0">[12]附表4单价!$F$2138</definedName>
    <definedName name="工40216" localSheetId="2">[12]附表4单价!$F$2138</definedName>
    <definedName name="工40216" localSheetId="24">[12]附表4单价!$F$2138</definedName>
    <definedName name="工40216" localSheetId="3">[19]附表4单价!$F$2138</definedName>
    <definedName name="工40216">[20]附表4单价!$F$2138</definedName>
    <definedName name="工40217" localSheetId="0">[55]单价分析表!$F$1454</definedName>
    <definedName name="工40217" localSheetId="2">[55]单价分析表!$F$1454</definedName>
    <definedName name="工40217" localSheetId="24">[55]单价分析表!$F$1454</definedName>
    <definedName name="工40217" localSheetId="3">[56]单价分析表!$F$1454</definedName>
    <definedName name="工40217">[57]单价分析表!$F$1454</definedName>
    <definedName name="工40218" localSheetId="0">[55]单价分析表!$F$1485</definedName>
    <definedName name="工40218" localSheetId="2">[55]单价分析表!$F$1485</definedName>
    <definedName name="工40218" localSheetId="24">[55]单价分析表!$F$1485</definedName>
    <definedName name="工40218" localSheetId="3">[56]单价分析表!$F$1485</definedName>
    <definedName name="工40218">[57]单价分析表!$F$1485</definedName>
    <definedName name="工40220" localSheetId="0">[55]单价分析表!$F$1518</definedName>
    <definedName name="工40220" localSheetId="2">[55]单价分析表!$F$1518</definedName>
    <definedName name="工40220" localSheetId="24">[55]单价分析表!$F$1518</definedName>
    <definedName name="工40220" localSheetId="3">[56]单价分析表!$F$1518</definedName>
    <definedName name="工40220">[57]单价分析表!$F$1518</definedName>
    <definedName name="工40226" localSheetId="0">[55]单价分析表!$F$1538</definedName>
    <definedName name="工40226" localSheetId="2">[55]单价分析表!$F$1538</definedName>
    <definedName name="工40226" localSheetId="24">[55]单价分析表!$F$1538</definedName>
    <definedName name="工40226" localSheetId="3">[56]单价分析表!$F$1538</definedName>
    <definedName name="工40226">[57]单价分析表!$F$1538</definedName>
    <definedName name="工40231" localSheetId="0">[55]单价分析表!#REF!</definedName>
    <definedName name="工40231" localSheetId="2">[55]单价分析表!#REF!</definedName>
    <definedName name="工40231" localSheetId="3">[56]单价分析表!#REF!</definedName>
    <definedName name="工40231">[57]单价分析表!#REF!</definedName>
    <definedName name="工40232" localSheetId="0">[55]单价分析表!#REF!</definedName>
    <definedName name="工40232" localSheetId="2">[55]单价分析表!#REF!</definedName>
    <definedName name="工40232" localSheetId="3">[56]单价分析表!#REF!</definedName>
    <definedName name="工40232">[57]单价分析表!#REF!</definedName>
    <definedName name="工40233" localSheetId="0">[55]单价分析表!$F$1559</definedName>
    <definedName name="工40233" localSheetId="2">[55]单价分析表!$F$1559</definedName>
    <definedName name="工40233" localSheetId="24">[55]单价分析表!$F$1559</definedName>
    <definedName name="工40233" localSheetId="3">[56]单价分析表!$F$1559</definedName>
    <definedName name="工40233">[57]单价分析表!$F$1559</definedName>
    <definedName name="工40235" localSheetId="0">[55]单价分析表!$F$1590</definedName>
    <definedName name="工40235" localSheetId="2">[55]单价分析表!$F$1590</definedName>
    <definedName name="工40235" localSheetId="24">[55]单价分析表!$F$1590</definedName>
    <definedName name="工40235" localSheetId="3">[56]单价分析表!$F$1590</definedName>
    <definedName name="工40235">[57]单价分析表!$F$1590</definedName>
    <definedName name="工4067">[136]单价宁夏新!$F$1836</definedName>
    <definedName name="工4067a">[136]单价宁夏新!$F$1883</definedName>
    <definedName name="工4068">[136]单价宁夏新!$F$1791</definedName>
    <definedName name="工4124">[136]单价宁夏新!$F$1743</definedName>
    <definedName name="工4124a" localSheetId="24">[137]单价宁夏新!$F$2201</definedName>
    <definedName name="工4124a">[138]单价宁夏新!$F$2201</definedName>
    <definedName name="工4127">[136]单价宁夏新!$F$1056</definedName>
    <definedName name="工4130" localSheetId="24">[9]单价分析!$F$1078</definedName>
    <definedName name="工4130">[139]单价分析!$F$1078</definedName>
    <definedName name="工4131" localSheetId="24">[9]单价分析!$F$1119</definedName>
    <definedName name="工4131">[139]单价分析!$F$1119</definedName>
    <definedName name="工4142">[136]单价宁夏新!$F$1095</definedName>
    <definedName name="工4175">[136]单价宁夏新!$F$1140</definedName>
    <definedName name="工4176">[136]单价宁夏新!$F$1185</definedName>
    <definedName name="工4182">[136]单价宁夏新!$F$1226</definedName>
    <definedName name="工4199">[136]单价宁夏新!$F$1350</definedName>
    <definedName name="工4203">[136]单价宁夏新!$F$1268</definedName>
    <definedName name="工4204">[136]单价宁夏新!$F$1309</definedName>
    <definedName name="工4214">[136]单价宁夏新!$F$798</definedName>
    <definedName name="工4215">[136]单价宁夏新!$F$810</definedName>
    <definedName name="工4216">[136]单价宁夏新!$F$819</definedName>
    <definedName name="工4217">[136]单价宁夏新!$F$833</definedName>
    <definedName name="工4228">[136]单价宁夏新!$F$857</definedName>
    <definedName name="工4228a">[136]单价宁夏新!$F$871</definedName>
    <definedName name="工4240">[136]单价宁夏新!$F$845</definedName>
    <definedName name="工4258">[136]单价宁夏新!$F$891</definedName>
    <definedName name="工4267">[136]单价宁夏新!$F$970</definedName>
    <definedName name="工4268">[136]单价宁夏新!$F$920</definedName>
    <definedName name="工4297">[136]单价宁夏新!$F$1501</definedName>
    <definedName name="工50051a1" localSheetId="24">[21]附表4直接工程费单价表!$F$769</definedName>
    <definedName name="工50051a1">[22]附表4直接工程费单价表!$F$769</definedName>
    <definedName name="工50051b1" localSheetId="24">[21]附表4直接工程费单价表!$F$784</definedName>
    <definedName name="工50051b1">[22]附表4直接工程费单价表!$F$784</definedName>
    <definedName name="工50053b1" localSheetId="24">[21]附表4直接工程费单价表!$F$850</definedName>
    <definedName name="工50053b1">[22]附表4直接工程费单价表!$F$850</definedName>
    <definedName name="工50053b2" localSheetId="24">[21]附表4直接工程费单价表!$F$870</definedName>
    <definedName name="工50053b2">[22]附表4直接工程费单价表!$F$870</definedName>
    <definedName name="工50054a1" localSheetId="24">[21]附表4直接工程费单价表!$F$934</definedName>
    <definedName name="工50054a1">[22]附表4直接工程费单价表!$F$934</definedName>
    <definedName name="工50054a2" localSheetId="24">[21]附表4直接工程费单价表!$F$958</definedName>
    <definedName name="工50054a2">[22]附表4直接工程费单价表!$F$958</definedName>
    <definedName name="工50057" localSheetId="24">[21]附表4直接工程费单价表!$F$984</definedName>
    <definedName name="工50057">[22]附表4直接工程费单价表!$F$984</definedName>
    <definedName name="工50060" localSheetId="3">[19]附表4单价!#REF!</definedName>
    <definedName name="工50060">[20]附表4单价!#REF!</definedName>
    <definedName name="工50061" localSheetId="3">[19]附表4单价!#REF!</definedName>
    <definedName name="工50061">[20]附表4单价!#REF!</definedName>
    <definedName name="工50062" localSheetId="3">[19]附表4单价!#REF!</definedName>
    <definedName name="工50062">[20]附表4单价!#REF!</definedName>
    <definedName name="工50064" localSheetId="0">[51]附表4直接工程费单价表!#REF!</definedName>
    <definedName name="工50064" localSheetId="2">[51]附表4直接工程费单价表!#REF!</definedName>
    <definedName name="工50064" localSheetId="3">[52]附表4直接工程费单价表!#REF!</definedName>
    <definedName name="工50064">[54]附表4直接工程费单价表!#REF!</definedName>
    <definedName name="工50066" localSheetId="24">[21]附表4直接工程费单价表!$F$1001</definedName>
    <definedName name="工50066">[22]附表4直接工程费单价表!$F$1001</definedName>
    <definedName name="工50067" localSheetId="0">[51]附表4直接工程费单价表!#REF!</definedName>
    <definedName name="工50067" localSheetId="2">[51]附表4直接工程费单价表!#REF!</definedName>
    <definedName name="工50067" localSheetId="3">[52]附表4直接工程费单价表!#REF!</definedName>
    <definedName name="工50067">[54]附表4直接工程费单价表!#REF!</definedName>
    <definedName name="工50070" localSheetId="24">[21]附表4直接工程费单价表!$F$1035</definedName>
    <definedName name="工50070">[22]附表4直接工程费单价表!$F$1035</definedName>
    <definedName name="工50071a" localSheetId="24">[21]附表4直接工程费单价表!$F$1069</definedName>
    <definedName name="工50071a">[22]附表4直接工程费单价表!$F$1069</definedName>
    <definedName name="工50075a2" localSheetId="24">[21]附表4直接工程费单价表!$F$1142</definedName>
    <definedName name="工50075a2">[22]附表4直接工程费单价表!$F$1142</definedName>
    <definedName name="工50075a3" localSheetId="24">[21]附表4直接工程费单价表!$F$1160</definedName>
    <definedName name="工50075a3">[22]附表4直接工程费单价表!$F$1160</definedName>
    <definedName name="工50075a4" localSheetId="24">[21]附表4直接工程费单价表!$F$1178</definedName>
    <definedName name="工50075a4">[22]附表4直接工程费单价表!$F$1178</definedName>
    <definedName name="工50075a5" localSheetId="24">[21]附表4直接工程费单价表!$F$1196</definedName>
    <definedName name="工50075a5">[22]附表4直接工程费单价表!$F$1196</definedName>
    <definedName name="工50078a1" localSheetId="24">[21]附表4直接工程费单价表!$F$1214</definedName>
    <definedName name="工50078a1">[22]附表4直接工程费单价表!$F$1214</definedName>
    <definedName name="工50078a3" localSheetId="24">[21]附表4直接工程费单价表!$F$1420</definedName>
    <definedName name="工50078a3">[22]附表4直接工程费单价表!$F$1420</definedName>
    <definedName name="工50078a4" localSheetId="24">[21]附表4直接工程费单价表!$F$1250</definedName>
    <definedName name="工50078a4">[22]附表4直接工程费单价表!$F$1250</definedName>
    <definedName name="工50078a5" localSheetId="24">[21]附表4直接工程费单价表!$F$1232</definedName>
    <definedName name="工50078a5">[22]附表4直接工程费单价表!$F$1232</definedName>
    <definedName name="工50079a2" localSheetId="24">[21]附表4直接工程费单价表!$F$1385</definedName>
    <definedName name="工50079a2">[22]附表4直接工程费单价表!$F$1385</definedName>
    <definedName name="工50079a3" localSheetId="24">[21]附表4直接工程费单价表!$F$1437</definedName>
    <definedName name="工50079a3">[22]附表4直接工程费单价表!$F$1437</definedName>
    <definedName name="工50079a4" localSheetId="24">[21]附表4直接工程费单价表!$F$1472</definedName>
    <definedName name="工50079a4">[22]附表4直接工程费单价表!$F$1472</definedName>
    <definedName name="工50079a6" localSheetId="24">[21]附表4直接工程费单价表!$F$1506</definedName>
    <definedName name="工50079a6">[22]附表4直接工程费单价表!$F$1506</definedName>
    <definedName name="工50079a8" localSheetId="24">[21]附表4直接工程费单价表!$F$1454</definedName>
    <definedName name="工50079a8">[22]附表4直接工程费单价表!$F$1454</definedName>
    <definedName name="工50079改1" localSheetId="3">[19]附表4单价!#REF!</definedName>
    <definedName name="工50079改1">[20]附表4单价!#REF!</definedName>
    <definedName name="工50079改2" localSheetId="3">[19]附表4单价!#REF!</definedName>
    <definedName name="工50079改2">[20]附表4单价!#REF!</definedName>
    <definedName name="工50079改3" localSheetId="3">[19]附表4单价!#REF!</definedName>
    <definedName name="工50079改3">[20]附表4单价!#REF!</definedName>
    <definedName name="工50079改4" localSheetId="3">[19]附表4单价!#REF!</definedName>
    <definedName name="工50079改4">[20]附表4单价!#REF!</definedName>
    <definedName name="工50079改5" localSheetId="3">[19]附表4单价!#REF!</definedName>
    <definedName name="工50079改5">[20]附表4单价!#REF!</definedName>
    <definedName name="工50079改6" localSheetId="3">[19]附表4单价!#REF!</definedName>
    <definedName name="工50079改6">[20]附表4单价!#REF!</definedName>
    <definedName name="工50079改7" localSheetId="3">[19]附表4单价!#REF!</definedName>
    <definedName name="工50079改7">[20]附表4单价!#REF!</definedName>
    <definedName name="工50079改8" localSheetId="3">[19]附表4单价!#REF!</definedName>
    <definedName name="工50079改8">[20]附表4单价!#REF!</definedName>
    <definedName name="工50079改9" localSheetId="3">[19]附表4单价!#REF!</definedName>
    <definedName name="工50079改9">[20]附表4单价!#REF!</definedName>
    <definedName name="工50098" localSheetId="24">[21]附表4直接工程费单价表!$F$1566</definedName>
    <definedName name="工50098">[22]附表4直接工程费单价表!$F$1566</definedName>
    <definedName name="工50105a1" localSheetId="24">[21]附表4直接工程费单价表!$F$1583</definedName>
    <definedName name="工50105a1">[22]附表4直接工程费单价表!$F$1583</definedName>
    <definedName name="工50105a2" localSheetId="24">[21]附表4直接工程费单价表!$F$1601</definedName>
    <definedName name="工50105a2">[22]附表4直接工程费单价表!$F$1601</definedName>
    <definedName name="工50105a3" localSheetId="24">[21]附表4直接工程费单价表!$F$1619</definedName>
    <definedName name="工50105a3">[22]附表4直接工程费单价表!$F$1619</definedName>
    <definedName name="工50110" localSheetId="0">[55]单价分析表!$F$1218</definedName>
    <definedName name="工50110" localSheetId="2">[55]单价分析表!$F$1218</definedName>
    <definedName name="工50110" localSheetId="24">[55]单价分析表!$F$1218</definedName>
    <definedName name="工50110" localSheetId="3">[56]单价分析表!$F$1218</definedName>
    <definedName name="工50110">[57]单价分析表!$F$1218</definedName>
    <definedName name="工50110a" localSheetId="0">[55]单价分析表!$F$1058</definedName>
    <definedName name="工50110a" localSheetId="2">[55]单价分析表!$F$1058</definedName>
    <definedName name="工50110a" localSheetId="24">[55]单价分析表!$F$1058</definedName>
    <definedName name="工50110a" localSheetId="3">[56]单价分析表!$F$1058</definedName>
    <definedName name="工50110a">[57]单价分析表!$F$1058</definedName>
    <definedName name="工50111" localSheetId="0">[55]单价分析表!$F$1186</definedName>
    <definedName name="工50111" localSheetId="2">[55]单价分析表!$F$1186</definedName>
    <definedName name="工50111" localSheetId="24">[55]单价分析表!$F$1186</definedName>
    <definedName name="工50111" localSheetId="3">[56]单价分析表!$F$1186</definedName>
    <definedName name="工50111">[57]单价分析表!$F$1186</definedName>
    <definedName name="工50112" localSheetId="0">[55]单价分析表!$F$1121</definedName>
    <definedName name="工50112" localSheetId="2">[55]单价分析表!$F$1121</definedName>
    <definedName name="工50112" localSheetId="24">[55]单价分析表!$F$1121</definedName>
    <definedName name="工50112" localSheetId="3">[56]单价分析表!$F$1121</definedName>
    <definedName name="工50112">[57]单价分析表!$F$1121</definedName>
    <definedName name="工50113" localSheetId="0">[55]单价分析表!$F$1088</definedName>
    <definedName name="工50113" localSheetId="2">[55]单价分析表!$F$1088</definedName>
    <definedName name="工50113" localSheetId="24">[55]单价分析表!$F$1088</definedName>
    <definedName name="工50113" localSheetId="3">[56]单价分析表!$F$1088</definedName>
    <definedName name="工50113">[57]单价分析表!$F$1088</definedName>
    <definedName name="工50115" localSheetId="0">[120]附4工程费单价表!$F$2014</definedName>
    <definedName name="工50115" localSheetId="2">[120]附4工程费单价表!$F$2014</definedName>
    <definedName name="工50115" localSheetId="24">[113]附4工程费单价表!$F$2014</definedName>
    <definedName name="工50115" localSheetId="3">[140]附4工程费单价表!$F$2014</definedName>
    <definedName name="工50115">[141]附4工程费单价表!$F$2014</definedName>
    <definedName name="工50116" localSheetId="0">[120]附4工程费单价表!$F$2104</definedName>
    <definedName name="工50116" localSheetId="2">[120]附4工程费单价表!$F$2104</definedName>
    <definedName name="工50116" localSheetId="24">[113]附4工程费单价表!$F$2104</definedName>
    <definedName name="工50116" localSheetId="3">[140]附4工程费单价表!$F$2104</definedName>
    <definedName name="工50116">[141]附4工程费单价表!$F$2104</definedName>
    <definedName name="工60010" localSheetId="24">[21]附表4直接工程费单价表!$F$1644</definedName>
    <definedName name="工60010">[22]附表4直接工程费单价表!$F$1644</definedName>
    <definedName name="工60029" localSheetId="24">[21]附表4直接工程费单价表!$F$1668</definedName>
    <definedName name="工60029">[22]附表4直接工程费单价表!$F$1668</definedName>
    <definedName name="工60087" localSheetId="24">[21]附表4直接工程费单价表!$F$1688</definedName>
    <definedName name="工60087">[22]附表4直接工程费单价表!$F$1688</definedName>
    <definedName name="工60087沉" localSheetId="24">[21]附表4直接工程费单价表!$F$1707</definedName>
    <definedName name="工60087沉">[22]附表4直接工程费单价表!$F$1707</definedName>
    <definedName name="工60094" localSheetId="24">[21]附表4直接工程费单价表!$F$1722</definedName>
    <definedName name="工60094">[22]附表4直接工程费单价表!$F$1722</definedName>
    <definedName name="工60100" localSheetId="24">[21]附表4直接工程费单价表!$F$1737</definedName>
    <definedName name="工60100">[22]附表4直接工程费单价表!$F$1737</definedName>
    <definedName name="工60105" localSheetId="24">[21]附表4直接工程费单价表!$F$1753</definedName>
    <definedName name="工60105">[22]附表4直接工程费单价表!$F$1753</definedName>
    <definedName name="工70001" localSheetId="0">[55]单价分析表!$F$1280</definedName>
    <definedName name="工70001" localSheetId="2">[55]单价分析表!$F$1280</definedName>
    <definedName name="工70001" localSheetId="24">[55]单价分析表!$F$1280</definedName>
    <definedName name="工70001" localSheetId="3">[56]单价分析表!$F$1280</definedName>
    <definedName name="工70001">[57]单价分析表!$F$1280</definedName>
    <definedName name="工70007" localSheetId="0">[51]附表4直接工程费单价表!#REF!</definedName>
    <definedName name="工70007" localSheetId="2">[51]附表4直接工程费单价表!#REF!</definedName>
    <definedName name="工70007" localSheetId="3">[52]附表4直接工程费单价表!#REF!</definedName>
    <definedName name="工70007">[54]附表4直接工程费单价表!#REF!</definedName>
    <definedName name="工70010" localSheetId="24">[21]附表4直接工程费单价表!$F$1795</definedName>
    <definedName name="工70010">[22]附表4直接工程费单价表!$F$1795</definedName>
    <definedName name="工70013" localSheetId="24">[21]附表4直接工程费单价表!$F$1818</definedName>
    <definedName name="工70013">[22]附表4直接工程费单价表!$F$1818</definedName>
    <definedName name="工70014" localSheetId="0">[51]附表4直接工程费单价表!#REF!</definedName>
    <definedName name="工70014" localSheetId="2">[51]附表4直接工程费单价表!#REF!</definedName>
    <definedName name="工70014" localSheetId="3">[52]附表4直接工程费单价表!#REF!</definedName>
    <definedName name="工70014">[54]附表4直接工程费单价表!#REF!</definedName>
    <definedName name="工70046" localSheetId="0">[22]附表4直接工程费单价表!$F$1859</definedName>
    <definedName name="工70046" localSheetId="2">[22]附表4直接工程费单价表!$F$1859</definedName>
    <definedName name="工70046" localSheetId="24">[21]附表4直接工程费单价表!$F$1859</definedName>
    <definedName name="工70046" localSheetId="3">[19]附表4单价!#REF!</definedName>
    <definedName name="工70046">[20]附表4单价!#REF!</definedName>
    <definedName name="工70048" localSheetId="3">[19]附表4单价!#REF!</definedName>
    <definedName name="工70048">[20]附表4单价!#REF!</definedName>
    <definedName name="工70049" localSheetId="24">[21]附表4直接工程费单价表!$F$1888</definedName>
    <definedName name="工70049">[22]附表4直接工程费单价表!$F$1888</definedName>
    <definedName name="工70053" localSheetId="24">[21]附表4直接工程费单价表!$F$1904</definedName>
    <definedName name="工70053">[22]附表4直接工程费单价表!$F$1904</definedName>
    <definedName name="工70054" localSheetId="24">[21]附表4直接工程费单价表!$F$1921</definedName>
    <definedName name="工70054">[22]附表4直接工程费单价表!$F$1921</definedName>
    <definedName name="工70072" localSheetId="24">[21]附表4直接工程费单价表!$F$1952</definedName>
    <definedName name="工70072">[22]附表4直接工程费单价表!$F$1952</definedName>
    <definedName name="工70096" localSheetId="24">[21]附表4直接工程费单价表!$F$1973</definedName>
    <definedName name="工70096">[22]附表4直接工程费单价表!$F$1973</definedName>
    <definedName name="工70105" localSheetId="24">[21]附表4直接工程费单价表!$F$2003</definedName>
    <definedName name="工70105">[22]附表4直接工程费单价表!$F$2003</definedName>
    <definedName name="工70114" localSheetId="24">[21]附表4直接工程费单价表!$F$2016</definedName>
    <definedName name="工70114">[22]附表4直接工程费单价表!$F$2016</definedName>
    <definedName name="工70122" localSheetId="24">[21]附表4直接工程费单价表!$F$2038</definedName>
    <definedName name="工70122">[22]附表4直接工程费单价表!$F$2038</definedName>
    <definedName name="工70125" localSheetId="24">[21]附表4直接工程费单价表!$F$2064</definedName>
    <definedName name="工70125">[22]附表4直接工程费单价表!$F$2064</definedName>
    <definedName name="工70139" localSheetId="0">[55]单价分析表!#REF!</definedName>
    <definedName name="工70139" localSheetId="2">[55]单价分析表!#REF!</definedName>
    <definedName name="工70139" localSheetId="3">[56]单价分析表!#REF!</definedName>
    <definedName name="工70139">[57]单价分析表!#REF!</definedName>
    <definedName name="工80013" localSheetId="0">[55]单价分析表!#REF!</definedName>
    <definedName name="工80013" localSheetId="2">[55]单价分析表!#REF!</definedName>
    <definedName name="工80013" localSheetId="3">[56]单价分析表!#REF!</definedName>
    <definedName name="工80013">[57]单价分析表!#REF!</definedName>
    <definedName name="工80013c" localSheetId="0">[55]单价分析表!#REF!</definedName>
    <definedName name="工80013c" localSheetId="2">[55]单价分析表!#REF!</definedName>
    <definedName name="工80013c" localSheetId="3">[56]单价分析表!#REF!</definedName>
    <definedName name="工80013c">[57]单价分析表!#REF!</definedName>
    <definedName name="工80014a" localSheetId="0">[55]单价分析表!#REF!</definedName>
    <definedName name="工80014a" localSheetId="2">[55]单价分析表!#REF!</definedName>
    <definedName name="工80014a" localSheetId="3">[56]单价分析表!#REF!</definedName>
    <definedName name="工80014a">[57]单价分析表!#REF!</definedName>
    <definedName name="工80014b" localSheetId="0">[55]单价分析表!#REF!</definedName>
    <definedName name="工80014b" localSheetId="2">[55]单价分析表!#REF!</definedName>
    <definedName name="工80014b" localSheetId="3">[56]单价分析表!#REF!</definedName>
    <definedName name="工80014b">[57]单价分析表!#REF!</definedName>
    <definedName name="工80015" localSheetId="0">[55]单价分析表!$F$1710</definedName>
    <definedName name="工80015" localSheetId="2">[55]单价分析表!$F$1710</definedName>
    <definedName name="工80015" localSheetId="24">[55]单价分析表!$F$1710</definedName>
    <definedName name="工80015" localSheetId="3">[56]单价分析表!$F$1710</definedName>
    <definedName name="工80015">[57]单价分析表!$F$1710</definedName>
    <definedName name="工80015a" localSheetId="0">[55]单价分析表!$F$898</definedName>
    <definedName name="工80015a" localSheetId="2">[55]单价分析表!$F$898</definedName>
    <definedName name="工80015a" localSheetId="24">[55]单价分析表!$F$898</definedName>
    <definedName name="工80015a" localSheetId="3">[56]单价分析表!$F$898</definedName>
    <definedName name="工80015a">[57]单价分析表!$F$898</definedName>
    <definedName name="工80015b" localSheetId="0">[55]单价分析表!$F$917</definedName>
    <definedName name="工80015b" localSheetId="2">[55]单价分析表!$F$917</definedName>
    <definedName name="工80015b" localSheetId="24">[55]单价分析表!$F$917</definedName>
    <definedName name="工80015b" localSheetId="3">[56]单价分析表!$F$917</definedName>
    <definedName name="工80015b">[57]单价分析表!$F$917</definedName>
    <definedName name="工80015加80016" localSheetId="0">[51]附表4直接工程费单价表!#REF!</definedName>
    <definedName name="工80015加80016" localSheetId="2">[51]附表4直接工程费单价表!#REF!</definedName>
    <definedName name="工80015加80016" localSheetId="3">[52]附表4直接工程费单价表!#REF!</definedName>
    <definedName name="工80015加80016">[54]附表4直接工程费单价表!#REF!</definedName>
    <definedName name="工80015加800166" localSheetId="0">[51]附表4直接工程费单价表!$F$1067</definedName>
    <definedName name="工80015加800166" localSheetId="2">[51]附表4直接工程费单价表!$F$1067</definedName>
    <definedName name="工80015加800166" localSheetId="24">[51]附表4直接工程费单价表!$F$1067</definedName>
    <definedName name="工80015加800166" localSheetId="3">[78]附表4直接工程费单价表!$F$1067</definedName>
    <definedName name="工80015加800166">[53]附表4直接工程费单价表!$F$1067</definedName>
    <definedName name="工80015减80016" localSheetId="0">[51]附表4直接工程费单价表!#REF!</definedName>
    <definedName name="工80015减80016" localSheetId="2">[51]附表4直接工程费单价表!#REF!</definedName>
    <definedName name="工80015减80016" localSheetId="3">[52]附表4直接工程费单价表!#REF!</definedName>
    <definedName name="工80015减80016">[54]附表4直接工程费单价表!#REF!</definedName>
    <definedName name="工80016" localSheetId="24">[21]附表4直接工程费单价表!$F$2093</definedName>
    <definedName name="工80016">[22]附表4直接工程费单价表!$F$2093</definedName>
    <definedName name="工80023" localSheetId="0">[55]单价分析表!$F$1025</definedName>
    <definedName name="工80023" localSheetId="2">[55]单价分析表!$F$1025</definedName>
    <definedName name="工80023" localSheetId="24">[55]单价分析表!$F$1025</definedName>
    <definedName name="工80023" localSheetId="3">[56]单价分析表!$F$1025</definedName>
    <definedName name="工80023">[57]单价分析表!$F$1025</definedName>
    <definedName name="工80023a" localSheetId="0">[55]单价分析表!#REF!</definedName>
    <definedName name="工80023a" localSheetId="2">[55]单价分析表!#REF!</definedName>
    <definedName name="工80023a" localSheetId="3">[56]单价分析表!#REF!</definedName>
    <definedName name="工80023a">[57]单价分析表!#REF!</definedName>
    <definedName name="工80024" localSheetId="0">[55]单价分析表!$F$963</definedName>
    <definedName name="工80024" localSheetId="2">[55]单价分析表!$F$963</definedName>
    <definedName name="工80024" localSheetId="24">[55]单价分析表!$F$963</definedName>
    <definedName name="工80024" localSheetId="3">[56]单价分析表!$F$963</definedName>
    <definedName name="工80024">[57]单价分析表!$F$963</definedName>
    <definedName name="工80033" localSheetId="0">[55]单价分析表!$F$939</definedName>
    <definedName name="工80033" localSheetId="2">[55]单价分析表!$F$939</definedName>
    <definedName name="工80033" localSheetId="24">[55]单价分析表!$F$939</definedName>
    <definedName name="工80033" localSheetId="3">[56]单价分析表!$F$939</definedName>
    <definedName name="工80033">[57]单价分析表!$F$939</definedName>
    <definedName name="工8006" localSheetId="24">[9]单价分析!$F$1689</definedName>
    <definedName name="工8006">[139]单价分析!$F$1689</definedName>
    <definedName name="工8023" localSheetId="2">#REF!</definedName>
    <definedName name="工8023" localSheetId="24">#REF!</definedName>
    <definedName name="工8023">#REF!</definedName>
    <definedName name="工8023a" localSheetId="2">#REF!</definedName>
    <definedName name="工8023a" localSheetId="24">#REF!</definedName>
    <definedName name="工8023a">#REF!</definedName>
    <definedName name="工8026" localSheetId="2">#REF!</definedName>
    <definedName name="工8026" localSheetId="24">#REF!</definedName>
    <definedName name="工8026">#REF!</definedName>
    <definedName name="工8027" localSheetId="2">#REF!</definedName>
    <definedName name="工8027" localSheetId="24">#REF!</definedName>
    <definedName name="工8027">#REF!</definedName>
    <definedName name="工8028" localSheetId="2">#REF!</definedName>
    <definedName name="工8028" localSheetId="24">#REF!</definedName>
    <definedName name="工8028">#REF!</definedName>
    <definedName name="工8029" localSheetId="2">#REF!</definedName>
    <definedName name="工8029" localSheetId="24">#REF!</definedName>
    <definedName name="工8029">#REF!</definedName>
    <definedName name="工8030" localSheetId="2">#REF!</definedName>
    <definedName name="工8030" localSheetId="24">#REF!</definedName>
    <definedName name="工8030">#REF!</definedName>
    <definedName name="工8031" localSheetId="2">#REF!</definedName>
    <definedName name="工8031" localSheetId="24">#REF!</definedName>
    <definedName name="工8031">#REF!</definedName>
    <definedName name="工8064">[136]单价宁夏新!$F$1007</definedName>
    <definedName name="工8085">[136]单价宁夏新!$F$1407</definedName>
    <definedName name="工8086">[136]单价宁夏新!$F$1435</definedName>
    <definedName name="工8089">[136]单价宁夏新!$F$1476</definedName>
    <definedName name="工90001" localSheetId="0">[51]附表4直接工程费单价表!$F$1107</definedName>
    <definedName name="工90001" localSheetId="2">[51]附表4直接工程费单价表!$F$1107</definedName>
    <definedName name="工90001" localSheetId="24">[51]附表4直接工程费单价表!$F$1107</definedName>
    <definedName name="工90001" localSheetId="3">[78]附表4直接工程费单价表!$F$1107</definedName>
    <definedName name="工90001">[53]附表4直接工程费单价表!$F$1107</definedName>
    <definedName name="工90001a" localSheetId="3">[19]附表4单价!#REF!</definedName>
    <definedName name="工90001a">[20]附表4单价!#REF!</definedName>
    <definedName name="工90001b" localSheetId="0">[55]单价分析表!$F$1798</definedName>
    <definedName name="工90001b" localSheetId="2">[55]单价分析表!$F$1798</definedName>
    <definedName name="工90001b" localSheetId="24">[55]单价分析表!$F$1798</definedName>
    <definedName name="工90001b" localSheetId="3">[56]单价分析表!$F$1798</definedName>
    <definedName name="工90001b">[57]单价分析表!$F$1798</definedName>
    <definedName name="工90001c" localSheetId="0">[55]单价分析表!#REF!</definedName>
    <definedName name="工90001c" localSheetId="2">[55]单价分析表!#REF!</definedName>
    <definedName name="工90001c" localSheetId="3">[52]附表4直接工程费单价表!#REF!</definedName>
    <definedName name="工90001c">[54]附表4直接工程费单价表!#REF!</definedName>
    <definedName name="工90007" localSheetId="24">[21]附表4直接工程费单价表!$F$2176</definedName>
    <definedName name="工90007">[22]附表4直接工程费单价表!$F$2176</definedName>
    <definedName name="工90013" localSheetId="0">[51]附表4直接工程费单价表!#REF!</definedName>
    <definedName name="工90013" localSheetId="2">[51]附表4直接工程费单价表!#REF!</definedName>
    <definedName name="工90013" localSheetId="3">[78]附表4直接工程费单价表!#REF!</definedName>
    <definedName name="工90013">[53]附表4直接工程费单价表!#REF!</definedName>
    <definedName name="工9001c" localSheetId="0">[51]附表4直接工程费单价表!#REF!</definedName>
    <definedName name="工9001c" localSheetId="2">[51]附表4直接工程费单价表!#REF!</definedName>
    <definedName name="工9001c" localSheetId="3">[78]附表4直接工程费单价表!#REF!</definedName>
    <definedName name="工9001c">[53]附表4直接工程费单价表!#REF!</definedName>
    <definedName name="工9025" localSheetId="24">[9]单价分析!$F$1720</definedName>
    <definedName name="工9025">[139]单价分析!$F$1720</definedName>
    <definedName name="工程监理费" localSheetId="0">#REF!</definedName>
    <definedName name="工程监理费" localSheetId="2">#REF!</definedName>
    <definedName name="工程监理费" localSheetId="24">#REF!</definedName>
    <definedName name="工程监理费" localSheetId="3">#REF!</definedName>
    <definedName name="工程监理费">#REF!</definedName>
    <definedName name="工程监理费南" localSheetId="0">'[94]表5-2工程监理费南'!$E$10</definedName>
    <definedName name="工程监理费南" localSheetId="2">'[94]表5-2工程监理费南'!$E$10</definedName>
    <definedName name="工程监理费南" localSheetId="24">'[94]表5-2工程监理费南'!$E$10</definedName>
    <definedName name="工程监理费南" localSheetId="3">'[95]表5-2工程监理费南'!$E$10</definedName>
    <definedName name="工程监理费南">'[96]表5-2工程监理费南'!$E$10</definedName>
    <definedName name="工程胶" localSheetId="0">[13]附表2材料价格表!#REF!</definedName>
    <definedName name="工程胶" localSheetId="2">[13]附表2材料价格表!#REF!</definedName>
    <definedName name="工程胶" localSheetId="3">[14]附表2材料价格表!#REF!</definedName>
    <definedName name="工程胶">[15]附表2材料价格表!#REF!</definedName>
    <definedName name="工程量调整系数" localSheetId="0">#REF!</definedName>
    <definedName name="工程量调整系数" localSheetId="2">#REF!</definedName>
    <definedName name="工程量调整系数" localSheetId="24">#REF!</definedName>
    <definedName name="工程量调整系数" localSheetId="3">#REF!</definedName>
    <definedName name="工程量调整系数">#REF!</definedName>
    <definedName name="工程量清单" localSheetId="0">#REF!</definedName>
    <definedName name="工程量清单" localSheetId="2">#REF!</definedName>
    <definedName name="工程量清单" localSheetId="24">#REF!</definedName>
    <definedName name="工程量清单" localSheetId="3">#REF!</definedName>
    <definedName name="工程量清单">#REF!</definedName>
    <definedName name="工程施工费" localSheetId="0">#REF!</definedName>
    <definedName name="工程施工费" localSheetId="2">#REF!</definedName>
    <definedName name="工程施工费" localSheetId="24">#REF!</definedName>
    <definedName name="工程施工费" localSheetId="3">#REF!</definedName>
    <definedName name="工程施工费">#REF!</definedName>
    <definedName name="工程施工费工" localSheetId="0">[111]表2预算汇总表!$H$338</definedName>
    <definedName name="工程施工费工" localSheetId="2">[111]表2预算汇总表!$H$338</definedName>
    <definedName name="工程施工费工" localSheetId="24">[111]表2预算汇总表!$H$338</definedName>
    <definedName name="工程施工费工" localSheetId="3">[112]表2预算汇总表!$H$338</definedName>
    <definedName name="工程施工费工">[113]表2预算汇总表!$H$338</definedName>
    <definedName name="工程施工费南" localSheetId="0">'[94]表3工程施工费南 '!$H$515</definedName>
    <definedName name="工程施工费南" localSheetId="2">'[94]表3工程施工费南 '!$H$515</definedName>
    <definedName name="工程施工费南" localSheetId="24">'[94]表3工程施工费南 '!$H$515</definedName>
    <definedName name="工程施工费南" localSheetId="3">'[95]表3工程施工费南 '!$H$515</definedName>
    <definedName name="工程施工费南">'[96]表3工程施工费南 '!$H$515</definedName>
    <definedName name="工垫层5cm">[136]单价宁夏新!$F$1652</definedName>
    <definedName name="工砼板预制运输5km">[136]单价宁夏新!$F$880</definedName>
    <definedName name="工土地平整" localSheetId="0">[51]表3工程施工费用!#REF!</definedName>
    <definedName name="工土地平整" localSheetId="2">[51]表3工程施工费用!#REF!</definedName>
    <definedName name="工土地平整" localSheetId="3">[52]表3工程施工费用!#REF!</definedName>
    <definedName name="工土地平整">[54]表3工程施工费用!#REF!</definedName>
    <definedName name="沟槽石方开挖_______________工程" localSheetId="0">[121]新定额单价!#REF!</definedName>
    <definedName name="沟槽石方开挖_______________工程" localSheetId="2">[121]新定额单价!#REF!</definedName>
    <definedName name="沟槽石方开挖_______________工程" localSheetId="16">绿化定额!#REF!</definedName>
    <definedName name="沟槽石方开挖_______________工程" localSheetId="3">[122]新定额单价!#REF!</definedName>
    <definedName name="沟槽石方开挖_______________工程">新定额单价!#REF!</definedName>
    <definedName name="关键" localSheetId="0">#REF!</definedName>
    <definedName name="关键" localSheetId="2">#REF!</definedName>
    <definedName name="关键" localSheetId="24">#REF!</definedName>
    <definedName name="关键" localSheetId="3">#REF!</definedName>
    <definedName name="关键">#REF!</definedName>
    <definedName name="观景台土方" localSheetId="3">#REF!</definedName>
    <definedName name="观景台土方">#REF!</definedName>
    <definedName name="管">#N/A</definedName>
    <definedName name="管材" hidden="1">{"'现金流量表（全部投资）'!$B$4:$P$23"}</definedName>
    <definedName name="管材_1" hidden="1">{"'现金流量表（全部投资）'!$B$4:$P$23"}</definedName>
    <definedName name="管件" localSheetId="0">[51]附表2材料价格计算表!#REF!</definedName>
    <definedName name="管件" localSheetId="2">[51]附表2材料价格计算表!#REF!</definedName>
    <definedName name="管件" localSheetId="3">[14]附表2材料价格表!#REF!</definedName>
    <definedName name="管件">[15]附表2材料价格表!#REF!</definedName>
    <definedName name="管件φ120" localSheetId="0">[13]附表2材料价格表!#REF!</definedName>
    <definedName name="管件φ120" localSheetId="2">[13]附表2材料价格表!#REF!</definedName>
    <definedName name="管件φ120" localSheetId="3">[14]附表2材料价格表!#REF!</definedName>
    <definedName name="管件φ120">[15]附表2材料价格表!#REF!</definedName>
    <definedName name="管件φ90" localSheetId="0">[13]附表2材料价格表!#REF!</definedName>
    <definedName name="管件φ90" localSheetId="2">[13]附表2材料价格表!#REF!</definedName>
    <definedName name="管件φ90" localSheetId="3">[14]附表2材料价格表!#REF!</definedName>
    <definedName name="管件φ90">[15]附表2材料价格表!#REF!</definedName>
    <definedName name="管件供货统计" localSheetId="0">#REF!</definedName>
    <definedName name="管件供货统计" localSheetId="2">#REF!</definedName>
    <definedName name="管件供货统计" localSheetId="24">#REF!</definedName>
    <definedName name="管件供货统计" localSheetId="3">#REF!</definedName>
    <definedName name="管件供货统计">#REF!</definedName>
    <definedName name="灌溉与排水工程" localSheetId="2">#REF!</definedName>
    <definedName name="灌溉与排水工程" localSheetId="24">#REF!</definedName>
    <definedName name="灌溉与排水工程">#REF!</definedName>
    <definedName name="灌排工程" localSheetId="24">#REF!</definedName>
    <definedName name="灌排工程" localSheetId="3">#REF!</definedName>
    <definedName name="灌排工程">#REF!</definedName>
    <definedName name="灌渠影响投资" localSheetId="0">#REF!</definedName>
    <definedName name="灌渠影响投资" localSheetId="2">#REF!</definedName>
    <definedName name="灌渠影响投资" localSheetId="24">#REF!</definedName>
    <definedName name="灌渠影响投资" localSheetId="3">#REF!</definedName>
    <definedName name="灌渠影响投资">#REF!</definedName>
    <definedName name="光轮压路机12_15t" localSheetId="0">[13]附表3机械台班!#REF!</definedName>
    <definedName name="光轮压路机12_15t" localSheetId="2">[13]附表3机械台班!#REF!</definedName>
    <definedName name="光轮压路机12_15t" localSheetId="3">[14]附表3机械台班!#REF!</definedName>
    <definedName name="光轮压路机12_15t">[15]附表3机械台班!#REF!</definedName>
    <definedName name="光轮压路机6_8t" localSheetId="0">[13]附表3机械台班!#REF!</definedName>
    <definedName name="光轮压路机6_8t" localSheetId="2">[13]附表3机械台班!#REF!</definedName>
    <definedName name="光轮压路机6_8t" localSheetId="3">[14]附表3机械台班!#REF!</definedName>
    <definedName name="光轮压路机6_8t">[15]附表3机械台班!#REF!</definedName>
    <definedName name="光轮压路机8_10t" localSheetId="0">[13]附表3机械台班!#REF!</definedName>
    <definedName name="光轮压路机8_10t" localSheetId="2">[13]附表3机械台班!#REF!</definedName>
    <definedName name="光轮压路机8_10t" localSheetId="3">[14]附表3机械台班!#REF!</definedName>
    <definedName name="光轮压路机8_10t">[15]附表3机械台班!#REF!</definedName>
    <definedName name="国槐" localSheetId="0">[51]附表2材料价格计算表!#REF!</definedName>
    <definedName name="国槐" localSheetId="2">[51]附表2材料价格计算表!#REF!</definedName>
    <definedName name="国槐" localSheetId="3">[78]附表2材料价格计算表!#REF!</definedName>
    <definedName name="国槐">[53]附表2材料价格计算表!#REF!</definedName>
    <definedName name="哈哈" localSheetId="0">[142]费率!$B$31</definedName>
    <definedName name="哈哈" localSheetId="2">[142]费率!$B$31</definedName>
    <definedName name="哈哈" localSheetId="24">[116]费率!$B$31</definedName>
    <definedName name="哈哈" localSheetId="3">[142]费率!$B$31</definedName>
    <definedName name="哈哈">[143]费率!$B$31</definedName>
    <definedName name="夯实机" localSheetId="0">[55]台班!$C$16</definedName>
    <definedName name="夯实机" localSheetId="2">[55]台班!$C$16</definedName>
    <definedName name="夯实机" localSheetId="24">[55]台班!$C$16</definedName>
    <definedName name="夯实机" localSheetId="3">[56]台班!$C$16</definedName>
    <definedName name="夯实机">[57]台班!$C$16</definedName>
    <definedName name="好" localSheetId="3">#REF!</definedName>
    <definedName name="好">#REF!</definedName>
    <definedName name="好入" localSheetId="3">#REF!</definedName>
    <definedName name="好入">#REF!</definedName>
    <definedName name="合计" localSheetId="0">'[72]#REF'!$G$2</definedName>
    <definedName name="合计" localSheetId="2">'[72]#REF'!$G$2</definedName>
    <definedName name="合计" localSheetId="24">'[72]#REF'!$G$2</definedName>
    <definedName name="合计" localSheetId="3">'[84]#REF'!$G$2</definedName>
    <definedName name="合计">'[85]#REF'!$G$2</definedName>
    <definedName name="合金钻头" localSheetId="0">#REF!</definedName>
    <definedName name="合金钻头" localSheetId="2">#REF!</definedName>
    <definedName name="合金钻头" localSheetId="24">#REF!</definedName>
    <definedName name="合金钻头" localSheetId="3">#REF!</definedName>
    <definedName name="合金钻头">#REF!</definedName>
    <definedName name="合作杨" localSheetId="0">[111]材价汇!$D$48</definedName>
    <definedName name="合作杨" localSheetId="2">[111]材价汇!$D$48</definedName>
    <definedName name="合作杨" localSheetId="24">[111]材价汇!$D$48</definedName>
    <definedName name="合作杨" localSheetId="3">[112]材价汇!$D$48</definedName>
    <definedName name="合作杨">[113]材价汇!$D$48</definedName>
    <definedName name="黑龙沟涵洞_含60米渠道" localSheetId="0">#REF!</definedName>
    <definedName name="黑龙沟涵洞_含60米渠道" localSheetId="2">#REF!</definedName>
    <definedName name="黑龙沟涵洞_含60米渠道" localSheetId="24">#REF!</definedName>
    <definedName name="黑龙沟涵洞_含60米渠道" localSheetId="3">#REF!</definedName>
    <definedName name="黑龙沟涵洞_含60米渠道">#REF!</definedName>
    <definedName name="环氧树脂" localSheetId="0">[13]附表2材料价格表!#REF!</definedName>
    <definedName name="环氧树脂" localSheetId="2">[13]附表2材料价格表!#REF!</definedName>
    <definedName name="环氧树脂" localSheetId="3">[14]附表2材料价格表!#REF!</definedName>
    <definedName name="环氧树脂">[15]附表2材料价格表!#REF!</definedName>
    <definedName name="黄油" localSheetId="0">[55]次材!$D$22</definedName>
    <definedName name="黄油" localSheetId="2">[55]次材!$D$22</definedName>
    <definedName name="黄油" localSheetId="24">[55]次材!$D$22</definedName>
    <definedName name="黄油" localSheetId="3">[56]次材!$D$22</definedName>
    <definedName name="黄油">[57]次材!$D$22</definedName>
    <definedName name="灰浆搅拌机" localSheetId="0">[13]附表3机械台班!#REF!</definedName>
    <definedName name="灰浆搅拌机" localSheetId="2">[13]附表3机械台班!#REF!</definedName>
    <definedName name="灰浆搅拌机" localSheetId="3">[14]附表3机械台班!#REF!</definedName>
    <definedName name="灰浆搅拌机">[15]附表3机械台班!#REF!</definedName>
    <definedName name="恢复认得" localSheetId="0">#REF!,#REF!</definedName>
    <definedName name="恢复认得" localSheetId="2">#REF!,#REF!</definedName>
    <definedName name="恢复认得" localSheetId="24">#REF!,#REF!</definedName>
    <definedName name="恢复认得" localSheetId="3">#REF!,#REF!</definedName>
    <definedName name="恢复认得">#REF!,#REF!</definedName>
    <definedName name="汇率" localSheetId="3">#REF!</definedName>
    <definedName name="汇率">#REF!</definedName>
    <definedName name="汇总" localSheetId="0">#REF!</definedName>
    <definedName name="汇总" localSheetId="2">#REF!</definedName>
    <definedName name="汇总" localSheetId="24">#REF!</definedName>
    <definedName name="汇总" localSheetId="3">#REF!</definedName>
    <definedName name="汇总">#REF!</definedName>
    <definedName name="汇总表" localSheetId="0">#REF!</definedName>
    <definedName name="汇总表" localSheetId="2">#REF!</definedName>
    <definedName name="汇总表" localSheetId="24">#REF!</definedName>
    <definedName name="汇总表" localSheetId="3">#REF!</definedName>
    <definedName name="汇总表">#REF!</definedName>
    <definedName name="混措" localSheetId="0">[55]Sheet3!$H$7</definedName>
    <definedName name="混措" localSheetId="2">[55]Sheet3!$H$7</definedName>
    <definedName name="混措" localSheetId="24">[55]Sheet3!$H$7</definedName>
    <definedName name="混措" localSheetId="3">[56]Sheet3!$H$7</definedName>
    <definedName name="混措">[57]Sheet3!$H$7</definedName>
    <definedName name="混间" localSheetId="0">[55]Sheet3!$F$18</definedName>
    <definedName name="混间" localSheetId="2">[55]Sheet3!$F$18</definedName>
    <definedName name="混间" localSheetId="24">[55]Sheet3!$F$18</definedName>
    <definedName name="混间" localSheetId="3">[56]Sheet3!$F$18</definedName>
    <definedName name="混间">[57]Sheet3!$F$18</definedName>
    <definedName name="混凝土C20" localSheetId="24">[107]配合比!$O$8</definedName>
    <definedName name="混凝土C20">[108]配合比!$O$8</definedName>
    <definedName name="混凝土拌制" localSheetId="0">[144]单位估价!#REF!</definedName>
    <definedName name="混凝土拌制" localSheetId="2">[144]单位估价!#REF!</definedName>
    <definedName name="混凝土拌制" localSheetId="3">[145]单位估价!#REF!</definedName>
    <definedName name="混凝土拌制">[147]单位估价!#REF!</definedName>
    <definedName name="混凝土拌制1" localSheetId="0">[148]单位估价!#REF!</definedName>
    <definedName name="混凝土拌制1" localSheetId="2">[148]单位估价!#REF!</definedName>
    <definedName name="混凝土拌制1" localSheetId="3">[145]单位估价!#REF!</definedName>
    <definedName name="混凝土拌制1">[147]单位估价!#REF!</definedName>
    <definedName name="混凝土泵" localSheetId="0">[13]附表3机械台班!#REF!</definedName>
    <definedName name="混凝土泵" localSheetId="2">[13]附表3机械台班!#REF!</definedName>
    <definedName name="混凝土泵" localSheetId="3">[14]附表3机械台班!#REF!</definedName>
    <definedName name="混凝土泵">[15]附表3机械台班!#REF!</definedName>
    <definedName name="混凝土垂直运输" localSheetId="0">[119]单价分析表!$F$336</definedName>
    <definedName name="混凝土垂直运输" localSheetId="2">[119]单价分析表!$F$336</definedName>
    <definedName name="混凝土垂直运输" localSheetId="24">[119]单价分析表!$F$336</definedName>
    <definedName name="混凝土垂直运输" localSheetId="3">[149]单价分析表!$F$336</definedName>
    <definedName name="混凝土垂直运输">[150]单价分析表!$F$336</definedName>
    <definedName name="混凝土底盘" localSheetId="0">[13]附表2材料价格表!#REF!</definedName>
    <definedName name="混凝土底盘" localSheetId="2">[13]附表2材料价格表!#REF!</definedName>
    <definedName name="混凝土底盘" localSheetId="3">[14]附表2材料价格表!#REF!</definedName>
    <definedName name="混凝土底盘">[15]附表2材料价格表!#REF!</definedName>
    <definedName name="混凝土底盘800×800×800" localSheetId="0">[13]附表2材料价格表!#REF!</definedName>
    <definedName name="混凝土底盘800×800×800" localSheetId="2">[13]附表2材料价格表!#REF!</definedName>
    <definedName name="混凝土底盘800×800×800" localSheetId="3">[14]附表2材料价格表!#REF!</definedName>
    <definedName name="混凝土底盘800×800×800">[15]附表2材料价格表!#REF!</definedName>
    <definedName name="混凝土底盘800800180" localSheetId="0">[51]附表2材料价格计算表!#REF!</definedName>
    <definedName name="混凝土底盘800800180" localSheetId="2">[51]附表2材料价格计算表!#REF!</definedName>
    <definedName name="混凝土底盘800800180" localSheetId="3">[52]附表2材料价格计算表!#REF!</definedName>
    <definedName name="混凝土底盘800800180">[54]附表2材料价格计算表!#REF!</definedName>
    <definedName name="混凝土拉盘LP6" localSheetId="0">[51]附表2材料价格计算表!#REF!</definedName>
    <definedName name="混凝土拉盘LP6" localSheetId="2">[51]附表2材料价格计算表!#REF!</definedName>
    <definedName name="混凝土拉盘LP6" localSheetId="3">[52]附表2材料价格计算表!#REF!</definedName>
    <definedName name="混凝土拉盘LP6">[54]附表2材料价格计算表!#REF!</definedName>
    <definedName name="混凝土拉线盘LP8" localSheetId="0">[51]附表2材料价格计算表!#REF!</definedName>
    <definedName name="混凝土拉线盘LP8" localSheetId="2">[51]附表2材料价格计算表!#REF!</definedName>
    <definedName name="混凝土拉线盘LP8" localSheetId="3">[78]附表2材料价格计算表!#REF!</definedName>
    <definedName name="混凝土拉线盘LP8">[53]附表2材料价格计算表!#REF!</definedName>
    <definedName name="混凝土水平运输" localSheetId="0">[144]单位估价!#REF!</definedName>
    <definedName name="混凝土水平运输" localSheetId="2">[144]单位估价!#REF!</definedName>
    <definedName name="混凝土水平运输" localSheetId="3">[151]单位估价!#REF!</definedName>
    <definedName name="混凝土水平运输">[146]单位估价!#REF!</definedName>
    <definedName name="混凝土运输" localSheetId="0">[13]附表5直接工程费单价表!#REF!</definedName>
    <definedName name="混凝土运输" localSheetId="2">[13]附表5直接工程费单价表!#REF!</definedName>
    <definedName name="混凝土运输" localSheetId="3">[14]附表5直接工程费单价表!#REF!</definedName>
    <definedName name="混凝土运输">[15]附表5直接工程费单价表!#REF!</definedName>
    <definedName name="混凝土柱" localSheetId="0">[13]附表2材料价格表!#REF!</definedName>
    <definedName name="混凝土柱" localSheetId="2">[13]附表2材料价格表!#REF!</definedName>
    <definedName name="混凝土柱" localSheetId="3">[14]附表2材料价格表!#REF!</definedName>
    <definedName name="混凝土柱">[15]附表2材料价格表!#REF!</definedName>
    <definedName name="机" localSheetId="0">[13]附表5直接工程费单价表!#REF!</definedName>
    <definedName name="机" localSheetId="2">[13]附表5直接工程费单价表!#REF!</definedName>
    <definedName name="机" localSheetId="3">[14]附表5直接工程费单价表!#REF!</definedName>
    <definedName name="机">[15]附表5直接工程费单价表!#REF!</definedName>
    <definedName name="机1_23_1" localSheetId="0">[13]附表5直接工程费单价表!#REF!</definedName>
    <definedName name="机1_23_1" localSheetId="2">[13]附表5直接工程费单价表!#REF!</definedName>
    <definedName name="机1_23_1" localSheetId="3">[14]附表5直接工程费单价表!#REF!</definedName>
    <definedName name="机1_23_1">[15]附表5直接工程费单价表!#REF!</definedName>
    <definedName name="机10001">0</definedName>
    <definedName name="机100017" localSheetId="0">[51]附表4直接工程费单价表!#REF!</definedName>
    <definedName name="机100017" localSheetId="2">[51]附表4直接工程费单价表!#REF!</definedName>
    <definedName name="机100017" localSheetId="3">[78]附表4直接工程费单价表!#REF!</definedName>
    <definedName name="机100017">[53]附表4直接工程费单价表!#REF!</definedName>
    <definedName name="机10002">0</definedName>
    <definedName name="机100023" localSheetId="0">[51]附表4直接工程费单价表!#REF!</definedName>
    <definedName name="机100023" localSheetId="2">[51]附表4直接工程费单价表!#REF!</definedName>
    <definedName name="机100023" localSheetId="3">[78]附表4直接工程费单价表!#REF!</definedName>
    <definedName name="机100023">[53]附表4直接工程费单价表!#REF!</definedName>
    <definedName name="机100049" localSheetId="0">[51]附表4直接工程费单价表!#REF!</definedName>
    <definedName name="机100049" localSheetId="2">[51]附表4直接工程费单价表!#REF!</definedName>
    <definedName name="机100049" localSheetId="3">[78]附表4直接工程费单价表!#REF!</definedName>
    <definedName name="机100049">[53]附表4直接工程费单价表!#REF!</definedName>
    <definedName name="机10008">0</definedName>
    <definedName name="机10018">0</definedName>
    <definedName name="机10019">0</definedName>
    <definedName name="机10020">0</definedName>
    <definedName name="机10021">0</definedName>
    <definedName name="机10023">0</definedName>
    <definedName name="机10043" localSheetId="0">[51]附表4直接工程费单价表!#REF!</definedName>
    <definedName name="机10043" localSheetId="2">[51]附表4直接工程费单价表!#REF!</definedName>
    <definedName name="机10043" localSheetId="3">[78]附表4直接工程费单价表!#REF!</definedName>
    <definedName name="机10043">[53]附表4直接工程费单价表!#REF!</definedName>
    <definedName name="机10045">0</definedName>
    <definedName name="机10047">0</definedName>
    <definedName name="机10049">0</definedName>
    <definedName name="机10052">0</definedName>
    <definedName name="机10054">0</definedName>
    <definedName name="机10056">0</definedName>
    <definedName name="机10066">0</definedName>
    <definedName name="机10071">0</definedName>
    <definedName name="机10075">0</definedName>
    <definedName name="机10090">0</definedName>
    <definedName name="机10095">"0单位估价表!$E$2291"</definedName>
    <definedName name="机10114">0</definedName>
    <definedName name="机10116">0</definedName>
    <definedName name="机10118">0</definedName>
    <definedName name="机10204" localSheetId="0">[13]附表5直接工程费单价表!#REF!</definedName>
    <definedName name="机10204" localSheetId="2">[13]附表5直接工程费单价表!#REF!</definedName>
    <definedName name="机10204" localSheetId="3">[14]附表5直接工程费单价表!#REF!</definedName>
    <definedName name="机10204">[15]附表5直接工程费单价表!#REF!</definedName>
    <definedName name="机10269" localSheetId="0">[13]附表5直接工程费单价表!#REF!</definedName>
    <definedName name="机10269" localSheetId="2">[13]附表5直接工程费单价表!#REF!</definedName>
    <definedName name="机10269" localSheetId="3">[14]附表5直接工程费单价表!#REF!</definedName>
    <definedName name="机10269">[15]附表5直接工程费单价表!#REF!</definedName>
    <definedName name="机10270" localSheetId="0">[13]附表5直接工程费单价表!#REF!</definedName>
    <definedName name="机10270" localSheetId="2">[13]附表5直接工程费单价表!#REF!</definedName>
    <definedName name="机10270" localSheetId="3">[14]附表5直接工程费单价表!#REF!</definedName>
    <definedName name="机10270">[15]附表5直接工程费单价表!#REF!</definedName>
    <definedName name="机10271" localSheetId="0">[13]附表5直接工程费单价表!#REF!</definedName>
    <definedName name="机10271" localSheetId="2">[13]附表5直接工程费单价表!#REF!</definedName>
    <definedName name="机10271" localSheetId="3">[14]附表5直接工程费单价表!#REF!</definedName>
    <definedName name="机10271">[15]附表5直接工程费单价表!#REF!</definedName>
    <definedName name="机10272" localSheetId="0">[13]附表5直接工程费单价表!#REF!</definedName>
    <definedName name="机10272" localSheetId="2">[13]附表5直接工程费单价表!#REF!</definedName>
    <definedName name="机10272" localSheetId="3">[14]附表5直接工程费单价表!#REF!</definedName>
    <definedName name="机10272">[15]附表5直接工程费单价表!#REF!</definedName>
    <definedName name="机10273" localSheetId="0">[13]附表5直接工程费单价表!#REF!</definedName>
    <definedName name="机10273" localSheetId="2">[13]附表5直接工程费单价表!#REF!</definedName>
    <definedName name="机10273" localSheetId="3">[14]附表5直接工程费单价表!#REF!</definedName>
    <definedName name="机10273">[15]附表5直接工程费单价表!#REF!</definedName>
    <definedName name="机10275" localSheetId="0">[13]附表5直接工程费单价表!#REF!</definedName>
    <definedName name="机10275" localSheetId="2">[13]附表5直接工程费单价表!#REF!</definedName>
    <definedName name="机10275" localSheetId="3">[14]附表5直接工程费单价表!#REF!</definedName>
    <definedName name="机10275">[15]附表5直接工程费单价表!#REF!</definedName>
    <definedName name="机10277" localSheetId="0">[13]附表5直接工程费单价表!#REF!</definedName>
    <definedName name="机10277" localSheetId="2">[13]附表5直接工程费单价表!#REF!</definedName>
    <definedName name="机10277" localSheetId="3">[14]附表5直接工程费单价表!#REF!</definedName>
    <definedName name="机10277">[15]附表5直接工程费单价表!#REF!</definedName>
    <definedName name="机10278" localSheetId="0">[13]附表5直接工程费单价表!#REF!</definedName>
    <definedName name="机10278" localSheetId="2">[13]附表5直接工程费单价表!#REF!</definedName>
    <definedName name="机10278" localSheetId="3">[14]附表5直接工程费单价表!#REF!</definedName>
    <definedName name="机10278">[15]附表5直接工程费单价表!#REF!</definedName>
    <definedName name="机10279" localSheetId="0">[13]附表5直接工程费单价表!#REF!</definedName>
    <definedName name="机10279" localSheetId="2">[13]附表5直接工程费单价表!#REF!</definedName>
    <definedName name="机10279" localSheetId="3">[14]附表5直接工程费单价表!#REF!</definedName>
    <definedName name="机10279">[15]附表5直接工程费单价表!#REF!</definedName>
    <definedName name="机10279A" localSheetId="0">[13]附表5直接工程费单价表!#REF!</definedName>
    <definedName name="机10279A" localSheetId="2">[13]附表5直接工程费单价表!#REF!</definedName>
    <definedName name="机10279A" localSheetId="3">[14]附表5直接工程费单价表!#REF!</definedName>
    <definedName name="机10279A">[15]附表5直接工程费单价表!#REF!</definedName>
    <definedName name="机10280" localSheetId="0">[13]附表5直接工程费单价表!#REF!</definedName>
    <definedName name="机10280" localSheetId="2">[13]附表5直接工程费单价表!#REF!</definedName>
    <definedName name="机10280" localSheetId="3">[14]附表5直接工程费单价表!#REF!</definedName>
    <definedName name="机10280">[15]附表5直接工程费单价表!#REF!</definedName>
    <definedName name="机10280A" localSheetId="0">[13]附表5直接工程费单价表!#REF!</definedName>
    <definedName name="机10280A" localSheetId="2">[13]附表5直接工程费单价表!#REF!</definedName>
    <definedName name="机10280A" localSheetId="3">[14]附表5直接工程费单价表!#REF!</definedName>
    <definedName name="机10280A">[15]附表5直接工程费单价表!#REF!</definedName>
    <definedName name="机10281" localSheetId="0">[13]附表5直接工程费单价表!#REF!</definedName>
    <definedName name="机10281" localSheetId="2">[13]附表5直接工程费单价表!#REF!</definedName>
    <definedName name="机10281" localSheetId="3">[14]附表5直接工程费单价表!#REF!</definedName>
    <definedName name="机10281">[15]附表5直接工程费单价表!#REF!</definedName>
    <definedName name="机10281A" localSheetId="0">[13]附表5直接工程费单价表!#REF!</definedName>
    <definedName name="机10281A" localSheetId="2">[13]附表5直接工程费单价表!#REF!</definedName>
    <definedName name="机10281A" localSheetId="3">[14]附表5直接工程费单价表!#REF!</definedName>
    <definedName name="机10281A">[15]附表5直接工程费单价表!#REF!</definedName>
    <definedName name="机10282" localSheetId="0">[13]附表5直接工程费单价表!#REF!</definedName>
    <definedName name="机10282" localSheetId="2">[13]附表5直接工程费单价表!#REF!</definedName>
    <definedName name="机10282" localSheetId="3">[14]附表5直接工程费单价表!#REF!</definedName>
    <definedName name="机10282">[15]附表5直接工程费单价表!#REF!</definedName>
    <definedName name="机10282A" localSheetId="0">[13]附表5直接工程费单价表!#REF!</definedName>
    <definedName name="机10282A" localSheetId="2">[13]附表5直接工程费单价表!#REF!</definedName>
    <definedName name="机10282A" localSheetId="3">[14]附表5直接工程费单价表!#REF!</definedName>
    <definedName name="机10282A">[15]附表5直接工程费单价表!#REF!</definedName>
    <definedName name="机10283" localSheetId="0">[13]附表5直接工程费单价表!#REF!</definedName>
    <definedName name="机10283" localSheetId="2">[13]附表5直接工程费单价表!#REF!</definedName>
    <definedName name="机10283" localSheetId="3">[14]附表5直接工程费单价表!#REF!</definedName>
    <definedName name="机10283">[15]附表5直接工程费单价表!#REF!</definedName>
    <definedName name="机10283A" localSheetId="0">[13]附表5直接工程费单价表!#REF!</definedName>
    <definedName name="机10283A" localSheetId="2">[13]附表5直接工程费单价表!#REF!</definedName>
    <definedName name="机10283A" localSheetId="3">[14]附表5直接工程费单价表!#REF!</definedName>
    <definedName name="机10283A">[15]附表5直接工程费单价表!#REF!</definedName>
    <definedName name="机10305" localSheetId="0">[93]附表4工程费单价表!#REF!</definedName>
    <definedName name="机10305" localSheetId="2">[93]附表4工程费单价表!#REF!</definedName>
    <definedName name="机10305" localSheetId="3">[100]附表4工程费单价表!#REF!</definedName>
    <definedName name="机10305">[101]附表4工程费单价表!#REF!</definedName>
    <definedName name="机10306" localSheetId="0">[51]附表4直接工程费单价表!#REF!</definedName>
    <definedName name="机10306" localSheetId="2">[51]附表4直接工程费单价表!#REF!</definedName>
    <definedName name="机10306" localSheetId="3">[78]附表4直接工程费单价表!#REF!</definedName>
    <definedName name="机10306">[53]附表4直接工程费单价表!#REF!</definedName>
    <definedName name="机10309" localSheetId="0">[13]附表5直接工程费单价表!#REF!</definedName>
    <definedName name="机10309" localSheetId="2">[13]附表5直接工程费单价表!#REF!</definedName>
    <definedName name="机10309" localSheetId="3">[14]附表5直接工程费单价表!#REF!</definedName>
    <definedName name="机10309">[15]附表5直接工程费单价表!#REF!</definedName>
    <definedName name="机10310" localSheetId="0">[13]附表5直接工程费单价表!#REF!</definedName>
    <definedName name="机10310" localSheetId="2">[13]附表5直接工程费单价表!#REF!</definedName>
    <definedName name="机10310" localSheetId="3">[14]附表5直接工程费单价表!#REF!</definedName>
    <definedName name="机10310">[15]附表5直接工程费单价表!#REF!</definedName>
    <definedName name="机10311" localSheetId="0">[13]附表5直接工程费单价表!#REF!</definedName>
    <definedName name="机10311" localSheetId="2">[13]附表5直接工程费单价表!#REF!</definedName>
    <definedName name="机10311" localSheetId="3">[14]附表5直接工程费单价表!#REF!</definedName>
    <definedName name="机10311">[15]附表5直接工程费单价表!#REF!</definedName>
    <definedName name="机10315" localSheetId="0">[93]附表4工程费单价表!#REF!</definedName>
    <definedName name="机10315" localSheetId="2">[93]附表4工程费单价表!#REF!</definedName>
    <definedName name="机10315" localSheetId="3">[100]附表4工程费单价表!#REF!</definedName>
    <definedName name="机10315">[101]附表4工程费单价表!#REF!</definedName>
    <definedName name="机10332" localSheetId="0">[51]附表4直接工程费单价表!#REF!</definedName>
    <definedName name="机10332" localSheetId="2">[51]附表4直接工程费单价表!#REF!</definedName>
    <definedName name="机10332" localSheetId="3">[78]附表4直接工程费单价表!#REF!</definedName>
    <definedName name="机10332">[53]附表4直接工程费单价表!#REF!</definedName>
    <definedName name="机10333" localSheetId="0">[51]附表4直接工程费单价表!#REF!</definedName>
    <definedName name="机10333" localSheetId="2">[51]附表4直接工程费单价表!#REF!</definedName>
    <definedName name="机10333" localSheetId="3">[78]附表4直接工程费单价表!#REF!</definedName>
    <definedName name="机10333">[53]附表4直接工程费单价表!#REF!</definedName>
    <definedName name="机10334" localSheetId="0">[13]附表5直接工程费单价表!#REF!</definedName>
    <definedName name="机10334" localSheetId="2">[13]附表5直接工程费单价表!#REF!</definedName>
    <definedName name="机10334" localSheetId="3">[14]附表5直接工程费单价表!#REF!</definedName>
    <definedName name="机10334">[15]附表5直接工程费单价表!#REF!</definedName>
    <definedName name="机10339" localSheetId="0">[13]附表5直接工程费单价表!#REF!</definedName>
    <definedName name="机10339" localSheetId="2">[13]附表5直接工程费单价表!#REF!</definedName>
    <definedName name="机10339" localSheetId="3">[14]附表5直接工程费单价表!#REF!</definedName>
    <definedName name="机10339">[15]附表5直接工程费单价表!#REF!</definedName>
    <definedName name="机10344" localSheetId="0">[51]附表4直接工程费单价表!#REF!</definedName>
    <definedName name="机10344" localSheetId="2">[51]附表4直接工程费单价表!#REF!</definedName>
    <definedName name="机10344" localSheetId="3">[78]附表4直接工程费单价表!#REF!</definedName>
    <definedName name="机10344">[53]附表4直接工程费单价表!#REF!</definedName>
    <definedName name="机10345" localSheetId="0">[51]附表4直接工程费单价表!#REF!</definedName>
    <definedName name="机10345" localSheetId="2">[51]附表4直接工程费单价表!#REF!</definedName>
    <definedName name="机10345" localSheetId="3">[78]附表4直接工程费单价表!#REF!</definedName>
    <definedName name="机10345">[53]附表4直接工程费单价表!#REF!</definedName>
    <definedName name="机10360" localSheetId="0">[13]附表5直接工程费单价表!#REF!</definedName>
    <definedName name="机10360" localSheetId="2">[13]附表5直接工程费单价表!#REF!</definedName>
    <definedName name="机10360" localSheetId="3">[14]附表5直接工程费单价表!#REF!</definedName>
    <definedName name="机10360">[15]附表5直接工程费单价表!#REF!</definedName>
    <definedName name="机10361" localSheetId="0">[13]附表5直接工程费单价表!#REF!</definedName>
    <definedName name="机10361" localSheetId="2">[13]附表5直接工程费单价表!#REF!</definedName>
    <definedName name="机10361" localSheetId="3">[14]附表5直接工程费单价表!#REF!</definedName>
    <definedName name="机10361">[15]附表5直接工程费单价表!#REF!</definedName>
    <definedName name="机10365" localSheetId="0">[13]附表5直接工程费单价表!#REF!</definedName>
    <definedName name="机10365" localSheetId="2">[13]附表5直接工程费单价表!#REF!</definedName>
    <definedName name="机10365" localSheetId="3">[14]附表5直接工程费单价表!#REF!</definedName>
    <definedName name="机10365">[15]附表5直接工程费单价表!#REF!</definedName>
    <definedName name="机10366" localSheetId="0">[13]附表5直接工程费单价表!#REF!</definedName>
    <definedName name="机10366" localSheetId="2">[13]附表5直接工程费单价表!#REF!</definedName>
    <definedName name="机10366" localSheetId="3">[14]附表5直接工程费单价表!#REF!</definedName>
    <definedName name="机10366">[15]附表5直接工程费单价表!#REF!</definedName>
    <definedName name="机10367" localSheetId="0">[13]附表5直接工程费单价表!#REF!</definedName>
    <definedName name="机10367" localSheetId="2">[13]附表5直接工程费单价表!#REF!</definedName>
    <definedName name="机10367" localSheetId="3">[14]附表5直接工程费单价表!#REF!</definedName>
    <definedName name="机10367">[15]附表5直接工程费单价表!#REF!</definedName>
    <definedName name="机10464">0</definedName>
    <definedName name="机10465" localSheetId="0">[13]附表5直接工程费单价表!#REF!</definedName>
    <definedName name="机10465" localSheetId="2">[13]附表5直接工程费单价表!#REF!</definedName>
    <definedName name="机10465" localSheetId="3">[14]附表5直接工程费单价表!#REF!</definedName>
    <definedName name="机10465">[15]附表5直接工程费单价表!#REF!</definedName>
    <definedName name="机10469" localSheetId="0">[13]附表5直接工程费单价表!#REF!</definedName>
    <definedName name="机10469" localSheetId="2">[13]附表5直接工程费单价表!#REF!</definedName>
    <definedName name="机10469" localSheetId="3">[14]附表5直接工程费单价表!#REF!</definedName>
    <definedName name="机10469">[15]附表5直接工程费单价表!#REF!</definedName>
    <definedName name="机10469A" localSheetId="0">[13]附表5直接工程费单价表!#REF!</definedName>
    <definedName name="机10469A" localSheetId="2">[13]附表5直接工程费单价表!#REF!</definedName>
    <definedName name="机10469A" localSheetId="3">[14]附表5直接工程费单价表!#REF!</definedName>
    <definedName name="机10469A">[15]附表5直接工程费单价表!#REF!</definedName>
    <definedName name="机10473" localSheetId="0">[13]附表5直接工程费单价表!#REF!</definedName>
    <definedName name="机10473" localSheetId="2">[13]附表5直接工程费单价表!#REF!</definedName>
    <definedName name="机10473" localSheetId="3">[14]附表5直接工程费单价表!#REF!</definedName>
    <definedName name="机10473">[15]附表5直接工程费单价表!#REF!</definedName>
    <definedName name="机10474" localSheetId="0">[13]附表5直接工程费单价表!#REF!</definedName>
    <definedName name="机10474" localSheetId="2">[13]附表5直接工程费单价表!#REF!</definedName>
    <definedName name="机10474" localSheetId="3">[14]附表5直接工程费单价表!#REF!</definedName>
    <definedName name="机10474">[15]附表5直接工程费单价表!#REF!</definedName>
    <definedName name="机12001" localSheetId="0">[13]附表5直接工程费单价表!#REF!</definedName>
    <definedName name="机12001" localSheetId="2">[13]附表5直接工程费单价表!#REF!</definedName>
    <definedName name="机12001" localSheetId="3">[14]附表5直接工程费单价表!#REF!</definedName>
    <definedName name="机12001">[15]附表5直接工程费单价表!#REF!</definedName>
    <definedName name="机12074" localSheetId="0">[13]附表5直接工程费单价表!#REF!</definedName>
    <definedName name="机12074" localSheetId="2">[13]附表5直接工程费单价表!#REF!</definedName>
    <definedName name="机12074" localSheetId="3">[14]附表5直接工程费单价表!#REF!</definedName>
    <definedName name="机12074">[15]附表5直接工程费单价表!#REF!</definedName>
    <definedName name="机12075" localSheetId="0">[13]附表5直接工程费单价表!#REF!</definedName>
    <definedName name="机12075" localSheetId="2">[13]附表5直接工程费单价表!#REF!</definedName>
    <definedName name="机12075" localSheetId="3">[14]附表5直接工程费单价表!#REF!</definedName>
    <definedName name="机12075">[15]附表5直接工程费单价表!#REF!</definedName>
    <definedName name="机2_19_3" localSheetId="0">[13]附表5直接工程费单价表!#REF!</definedName>
    <definedName name="机2_19_3" localSheetId="2">[13]附表5直接工程费单价表!#REF!</definedName>
    <definedName name="机2_19_3" localSheetId="3">[14]附表5直接工程费单价表!#REF!</definedName>
    <definedName name="机2_19_3">[15]附表5直接工程费单价表!#REF!</definedName>
    <definedName name="机2_19_4" localSheetId="0">[13]附表5直接工程费单价表!#REF!</definedName>
    <definedName name="机2_19_4" localSheetId="2">[13]附表5直接工程费单价表!#REF!</definedName>
    <definedName name="机2_19_4" localSheetId="3">[14]附表5直接工程费单价表!#REF!</definedName>
    <definedName name="机2_19_4">[15]附表5直接工程费单价表!#REF!</definedName>
    <definedName name="机20484" localSheetId="0">[13]附表5直接工程费单价表!#REF!</definedName>
    <definedName name="机20484" localSheetId="2">[13]附表5直接工程费单价表!#REF!</definedName>
    <definedName name="机20484" localSheetId="3">[14]附表5直接工程费单价表!#REF!</definedName>
    <definedName name="机20484">[15]附表5直接工程费单价表!#REF!</definedName>
    <definedName name="机20485" localSheetId="0">[13]附表5直接工程费单价表!#REF!</definedName>
    <definedName name="机20485" localSheetId="2">[13]附表5直接工程费单价表!#REF!</definedName>
    <definedName name="机20485" localSheetId="3">[14]附表5直接工程费单价表!#REF!</definedName>
    <definedName name="机20485">[15]附表5直接工程费单价表!#REF!</definedName>
    <definedName name="机20488" localSheetId="0">[13]附表5直接工程费单价表!#REF!</definedName>
    <definedName name="机20488" localSheetId="2">[13]附表5直接工程费单价表!#REF!</definedName>
    <definedName name="机20488" localSheetId="3">[14]附表5直接工程费单价表!#REF!</definedName>
    <definedName name="机20488">[15]附表5直接工程费单价表!#REF!</definedName>
    <definedName name="机30001">0</definedName>
    <definedName name="机30002">0</definedName>
    <definedName name="机30016" localSheetId="0">[13]附表5直接工程费单价表!#REF!</definedName>
    <definedName name="机30016" localSheetId="2">[13]附表5直接工程费单价表!#REF!</definedName>
    <definedName name="机30016" localSheetId="3">[14]附表5直接工程费单价表!#REF!</definedName>
    <definedName name="机30016">[15]附表5直接工程费单价表!#REF!</definedName>
    <definedName name="机30019" localSheetId="0">[13]附表5直接工程费单价表!#REF!</definedName>
    <definedName name="机30019" localSheetId="2">[13]附表5直接工程费单价表!#REF!</definedName>
    <definedName name="机30019" localSheetId="3">[14]附表5直接工程费单价表!#REF!</definedName>
    <definedName name="机30019">[15]附表5直接工程费单价表!#REF!</definedName>
    <definedName name="机30020" localSheetId="0">[13]附表5直接工程费单价表!#REF!</definedName>
    <definedName name="机30020" localSheetId="2">[13]附表5直接工程费单价表!#REF!</definedName>
    <definedName name="机30020" localSheetId="3">[14]附表5直接工程费单价表!#REF!</definedName>
    <definedName name="机30020">[15]附表5直接工程费单价表!#REF!</definedName>
    <definedName name="机30021" localSheetId="0">[13]附表5直接工程费单价表!#REF!</definedName>
    <definedName name="机30021" localSheetId="2">[13]附表5直接工程费单价表!#REF!</definedName>
    <definedName name="机30021" localSheetId="3">[14]附表5直接工程费单价表!#REF!</definedName>
    <definedName name="机30021">[15]附表5直接工程费单价表!#REF!</definedName>
    <definedName name="机30022" localSheetId="0">[13]附表5直接工程费单价表!#REF!</definedName>
    <definedName name="机30022" localSheetId="2">[13]附表5直接工程费单价表!#REF!</definedName>
    <definedName name="机30022" localSheetId="3">[14]附表5直接工程费单价表!#REF!</definedName>
    <definedName name="机30022">[15]附表5直接工程费单价表!#REF!</definedName>
    <definedName name="机30023" localSheetId="0">[13]附表5直接工程费单价表!#REF!</definedName>
    <definedName name="机30023" localSheetId="2">[13]附表5直接工程费单价表!#REF!</definedName>
    <definedName name="机30023" localSheetId="3">[14]附表5直接工程费单价表!#REF!</definedName>
    <definedName name="机30023">[15]附表5直接工程费单价表!#REF!</definedName>
    <definedName name="机30024">0</definedName>
    <definedName name="机30025" localSheetId="0">[13]附表5直接工程费单价表!#REF!</definedName>
    <definedName name="机30025" localSheetId="2">[13]附表5直接工程费单价表!#REF!</definedName>
    <definedName name="机30025" localSheetId="3">[14]附表5直接工程费单价表!#REF!</definedName>
    <definedName name="机30025">[15]附表5直接工程费单价表!#REF!</definedName>
    <definedName name="机30026">0</definedName>
    <definedName name="机30027" localSheetId="0">[13]附表5直接工程费单价表!#REF!</definedName>
    <definedName name="机30027" localSheetId="2">[13]附表5直接工程费单价表!#REF!</definedName>
    <definedName name="机30027" localSheetId="3">[14]附表5直接工程费单价表!#REF!</definedName>
    <definedName name="机30027">[15]附表5直接工程费单价表!#REF!</definedName>
    <definedName name="机30028">0</definedName>
    <definedName name="机30048" localSheetId="0">[13]附表5直接工程费单价表!#REF!</definedName>
    <definedName name="机30048" localSheetId="2">[13]附表5直接工程费单价表!#REF!</definedName>
    <definedName name="机30048" localSheetId="3">[14]附表5直接工程费单价表!#REF!</definedName>
    <definedName name="机30048">[15]附表5直接工程费单价表!#REF!</definedName>
    <definedName name="机30048、30051" localSheetId="0">[13]附表5直接工程费单价表!#REF!</definedName>
    <definedName name="机30048、30051" localSheetId="2">[13]附表5直接工程费单价表!#REF!</definedName>
    <definedName name="机30048、30051" localSheetId="3">[14]附表5直接工程费单价表!#REF!</definedName>
    <definedName name="机30048、30051">[15]附表5直接工程费单价表!#REF!</definedName>
    <definedName name="机30049" localSheetId="0">[13]附表5直接工程费单价表!#REF!</definedName>
    <definedName name="机30049" localSheetId="2">[13]附表5直接工程费单价表!#REF!</definedName>
    <definedName name="机30049" localSheetId="3">[14]附表5直接工程费单价表!#REF!</definedName>
    <definedName name="机30049">[15]附表5直接工程费单价表!#REF!</definedName>
    <definedName name="机40004" localSheetId="0">[51]附表4直接工程费单价表!#REF!</definedName>
    <definedName name="机40004" localSheetId="2">[51]附表4直接工程费单价表!#REF!</definedName>
    <definedName name="机40004" localSheetId="3">[78]附表4直接工程费单价表!#REF!</definedName>
    <definedName name="机40004">[53]附表4直接工程费单价表!#REF!</definedName>
    <definedName name="机40006" localSheetId="0">[97]直接工程费!$F$203</definedName>
    <definedName name="机40006" localSheetId="2">[97]直接工程费!$F$203</definedName>
    <definedName name="机40006" localSheetId="24">[97]直接工程费!$F$203</definedName>
    <definedName name="机40006" localSheetId="3">[98]直接工程费!$F$203</definedName>
    <definedName name="机40006">[99]直接工程费!$F$203</definedName>
    <definedName name="机40006b" localSheetId="0">[51]附表4直接工程费单价表!#REF!</definedName>
    <definedName name="机40006b" localSheetId="2">[51]附表4直接工程费单价表!#REF!</definedName>
    <definedName name="机40006b" localSheetId="3">[52]附表4直接工程费单价表!#REF!</definedName>
    <definedName name="机40006b">[54]附表4直接工程费单价表!#REF!</definedName>
    <definedName name="机40006细石" localSheetId="0">[51]附表4直接工程费单价表!#REF!</definedName>
    <definedName name="机40006细石" localSheetId="2">[51]附表4直接工程费单价表!#REF!</definedName>
    <definedName name="机40006细石" localSheetId="3">[52]附表4直接工程费单价表!#REF!</definedName>
    <definedName name="机40006细石">[54]附表4直接工程费单价表!#REF!</definedName>
    <definedName name="机40030" localSheetId="0">[51]附表4直接工程费单价表!#REF!</definedName>
    <definedName name="机40030" localSheetId="2">[51]附表4直接工程费单价表!#REF!</definedName>
    <definedName name="机40030" localSheetId="3">[78]附表4直接工程费单价表!#REF!</definedName>
    <definedName name="机40030">[53]附表4直接工程费单价表!#REF!</definedName>
    <definedName name="机40031" localSheetId="0">[13]附表5直接工程费单价表!#REF!</definedName>
    <definedName name="机40031" localSheetId="2">[13]附表5直接工程费单价表!#REF!</definedName>
    <definedName name="机40031" localSheetId="3">[14]附表5直接工程费单价表!#REF!</definedName>
    <definedName name="机40031">[15]附表5直接工程费单价表!#REF!</definedName>
    <definedName name="机4003115" localSheetId="0">[51]附表4直接工程费单价表!#REF!</definedName>
    <definedName name="机4003115" localSheetId="2">[51]附表4直接工程费单价表!#REF!</definedName>
    <definedName name="机4003115" localSheetId="3">[78]附表4直接工程费单价表!#REF!</definedName>
    <definedName name="机4003115">[53]附表4直接工程费单价表!#REF!</definedName>
    <definedName name="机40031C15" localSheetId="0">[51]附表4直接工程费单价表!#REF!</definedName>
    <definedName name="机40031C15" localSheetId="2">[51]附表4直接工程费单价表!#REF!</definedName>
    <definedName name="机40031C15" localSheetId="3">[78]附表4直接工程费单价表!#REF!</definedName>
    <definedName name="机40031C15">[53]附表4直接工程费单价表!#REF!</definedName>
    <definedName name="机40041b" localSheetId="0">[51]附表4直接工程费单价表!#REF!</definedName>
    <definedName name="机40041b" localSheetId="2">[51]附表4直接工程费单价表!#REF!</definedName>
    <definedName name="机40041b" localSheetId="3">[78]附表4直接工程费单价表!#REF!</definedName>
    <definedName name="机40041b">[53]附表4直接工程费单价表!#REF!</definedName>
    <definedName name="机40056" localSheetId="0">[51]附表4直接工程费单价表!#REF!</definedName>
    <definedName name="机40056" localSheetId="2">[51]附表4直接工程费单价表!#REF!</definedName>
    <definedName name="机40056" localSheetId="3">[78]附表4直接工程费单价表!#REF!</definedName>
    <definedName name="机40056">[53]附表4直接工程费单价表!#REF!</definedName>
    <definedName name="机40058" localSheetId="0">[13]附表5直接工程费单价表!#REF!</definedName>
    <definedName name="机40058" localSheetId="2">[13]附表5直接工程费单价表!#REF!</definedName>
    <definedName name="机40058" localSheetId="3">[14]附表5直接工程费单价表!#REF!</definedName>
    <definedName name="机40058">[15]附表5直接工程费单价表!#REF!</definedName>
    <definedName name="机40058A" localSheetId="0">[13]附表5直接工程费单价表!#REF!</definedName>
    <definedName name="机40058A" localSheetId="2">[13]附表5直接工程费单价表!#REF!</definedName>
    <definedName name="机40058A" localSheetId="3">[14]附表5直接工程费单价表!#REF!</definedName>
    <definedName name="机40058A">[15]附表5直接工程费单价表!#REF!</definedName>
    <definedName name="机40061" localSheetId="0">[13]附表5直接工程费单价表!#REF!</definedName>
    <definedName name="机40061" localSheetId="2">[13]附表5直接工程费单价表!#REF!</definedName>
    <definedName name="机40061" localSheetId="3">[14]附表5直接工程费单价表!#REF!</definedName>
    <definedName name="机40061">[15]附表5直接工程费单价表!#REF!</definedName>
    <definedName name="机40062" localSheetId="0">[13]附表5直接工程费单价表!#REF!</definedName>
    <definedName name="机40062" localSheetId="2">[13]附表5直接工程费单价表!#REF!</definedName>
    <definedName name="机40062" localSheetId="3">[14]附表5直接工程费单价表!#REF!</definedName>
    <definedName name="机40062">[15]附表5直接工程费单价表!#REF!</definedName>
    <definedName name="机40063" localSheetId="0">[51]附表4直接工程费单价表!#REF!</definedName>
    <definedName name="机40063" localSheetId="2">[51]附表4直接工程费单价表!#REF!</definedName>
    <definedName name="机40063" localSheetId="3">[78]附表4直接工程费单价表!#REF!</definedName>
    <definedName name="机40063">[53]附表4直接工程费单价表!#REF!</definedName>
    <definedName name="机40064" localSheetId="0">[51]附表4直接工程费单价表!#REF!</definedName>
    <definedName name="机40064" localSheetId="2">[51]附表4直接工程费单价表!#REF!</definedName>
    <definedName name="机40064" localSheetId="3">[78]附表4直接工程费单价表!#REF!</definedName>
    <definedName name="机40064">[53]附表4直接工程费单价表!#REF!</definedName>
    <definedName name="机40067" localSheetId="0">[13]附表5直接工程费单价表!#REF!</definedName>
    <definedName name="机40067" localSheetId="2">[13]附表5直接工程费单价表!#REF!</definedName>
    <definedName name="机40067" localSheetId="3">[14]附表5直接工程费单价表!#REF!</definedName>
    <definedName name="机40067">[15]附表5直接工程费单价表!#REF!</definedName>
    <definedName name="机40067A" localSheetId="0">[13]附表5直接工程费单价表!#REF!</definedName>
    <definedName name="机40067A" localSheetId="2">[13]附表5直接工程费单价表!#REF!</definedName>
    <definedName name="机40067A" localSheetId="3">[14]附表5直接工程费单价表!#REF!</definedName>
    <definedName name="机40067A">[15]附表5直接工程费单价表!#REF!</definedName>
    <definedName name="机40068" localSheetId="0">[13]附表5直接工程费单价表!#REF!</definedName>
    <definedName name="机40068" localSheetId="2">[13]附表5直接工程费单价表!#REF!</definedName>
    <definedName name="机40068" localSheetId="3">[14]附表5直接工程费单价表!#REF!</definedName>
    <definedName name="机40068">[15]附表5直接工程费单价表!#REF!</definedName>
    <definedName name="机40069" localSheetId="0">[13]附表5直接工程费单价表!#REF!</definedName>
    <definedName name="机40069" localSheetId="2">[13]附表5直接工程费单价表!#REF!</definedName>
    <definedName name="机40069" localSheetId="3">[14]附表5直接工程费单价表!#REF!</definedName>
    <definedName name="机40069">[15]附表5直接工程费单价表!#REF!</definedName>
    <definedName name="机40070" localSheetId="0">[13]附表5直接工程费单价表!#REF!</definedName>
    <definedName name="机40070" localSheetId="2">[13]附表5直接工程费单价表!#REF!</definedName>
    <definedName name="机40070" localSheetId="3">[14]附表5直接工程费单价表!#REF!</definedName>
    <definedName name="机40070">[15]附表5直接工程费单价表!#REF!</definedName>
    <definedName name="机40072" localSheetId="0">[13]附表5直接工程费单价表!#REF!</definedName>
    <definedName name="机40072" localSheetId="2">[13]附表5直接工程费单价表!#REF!</definedName>
    <definedName name="机40072" localSheetId="3">[14]附表5直接工程费单价表!#REF!</definedName>
    <definedName name="机40072">[15]附表5直接工程费单价表!#REF!</definedName>
    <definedName name="机40073" localSheetId="0">[51]附表4直接工程费单价表!#REF!</definedName>
    <definedName name="机40073" localSheetId="2">[51]附表4直接工程费单价表!#REF!</definedName>
    <definedName name="机40073" localSheetId="3">[78]附表4直接工程费单价表!#REF!</definedName>
    <definedName name="机40073">[53]附表4直接工程费单价表!#REF!</definedName>
    <definedName name="机40074" localSheetId="0">[13]附表5直接工程费单价表!#REF!</definedName>
    <definedName name="机40074" localSheetId="2">[13]附表5直接工程费单价表!#REF!</definedName>
    <definedName name="机40074" localSheetId="3">[14]附表5直接工程费单价表!#REF!</definedName>
    <definedName name="机40074">[15]附表5直接工程费单价表!#REF!</definedName>
    <definedName name="机40075" localSheetId="0">[13]附表5直接工程费单价表!#REF!</definedName>
    <definedName name="机40075" localSheetId="2">[13]附表5直接工程费单价表!#REF!</definedName>
    <definedName name="机40075" localSheetId="3">[14]附表5直接工程费单价表!#REF!</definedName>
    <definedName name="机40075">[15]附表5直接工程费单价表!#REF!</definedName>
    <definedName name="机40076" localSheetId="0">[13]附表5直接工程费单价表!#REF!</definedName>
    <definedName name="机40076" localSheetId="2">[13]附表5直接工程费单价表!#REF!</definedName>
    <definedName name="机40076" localSheetId="3">[14]附表5直接工程费单价表!#REF!</definedName>
    <definedName name="机40076">[15]附表5直接工程费单价表!#REF!</definedName>
    <definedName name="机4007620" localSheetId="0">[51]附表4直接工程费单价表!#REF!</definedName>
    <definedName name="机4007620" localSheetId="2">[51]附表4直接工程费单价表!#REF!</definedName>
    <definedName name="机4007620" localSheetId="3">[78]附表4直接工程费单价表!#REF!</definedName>
    <definedName name="机4007620">[53]附表4直接工程费单价表!#REF!</definedName>
    <definedName name="机40077" localSheetId="0">[51]附表4直接工程费单价表!#REF!</definedName>
    <definedName name="机40077" localSheetId="2">[51]附表4直接工程费单价表!#REF!</definedName>
    <definedName name="机40077" localSheetId="3">[78]附表4直接工程费单价表!#REF!</definedName>
    <definedName name="机40077">[53]附表4直接工程费单价表!#REF!</definedName>
    <definedName name="机40079" localSheetId="0">[51]附表4直接工程费单价表!#REF!</definedName>
    <definedName name="机40079" localSheetId="2">[51]附表4直接工程费单价表!#REF!</definedName>
    <definedName name="机40079" localSheetId="3">[78]附表4直接工程费单价表!#REF!</definedName>
    <definedName name="机40079">[53]附表4直接工程费单价表!#REF!</definedName>
    <definedName name="机40090" localSheetId="0">[13]附表5直接工程费单价表!#REF!</definedName>
    <definedName name="机40090" localSheetId="2">[13]附表5直接工程费单价表!#REF!</definedName>
    <definedName name="机40090" localSheetId="3">[14]附表5直接工程费单价表!#REF!</definedName>
    <definedName name="机40090">[15]附表5直接工程费单价表!#REF!</definedName>
    <definedName name="机40096" localSheetId="0">[13]附表5直接工程费单价表!#REF!</definedName>
    <definedName name="机40096" localSheetId="2">[13]附表5直接工程费单价表!#REF!</definedName>
    <definedName name="机40096" localSheetId="3">[14]附表5直接工程费单价表!#REF!</definedName>
    <definedName name="机40096">[15]附表5直接工程费单价表!#REF!</definedName>
    <definedName name="机40101" localSheetId="0">[13]附表5直接工程费单价表!#REF!</definedName>
    <definedName name="机40101" localSheetId="2">[13]附表5直接工程费单价表!#REF!</definedName>
    <definedName name="机40101" localSheetId="3">[14]附表5直接工程费单价表!#REF!</definedName>
    <definedName name="机40101">[15]附表5直接工程费单价表!#REF!</definedName>
    <definedName name="机40101A" localSheetId="0">[13]附表5直接工程费单价表!#REF!</definedName>
    <definedName name="机40101A" localSheetId="2">[13]附表5直接工程费单价表!#REF!</definedName>
    <definedName name="机40101A" localSheetId="3">[14]附表5直接工程费单价表!#REF!</definedName>
    <definedName name="机40101A">[15]附表5直接工程费单价表!#REF!</definedName>
    <definedName name="机40101B" localSheetId="0">[13]附表5直接工程费单价表!#REF!</definedName>
    <definedName name="机40101B" localSheetId="2">[13]附表5直接工程费单价表!#REF!</definedName>
    <definedName name="机40101B" localSheetId="3">[14]附表5直接工程费单价表!#REF!</definedName>
    <definedName name="机40101B">[15]附表5直接工程费单价表!#REF!</definedName>
    <definedName name="机40109" localSheetId="0">[13]附表5直接工程费单价表!#REF!</definedName>
    <definedName name="机40109" localSheetId="2">[13]附表5直接工程费单价表!#REF!</definedName>
    <definedName name="机40109" localSheetId="3">[14]附表5直接工程费单价表!#REF!</definedName>
    <definedName name="机40109">[15]附表5直接工程费单价表!#REF!</definedName>
    <definedName name="机40110" localSheetId="0">[13]附表5直接工程费单价表!#REF!</definedName>
    <definedName name="机40110" localSheetId="2">[13]附表5直接工程费单价表!#REF!</definedName>
    <definedName name="机40110" localSheetId="3">[14]附表5直接工程费单价表!#REF!</definedName>
    <definedName name="机40110">[15]附表5直接工程费单价表!#REF!</definedName>
    <definedName name="机40111" localSheetId="0">[13]附表5直接工程费单价表!#REF!</definedName>
    <definedName name="机40111" localSheetId="2">[13]附表5直接工程费单价表!#REF!</definedName>
    <definedName name="机40111" localSheetId="3">[14]附表5直接工程费单价表!#REF!</definedName>
    <definedName name="机40111">[15]附表5直接工程费单价表!#REF!</definedName>
    <definedName name="机40112" localSheetId="0">[13]附表5直接工程费单价表!#REF!</definedName>
    <definedName name="机40112" localSheetId="2">[13]附表5直接工程费单价表!#REF!</definedName>
    <definedName name="机40112" localSheetId="3">[14]附表5直接工程费单价表!#REF!</definedName>
    <definedName name="机40112">[15]附表5直接工程费单价表!#REF!</definedName>
    <definedName name="机40113" localSheetId="0">[13]附表5直接工程费单价表!#REF!</definedName>
    <definedName name="机40113" localSheetId="2">[13]附表5直接工程费单价表!#REF!</definedName>
    <definedName name="机40113" localSheetId="3">[14]附表5直接工程费单价表!#REF!</definedName>
    <definedName name="机40113">[15]附表5直接工程费单价表!#REF!</definedName>
    <definedName name="机40114" localSheetId="0">[13]附表5直接工程费单价表!#REF!</definedName>
    <definedName name="机40114" localSheetId="2">[13]附表5直接工程费单价表!#REF!</definedName>
    <definedName name="机40114" localSheetId="3">[14]附表5直接工程费单价表!#REF!</definedName>
    <definedName name="机40114">[15]附表5直接工程费单价表!#REF!</definedName>
    <definedName name="机40115" localSheetId="0">[51]附表4直接工程费单价表!#REF!</definedName>
    <definedName name="机40115" localSheetId="2">[51]附表4直接工程费单价表!#REF!</definedName>
    <definedName name="机40115" localSheetId="3">[78]附表4直接工程费单价表!#REF!</definedName>
    <definedName name="机40115">[53]附表4直接工程费单价表!#REF!</definedName>
    <definedName name="机40116" localSheetId="0">[51]附表4直接工程费单价表!#REF!</definedName>
    <definedName name="机40116" localSheetId="2">[51]附表4直接工程费单价表!#REF!</definedName>
    <definedName name="机40116" localSheetId="3">[78]附表4直接工程费单价表!#REF!</definedName>
    <definedName name="机40116">[53]附表4直接工程费单价表!#REF!</definedName>
    <definedName name="机40118">0</definedName>
    <definedName name="机40120" localSheetId="0">[13]附表5直接工程费单价表!#REF!</definedName>
    <definedName name="机40120" localSheetId="2">[13]附表5直接工程费单价表!#REF!</definedName>
    <definedName name="机40120" localSheetId="3">[14]附表5直接工程费单价表!#REF!</definedName>
    <definedName name="机40120">[15]附表5直接工程费单价表!#REF!</definedName>
    <definedName name="机40124" localSheetId="0">[13]附表5直接工程费单价表!#REF!</definedName>
    <definedName name="机40124" localSheetId="2">[13]附表5直接工程费单价表!#REF!</definedName>
    <definedName name="机40124" localSheetId="3">[14]附表5直接工程费单价表!#REF!</definedName>
    <definedName name="机40124">[15]附表5直接工程费单价表!#REF!</definedName>
    <definedName name="机40125" localSheetId="0">[13]附表5直接工程费单价表!#REF!</definedName>
    <definedName name="机40125" localSheetId="2">[13]附表5直接工程费单价表!#REF!</definedName>
    <definedName name="机40125" localSheetId="3">[14]附表5直接工程费单价表!#REF!</definedName>
    <definedName name="机40125">[15]附表5直接工程费单价表!#REF!</definedName>
    <definedName name="机40133" localSheetId="0">[51]附表4直接工程费单价表!#REF!</definedName>
    <definedName name="机40133" localSheetId="2">[51]附表4直接工程费单价表!#REF!</definedName>
    <definedName name="机40133" localSheetId="3">[78]附表4直接工程费单价表!#REF!</definedName>
    <definedName name="机40133">[53]附表4直接工程费单价表!#REF!</definedName>
    <definedName name="机40134" localSheetId="0">[13]附表5直接工程费单价表!#REF!</definedName>
    <definedName name="机40134" localSheetId="2">[13]附表5直接工程费单价表!#REF!</definedName>
    <definedName name="机40134" localSheetId="3">[14]附表5直接工程费单价表!#REF!</definedName>
    <definedName name="机40134">[15]附表5直接工程费单价表!#REF!</definedName>
    <definedName name="机40143" localSheetId="0">[13]附表5直接工程费单价表!#REF!</definedName>
    <definedName name="机40143" localSheetId="2">[13]附表5直接工程费单价表!#REF!</definedName>
    <definedName name="机40143" localSheetId="3">[14]附表5直接工程费单价表!#REF!</definedName>
    <definedName name="机40143">[15]附表5直接工程费单价表!#REF!</definedName>
    <definedName name="机40192" localSheetId="0">[51]附表4直接工程费单价表!#REF!</definedName>
    <definedName name="机40192" localSheetId="2">[51]附表4直接工程费单价表!#REF!</definedName>
    <definedName name="机40192" localSheetId="3">[78]附表4直接工程费单价表!#REF!</definedName>
    <definedName name="机40192">[53]附表4直接工程费单价表!#REF!</definedName>
    <definedName name="机40203" localSheetId="0">[51]附表4直接工程费单价表!#REF!</definedName>
    <definedName name="机40203" localSheetId="2">[51]附表4直接工程费单价表!#REF!</definedName>
    <definedName name="机40203" localSheetId="3">[78]附表4直接工程费单价表!#REF!</definedName>
    <definedName name="机40203">[53]附表4直接工程费单价表!#REF!</definedName>
    <definedName name="机40214苯" localSheetId="0">[51]附表4直接工程费单价表!#REF!</definedName>
    <definedName name="机40214苯" localSheetId="2">[51]附表4直接工程费单价表!#REF!</definedName>
    <definedName name="机40214苯" localSheetId="3">[78]附表4直接工程费单价表!#REF!</definedName>
    <definedName name="机40214苯">[53]附表4直接工程费单价表!#REF!</definedName>
    <definedName name="机40224" localSheetId="0">[13]附表5直接工程费单价表!#REF!</definedName>
    <definedName name="机40224" localSheetId="2">[13]附表5直接工程费单价表!#REF!</definedName>
    <definedName name="机40224" localSheetId="3">[14]附表5直接工程费单价表!#REF!</definedName>
    <definedName name="机40224">[15]附表5直接工程费单价表!#REF!</definedName>
    <definedName name="机40260" localSheetId="0">[13]附表5直接工程费单价表!#REF!</definedName>
    <definedName name="机40260" localSheetId="2">[13]附表5直接工程费单价表!#REF!</definedName>
    <definedName name="机40260" localSheetId="3">[14]附表5直接工程费单价表!#REF!</definedName>
    <definedName name="机40260">[15]附表5直接工程费单价表!#REF!</definedName>
    <definedName name="机40263">0</definedName>
    <definedName name="机40271">0</definedName>
    <definedName name="机40286" localSheetId="0">[13]附表5直接工程费单价表!#REF!</definedName>
    <definedName name="机40286" localSheetId="2">[13]附表5直接工程费单价表!#REF!</definedName>
    <definedName name="机40286" localSheetId="3">[14]附表5直接工程费单价表!#REF!</definedName>
    <definedName name="机40286">[15]附表5直接工程费单价表!#REF!</definedName>
    <definedName name="机40287" localSheetId="0">[13]附表5直接工程费单价表!#REF!</definedName>
    <definedName name="机40287" localSheetId="2">[13]附表5直接工程费单价表!#REF!</definedName>
    <definedName name="机40287" localSheetId="3">[14]附表5直接工程费单价表!#REF!</definedName>
    <definedName name="机40287">[15]附表5直接工程费单价表!#REF!</definedName>
    <definedName name="机40288" localSheetId="0">[13]附表5直接工程费单价表!#REF!</definedName>
    <definedName name="机40288" localSheetId="2">[13]附表5直接工程费单价表!#REF!</definedName>
    <definedName name="机40288" localSheetId="3">[14]附表5直接工程费单价表!#REF!</definedName>
    <definedName name="机40288">[15]附表5直接工程费单价表!#REF!</definedName>
    <definedName name="机40289" localSheetId="0">[13]附表5直接工程费单价表!#REF!</definedName>
    <definedName name="机40289" localSheetId="2">[13]附表5直接工程费单价表!#REF!</definedName>
    <definedName name="机40289" localSheetId="3">[14]附表5直接工程费单价表!#REF!</definedName>
    <definedName name="机40289">[15]附表5直接工程费单价表!#REF!</definedName>
    <definedName name="机40289A" localSheetId="0">[13]附表5直接工程费单价表!#REF!</definedName>
    <definedName name="机40289A" localSheetId="2">[13]附表5直接工程费单价表!#REF!</definedName>
    <definedName name="机40289A" localSheetId="3">[14]附表5直接工程费单价表!#REF!</definedName>
    <definedName name="机40289A">[15]附表5直接工程费单价表!#REF!</definedName>
    <definedName name="机40306" localSheetId="0">[13]附表5直接工程费单价表!#REF!</definedName>
    <definedName name="机40306" localSheetId="2">[13]附表5直接工程费单价表!#REF!</definedName>
    <definedName name="机40306" localSheetId="3">[14]附表5直接工程费单价表!#REF!</definedName>
    <definedName name="机40306">[15]附表5直接工程费单价表!#REF!</definedName>
    <definedName name="机40306A" localSheetId="0">[13]附表5直接工程费单价表!#REF!</definedName>
    <definedName name="机40306A" localSheetId="2">[13]附表5直接工程费单价表!#REF!</definedName>
    <definedName name="机40306A" localSheetId="3">[14]附表5直接工程费单价表!#REF!</definedName>
    <definedName name="机40306A">[15]附表5直接工程费单价表!#REF!</definedName>
    <definedName name="机40306B" localSheetId="0">[13]附表5直接工程费单价表!#REF!</definedName>
    <definedName name="机40306B" localSheetId="2">[13]附表5直接工程费单价表!#REF!</definedName>
    <definedName name="机40306B" localSheetId="3">[14]附表5直接工程费单价表!#REF!</definedName>
    <definedName name="机40306B">[15]附表5直接工程费单价表!#REF!</definedName>
    <definedName name="机50003" localSheetId="0">[13]附表5直接工程费单价表!#REF!</definedName>
    <definedName name="机50003" localSheetId="2">[13]附表5直接工程费单价表!#REF!</definedName>
    <definedName name="机50003" localSheetId="3">[14]附表5直接工程费单价表!#REF!</definedName>
    <definedName name="机50003">[15]附表5直接工程费单价表!#REF!</definedName>
    <definedName name="机50004" localSheetId="0">[13]附表5直接工程费单价表!#REF!</definedName>
    <definedName name="机50004" localSheetId="2">[13]附表5直接工程费单价表!#REF!</definedName>
    <definedName name="机50004" localSheetId="3">[14]附表5直接工程费单价表!#REF!</definedName>
    <definedName name="机50004">[15]附表5直接工程费单价表!#REF!</definedName>
    <definedName name="机50005" localSheetId="0">[13]附表5直接工程费单价表!#REF!</definedName>
    <definedName name="机50005" localSheetId="2">[13]附表5直接工程费单价表!#REF!</definedName>
    <definedName name="机50005" localSheetId="3">[14]附表5直接工程费单价表!#REF!</definedName>
    <definedName name="机50005">[15]附表5直接工程费单价表!#REF!</definedName>
    <definedName name="机50006" localSheetId="0">[13]附表5直接工程费单价表!#REF!</definedName>
    <definedName name="机50006" localSheetId="2">[13]附表5直接工程费单价表!#REF!</definedName>
    <definedName name="机50006" localSheetId="3">[14]附表5直接工程费单价表!#REF!</definedName>
    <definedName name="机50006">[15]附表5直接工程费单价表!#REF!</definedName>
    <definedName name="机50014" localSheetId="0">[93]附表4工程费单价表!#REF!</definedName>
    <definedName name="机50014" localSheetId="2">[93]附表4工程费单价表!#REF!</definedName>
    <definedName name="机50014" localSheetId="3">[100]附表4工程费单价表!#REF!</definedName>
    <definedName name="机50014">[101]附表4工程费单价表!#REF!</definedName>
    <definedName name="机50045" localSheetId="0">[13]附表5直接工程费单价表!#REF!</definedName>
    <definedName name="机50045" localSheetId="2">[13]附表5直接工程费单价表!#REF!</definedName>
    <definedName name="机50045" localSheetId="3">[14]附表5直接工程费单价表!#REF!</definedName>
    <definedName name="机50045">[15]附表5直接工程费单价表!#REF!</definedName>
    <definedName name="机50046" localSheetId="0">[13]附表5直接工程费单价表!#REF!</definedName>
    <definedName name="机50046" localSheetId="2">[13]附表5直接工程费单价表!#REF!</definedName>
    <definedName name="机50046" localSheetId="3">[14]附表5直接工程费单价表!#REF!</definedName>
    <definedName name="机50046">[15]附表5直接工程费单价表!#REF!</definedName>
    <definedName name="机50049" localSheetId="0">[13]附表5直接工程费单价表!#REF!</definedName>
    <definedName name="机50049" localSheetId="2">[13]附表5直接工程费单价表!#REF!</definedName>
    <definedName name="机50049" localSheetId="3">[14]附表5直接工程费单价表!#REF!</definedName>
    <definedName name="机50049">[15]附表5直接工程费单价表!#REF!</definedName>
    <definedName name="机50050" localSheetId="0">[13]附表5直接工程费单价表!#REF!</definedName>
    <definedName name="机50050" localSheetId="2">[13]附表5直接工程费单价表!#REF!</definedName>
    <definedName name="机50050" localSheetId="3">[14]附表5直接工程费单价表!#REF!</definedName>
    <definedName name="机50050">[15]附表5直接工程费单价表!#REF!</definedName>
    <definedName name="机50113" localSheetId="0">[93]附表4工程费单价表!#REF!</definedName>
    <definedName name="机50113" localSheetId="2">[93]附表4工程费单价表!#REF!</definedName>
    <definedName name="机50113" localSheetId="3">[100]附表4工程费单价表!#REF!</definedName>
    <definedName name="机50113">[101]附表4工程费单价表!#REF!</definedName>
    <definedName name="机50115">0</definedName>
    <definedName name="机70007" localSheetId="0">[51]附表4直接工程费单价表!#REF!</definedName>
    <definedName name="机70007" localSheetId="2">[51]附表4直接工程费单价表!#REF!</definedName>
    <definedName name="机70007" localSheetId="3">[78]附表4直接工程费单价表!#REF!</definedName>
    <definedName name="机70007">[53]附表4直接工程费单价表!#REF!</definedName>
    <definedName name="机70013" localSheetId="0">[51]附表4直接工程费单价表!#REF!</definedName>
    <definedName name="机70013" localSheetId="2">[51]附表4直接工程费单价表!#REF!</definedName>
    <definedName name="机70013" localSheetId="3">[78]附表4直接工程费单价表!#REF!</definedName>
    <definedName name="机70013">[53]附表4直接工程费单价表!#REF!</definedName>
    <definedName name="机70014" localSheetId="0">[51]附表4直接工程费单价表!#REF!</definedName>
    <definedName name="机70014" localSheetId="2">[51]附表4直接工程费单价表!#REF!</definedName>
    <definedName name="机70014" localSheetId="3">[78]附表4直接工程费单价表!#REF!</definedName>
    <definedName name="机70014">[53]附表4直接工程费单价表!#REF!</definedName>
    <definedName name="机70070" localSheetId="0">[51]附表4直接工程费单价表!#REF!</definedName>
    <definedName name="机70070" localSheetId="2">[51]附表4直接工程费单价表!#REF!</definedName>
    <definedName name="机70070" localSheetId="3">[78]附表4直接工程费单价表!#REF!</definedName>
    <definedName name="机70070">[53]附表4直接工程费单价表!#REF!</definedName>
    <definedName name="机70105" localSheetId="0">[51]附表4直接工程费单价表!#REF!</definedName>
    <definedName name="机70105" localSheetId="2">[51]附表4直接工程费单价表!#REF!</definedName>
    <definedName name="机70105" localSheetId="3">[78]附表4直接工程费单价表!#REF!</definedName>
    <definedName name="机70105">[53]附表4直接工程费单价表!#REF!</definedName>
    <definedName name="机70106" localSheetId="0">[51]附表4直接工程费单价表!#REF!</definedName>
    <definedName name="机70106" localSheetId="2">[51]附表4直接工程费单价表!#REF!</definedName>
    <definedName name="机70106" localSheetId="3">[78]附表4直接工程费单价表!#REF!</definedName>
    <definedName name="机70106">[53]附表4直接工程费单价表!#REF!</definedName>
    <definedName name="机70125" localSheetId="0">[51]附表4直接工程费单价表!#REF!</definedName>
    <definedName name="机70125" localSheetId="2">[51]附表4直接工程费单价表!#REF!</definedName>
    <definedName name="机70125" localSheetId="3">[78]附表4直接工程费单价表!#REF!</definedName>
    <definedName name="机70125">[53]附表4直接工程费单价表!#REF!</definedName>
    <definedName name="机70194" localSheetId="0">[13]附表5直接工程费单价表!#REF!</definedName>
    <definedName name="机70194" localSheetId="2">[13]附表5直接工程费单价表!#REF!</definedName>
    <definedName name="机70194" localSheetId="3">[14]附表5直接工程费单价表!#REF!</definedName>
    <definedName name="机70194">[15]附表5直接工程费单价表!#REF!</definedName>
    <definedName name="机70195" localSheetId="0">[13]附表5直接工程费单价表!#REF!</definedName>
    <definedName name="机70195" localSheetId="2">[13]附表5直接工程费单价表!#REF!</definedName>
    <definedName name="机70195" localSheetId="3">[14]附表5直接工程费单价表!#REF!</definedName>
    <definedName name="机70195">[15]附表5直接工程费单价表!#REF!</definedName>
    <definedName name="机70196" localSheetId="0">[13]附表5直接工程费单价表!#REF!</definedName>
    <definedName name="机70196" localSheetId="2">[13]附表5直接工程费单价表!#REF!</definedName>
    <definedName name="机70196" localSheetId="3">[14]附表5直接工程费单价表!#REF!</definedName>
    <definedName name="机70196">[15]附表5直接工程费单价表!#REF!</definedName>
    <definedName name="机80015" localSheetId="0">[51]附表4直接工程费单价表!#REF!</definedName>
    <definedName name="机80015" localSheetId="2">[51]附表4直接工程费单价表!#REF!</definedName>
    <definedName name="机80015" localSheetId="3">[78]附表4直接工程费单价表!#REF!</definedName>
    <definedName name="机80015">[53]附表4直接工程费单价表!#REF!</definedName>
    <definedName name="机80015加800162" localSheetId="0">[51]附表4直接工程费单价表!#REF!</definedName>
    <definedName name="机80015加800162" localSheetId="2">[51]附表4直接工程费单价表!#REF!</definedName>
    <definedName name="机80015加800162" localSheetId="3">[78]附表4直接工程费单价表!#REF!</definedName>
    <definedName name="机80015加800162">[53]附表4直接工程费单价表!#REF!</definedName>
    <definedName name="机80015减80016" localSheetId="0">[51]附表4直接工程费单价表!#REF!</definedName>
    <definedName name="机80015减80016" localSheetId="2">[51]附表4直接工程费单价表!#REF!</definedName>
    <definedName name="机80015减80016" localSheetId="3">[78]附表4直接工程费单价表!#REF!</definedName>
    <definedName name="机80015减80016">[53]附表4直接工程费单价表!#REF!</definedName>
    <definedName name="机80023加8002410" localSheetId="0">[51]附表4直接工程费单价表!#REF!</definedName>
    <definedName name="机80023加8002410" localSheetId="2">[51]附表4直接工程费单价表!#REF!</definedName>
    <definedName name="机80023加8002410" localSheetId="3">[78]附表4直接工程费单价表!#REF!</definedName>
    <definedName name="机80023加8002410">[53]附表4直接工程费单价表!#REF!</definedName>
    <definedName name="机80033" localSheetId="0">[51]附表4直接工程费单价表!#REF!</definedName>
    <definedName name="机80033" localSheetId="2">[51]附表4直接工程费单价表!#REF!</definedName>
    <definedName name="机80033" localSheetId="3">[78]附表4直接工程费单价表!#REF!</definedName>
    <definedName name="机80033">[53]附表4直接工程费单价表!#REF!</definedName>
    <definedName name="机80034" localSheetId="0">[51]附表4直接工程费单价表!#REF!</definedName>
    <definedName name="机80034" localSheetId="2">[51]附表4直接工程费单价表!#REF!</definedName>
    <definedName name="机80034" localSheetId="3">[78]附表4直接工程费单价表!#REF!</definedName>
    <definedName name="机80034">[53]附表4直接工程费单价表!#REF!</definedName>
    <definedName name="机90014" localSheetId="0">[13]附表5直接工程费单价表!#REF!</definedName>
    <definedName name="机90014" localSheetId="2">[13]附表5直接工程费单价表!#REF!</definedName>
    <definedName name="机90014" localSheetId="3">[14]附表5直接工程费单价表!#REF!</definedName>
    <definedName name="机90014">[15]附表5直接工程费单价表!#REF!</definedName>
    <definedName name="机90017" localSheetId="0">[13]附表5直接工程费单价表!#REF!</definedName>
    <definedName name="机90017" localSheetId="2">[13]附表5直接工程费单价表!#REF!</definedName>
    <definedName name="机90017" localSheetId="3">[14]附表5直接工程费单价表!#REF!</definedName>
    <definedName name="机90017">[15]附表5直接工程费单价表!#REF!</definedName>
    <definedName name="机90017A" localSheetId="0">[13]附表5直接工程费单价表!#REF!</definedName>
    <definedName name="机90017A" localSheetId="2">[13]附表5直接工程费单价表!#REF!</definedName>
    <definedName name="机90017A" localSheetId="3">[14]附表5直接工程费单价表!#REF!</definedName>
    <definedName name="机90017A">[15]附表5直接工程费单价表!#REF!</definedName>
    <definedName name="机90085" localSheetId="0">[13]附表5直接工程费单价表!#REF!</definedName>
    <definedName name="机90085" localSheetId="2">[13]附表5直接工程费单价表!#REF!</definedName>
    <definedName name="机90085" localSheetId="3">[14]附表5直接工程费单价表!#REF!</definedName>
    <definedName name="机90085">[15]附表5直接工程费单价表!#REF!</definedName>
    <definedName name="机90086" localSheetId="0">[13]附表5直接工程费单价表!#REF!</definedName>
    <definedName name="机90086" localSheetId="2">[13]附表5直接工程费单价表!#REF!</definedName>
    <definedName name="机90086" localSheetId="3">[14]附表5直接工程费单价表!#REF!</definedName>
    <definedName name="机90086">[15]附表5直接工程费单价表!#REF!</definedName>
    <definedName name="机90087" localSheetId="0">[13]附表5直接工程费单价表!#REF!</definedName>
    <definedName name="机90087" localSheetId="2">[13]附表5直接工程费单价表!#REF!</definedName>
    <definedName name="机90087" localSheetId="3">[14]附表5直接工程费单价表!#REF!</definedName>
    <definedName name="机90087">[15]附表5直接工程费单价表!#REF!</definedName>
    <definedName name="机90087A" localSheetId="0">[13]附表5直接工程费单价表!#REF!</definedName>
    <definedName name="机90087A" localSheetId="2">[13]附表5直接工程费单价表!#REF!</definedName>
    <definedName name="机90087A" localSheetId="3">[14]附表5直接工程费单价表!#REF!</definedName>
    <definedName name="机90087A">[15]附表5直接工程费单价表!#REF!</definedName>
    <definedName name="机90136" localSheetId="0">[13]附表5直接工程费单价表!#REF!</definedName>
    <definedName name="机90136" localSheetId="2">[13]附表5直接工程费单价表!#REF!</definedName>
    <definedName name="机90136" localSheetId="3">[14]附表5直接工程费单价表!#REF!</definedName>
    <definedName name="机90136">[15]附表5直接工程费单价表!#REF!</definedName>
    <definedName name="机90147" localSheetId="0">[13]附表5直接工程费单价表!#REF!</definedName>
    <definedName name="机90147" localSheetId="2">[13]附表5直接工程费单价表!#REF!</definedName>
    <definedName name="机90147" localSheetId="3">[14]附表5直接工程费单价表!#REF!</definedName>
    <definedName name="机90147">[15]附表5直接工程费单价表!#REF!</definedName>
    <definedName name="机90189">0</definedName>
    <definedName name="机补1">0</definedName>
    <definedName name="机补1A">0</definedName>
    <definedName name="机补2" localSheetId="0">[13]附表5直接工程费单价表!#REF!</definedName>
    <definedName name="机补2" localSheetId="2">[13]附表5直接工程费单价表!#REF!</definedName>
    <definedName name="机补2" localSheetId="3">[14]附表5直接工程费单价表!#REF!</definedName>
    <definedName name="机补2">[15]附表5直接工程费单价表!#REF!</definedName>
    <definedName name="机补3" localSheetId="0">[13]附表5直接工程费单价表!#REF!</definedName>
    <definedName name="机补3" localSheetId="2">[13]附表5直接工程费单价表!#REF!</definedName>
    <definedName name="机补3" localSheetId="3">[14]附表5直接工程费单价表!#REF!</definedName>
    <definedName name="机补3">[15]附表5直接工程费单价表!#REF!</definedName>
    <definedName name="机补4">0</definedName>
    <definedName name="机补5">0</definedName>
    <definedName name="机电安装111" localSheetId="24" hidden="1">#REF!</definedName>
    <definedName name="机电安装111" localSheetId="3" hidden="1">#REF!</definedName>
    <definedName name="机电安装111" hidden="1">#REF!</definedName>
    <definedName name="机动翻斗车1t" localSheetId="0">[13]附表3机械台班!#REF!</definedName>
    <definedName name="机动翻斗车1t" localSheetId="2">[13]附表3机械台班!#REF!</definedName>
    <definedName name="机动翻斗车1t" localSheetId="3">[14]附表3机械台班!#REF!</definedName>
    <definedName name="机动翻斗车1t">[15]附表3机械台班!#REF!</definedName>
    <definedName name="机建11_25换" localSheetId="0">[13]附表5直接工程费单价表!#REF!</definedName>
    <definedName name="机建11_25换" localSheetId="2">[13]附表5直接工程费单价表!#REF!</definedName>
    <definedName name="机建11_25换" localSheetId="3">[14]附表5直接工程费单价表!#REF!</definedName>
    <definedName name="机建11_25换">[15]附表5直接工程费单价表!#REF!</definedName>
    <definedName name="机建4_10换" localSheetId="0">[13]附表5直接工程费单价表!#REF!</definedName>
    <definedName name="机建4_10换" localSheetId="2">[13]附表5直接工程费单价表!#REF!</definedName>
    <definedName name="机建4_10换" localSheetId="3">[14]附表5直接工程费单价表!#REF!</definedName>
    <definedName name="机建4_10换">[15]附表5直接工程费单价表!#REF!</definedName>
    <definedName name="机井" localSheetId="24">#REF!</definedName>
    <definedName name="机井" localSheetId="3">#REF!</definedName>
    <definedName name="机井">#REF!</definedName>
    <definedName name="机械调差系数" localSheetId="0">#REF!</definedName>
    <definedName name="机械调差系数" localSheetId="2">#REF!</definedName>
    <definedName name="机械调差系数" localSheetId="24">#REF!</definedName>
    <definedName name="机械调差系数" localSheetId="3">#REF!</definedName>
    <definedName name="机械调差系数">#REF!</definedName>
    <definedName name="机械库" localSheetId="0">#REF!</definedName>
    <definedName name="机械库" localSheetId="2">#REF!</definedName>
    <definedName name="机械库" localSheetId="24">#REF!</definedName>
    <definedName name="机械库" localSheetId="3">#REF!</definedName>
    <definedName name="机械库">#REF!</definedName>
    <definedName name="机械库1" localSheetId="0">#REF!</definedName>
    <definedName name="机械库1" localSheetId="2">#REF!</definedName>
    <definedName name="机械库1" localSheetId="24">#REF!</definedName>
    <definedName name="机械库1" localSheetId="3">#REF!</definedName>
    <definedName name="机械库1">#REF!</definedName>
    <definedName name="机油" localSheetId="0">[51]附表2材料价格计算表!#REF!</definedName>
    <definedName name="机油" localSheetId="2">[51]附表2材料价格计算表!#REF!</definedName>
    <definedName name="机油" localSheetId="3">[78]附表2材料价格计算表!#REF!</definedName>
    <definedName name="机油">[53]附表2材料价格计算表!#REF!</definedName>
    <definedName name="机砖价差" localSheetId="0">[55]主材!$P$14</definedName>
    <definedName name="机砖价差" localSheetId="2">[55]主材!$P$14</definedName>
    <definedName name="机砖价差" localSheetId="24">[55]主材!$P$14</definedName>
    <definedName name="机砖价差" localSheetId="3">[56]主材!$P$14</definedName>
    <definedName name="机砖价差">[57]主材!$P$14</definedName>
    <definedName name="基本电价" localSheetId="0">[51]附表2材料价格计算表!#REF!</definedName>
    <definedName name="基本电价" localSheetId="2">[51]附表2材料价格计算表!#REF!</definedName>
    <definedName name="基本电价" localSheetId="3">[52]附表2材料价格计算表!#REF!</definedName>
    <definedName name="基本电价">[54]附表2材料价格计算表!#REF!</definedName>
    <definedName name="计算表">'[5]SW-TEO'!#REF!</definedName>
    <definedName name="技工" localSheetId="0">[119]人工工资!$E$19</definedName>
    <definedName name="技工" localSheetId="2">[119]人工工资!$E$19</definedName>
    <definedName name="技工" localSheetId="24">[119]人工工资!$E$19</definedName>
    <definedName name="技工" localSheetId="3">[149]人工工资!$E$19</definedName>
    <definedName name="技工">[150]人工工资!$E$19</definedName>
    <definedName name="甲苯" localSheetId="0">[13]附表2材料价格表!#REF!</definedName>
    <definedName name="甲苯" localSheetId="2">[13]附表2材料价格表!#REF!</definedName>
    <definedName name="甲苯" localSheetId="3">[14]附表2材料价格表!#REF!</definedName>
    <definedName name="甲苯">[15]附表2材料价格表!#REF!</definedName>
    <definedName name="甲工">'[120]附表 1 人工单价'!$F$19</definedName>
    <definedName name="甲类" localSheetId="0">[123]附表1人工单价表!#REF!</definedName>
    <definedName name="甲类" localSheetId="2">[123]附表1人工单价表!#REF!</definedName>
    <definedName name="甲类工" localSheetId="0">[55]人工!$D$19</definedName>
    <definedName name="甲类工" localSheetId="2">[55]人工!$D$19</definedName>
    <definedName name="甲类工" localSheetId="24">[55]人工!$D$19</definedName>
    <definedName name="甲类工" localSheetId="3">[56]人工!$D$19</definedName>
    <definedName name="甲类工">[57]人工!$D$19</definedName>
    <definedName name="价_元" localSheetId="0">'[72]#REF'!$F$2</definedName>
    <definedName name="价_元" localSheetId="2">'[72]#REF'!$F$2</definedName>
    <definedName name="价_元" localSheetId="24">'[72]#REF'!$F$2</definedName>
    <definedName name="价_元" localSheetId="3">'[84]#REF'!$F$2</definedName>
    <definedName name="价_元">'[85]#REF'!$F$2</definedName>
    <definedName name="间接安装" localSheetId="0">[119]基础参数值!$I$23</definedName>
    <definedName name="间接安装" localSheetId="2">[119]基础参数值!$I$23</definedName>
    <definedName name="间接安装" localSheetId="24">[119]基础参数值!$I$23</definedName>
    <definedName name="间接安装" localSheetId="3">[149]基础参数值!$I$23</definedName>
    <definedName name="间接安装">[150]基础参数值!$I$23</definedName>
    <definedName name="间接钢筋" localSheetId="0">[119]基础参数值!$I$19</definedName>
    <definedName name="间接钢筋" localSheetId="2">[119]基础参数值!$I$19</definedName>
    <definedName name="间接钢筋" localSheetId="24">[119]基础参数值!$I$19</definedName>
    <definedName name="间接钢筋" localSheetId="3">[149]基础参数值!$I$19</definedName>
    <definedName name="间接钢筋">[150]基础参数值!$I$19</definedName>
    <definedName name="间接其它" localSheetId="0">[119]基础参数值!$I$22</definedName>
    <definedName name="间接其它" localSheetId="2">[119]基础参数值!$I$22</definedName>
    <definedName name="间接其它" localSheetId="24">[119]基础参数值!$I$22</definedName>
    <definedName name="间接其它" localSheetId="3">[149]基础参数值!$I$22</definedName>
    <definedName name="间接其它">[150]基础参数值!$I$22</definedName>
    <definedName name="间接砌石" localSheetId="0">[119]基础参数值!$I$17</definedName>
    <definedName name="间接砌石" localSheetId="2">[119]基础参数值!$I$17</definedName>
    <definedName name="间接砌石" localSheetId="24">[119]基础参数值!$I$17</definedName>
    <definedName name="间接砌石" localSheetId="3">[149]基础参数值!$I$17</definedName>
    <definedName name="间接砌石">[150]基础参数值!$I$17</definedName>
    <definedName name="间接石方" localSheetId="24">[82]基础参数值!$I$16</definedName>
    <definedName name="间接疏浚" localSheetId="24">[82]基础参数值!$I$21</definedName>
    <definedName name="间接砼" localSheetId="0">[119]基础参数值!$I$18</definedName>
    <definedName name="间接砼" localSheetId="2">[119]基础参数值!$I$18</definedName>
    <definedName name="间接砼" localSheetId="24">[119]基础参数值!$I$18</definedName>
    <definedName name="间接砼" localSheetId="3">[149]基础参数值!$I$18</definedName>
    <definedName name="间接砼">[150]基础参数值!$I$18</definedName>
    <definedName name="间接土方" localSheetId="0">[119]基础参数值!$I$15</definedName>
    <definedName name="间接土方" localSheetId="2">[119]基础参数值!$I$15</definedName>
    <definedName name="间接土方" localSheetId="24">[119]基础参数值!$I$15</definedName>
    <definedName name="间接土方" localSheetId="3">[149]基础参数值!$I$15</definedName>
    <definedName name="间接土方">[150]基础参数值!$I$15</definedName>
    <definedName name="间接钻孔" localSheetId="0">[119]基础参数值!$I$20</definedName>
    <definedName name="间接钻孔" localSheetId="2">[119]基础参数值!$I$20</definedName>
    <definedName name="间接钻孔" localSheetId="24">[119]基础参数值!$I$20</definedName>
    <definedName name="间接钻孔" localSheetId="3">[149]基础参数值!$I$20</definedName>
    <definedName name="间接钻孔">[150]基础参数值!$I$20</definedName>
    <definedName name="简易缆索机40t" localSheetId="0">[13]附表3机械台班!#REF!</definedName>
    <definedName name="简易缆索机40t" localSheetId="2">[13]附表3机械台班!#REF!</definedName>
    <definedName name="简易缆索机40t" localSheetId="3">[14]附表3机械台班!#REF!</definedName>
    <definedName name="简易缆索机40t">[15]附表3机械台班!#REF!</definedName>
    <definedName name="碱粉" localSheetId="0">[13]附表2材料价格表!#REF!</definedName>
    <definedName name="碱粉" localSheetId="2">[13]附表2材料价格表!#REF!</definedName>
    <definedName name="碱粉" localSheetId="3">[14]附表2材料价格表!#REF!</definedName>
    <definedName name="碱粉">[15]附表2材料价格表!#REF!</definedName>
    <definedName name="建筑" localSheetId="3">#REF!</definedName>
    <definedName name="建筑">#REF!</definedName>
    <definedName name="建筑小品" localSheetId="3">#REF!</definedName>
    <definedName name="建筑小品">#REF!</definedName>
    <definedName name="交流电焊机30" localSheetId="0">#REF!</definedName>
    <definedName name="交流电焊机30" localSheetId="2">#REF!</definedName>
    <definedName name="交流电焊机30" localSheetId="24">#REF!</definedName>
    <definedName name="交流电焊机30" localSheetId="3">#REF!</definedName>
    <definedName name="交流电焊机30">#REF!</definedName>
    <definedName name="胶φ76" localSheetId="0">[13]附表2材料价格表!#REF!</definedName>
    <definedName name="胶φ76" localSheetId="2">[13]附表2材料价格表!#REF!</definedName>
    <definedName name="胶φ76" localSheetId="3">[14]附表2材料价格表!#REF!</definedName>
    <definedName name="胶φ76">[15]附表2材料价格表!#REF!</definedName>
    <definedName name="胶轮车" localSheetId="0">[13]附表3机械台班!#REF!</definedName>
    <definedName name="胶轮车" localSheetId="2">[13]附表3机械台班!#REF!</definedName>
    <definedName name="胶轮车" localSheetId="3">[14]附表3机械台班!#REF!</definedName>
    <definedName name="胶轮车">[15]附表3机械台班!#REF!</definedName>
    <definedName name="胶轮架子车" localSheetId="0">#REF!</definedName>
    <definedName name="胶轮架子车" localSheetId="2">#REF!</definedName>
    <definedName name="胶轮架子车" localSheetId="24">#REF!</definedName>
    <definedName name="胶轮架子车" localSheetId="3">#REF!</definedName>
    <definedName name="胶轮架子车">#REF!</definedName>
    <definedName name="胶圈" localSheetId="0">[55]次材!$D$37</definedName>
    <definedName name="胶圈" localSheetId="2">[55]次材!$D$37</definedName>
    <definedName name="胶圈" localSheetId="24">[55]次材!$D$37</definedName>
    <definedName name="胶圈" localSheetId="3">[56]次材!$D$37</definedName>
    <definedName name="胶圈">[57]次材!$D$37</definedName>
    <definedName name="胶圈φ110" localSheetId="0">[13]附表2材料价格表!#REF!</definedName>
    <definedName name="胶圈φ110" localSheetId="2">[13]附表2材料价格表!#REF!</definedName>
    <definedName name="胶圈φ110" localSheetId="3">[14]附表2材料价格表!#REF!</definedName>
    <definedName name="胶圈φ110">[15]附表2材料价格表!#REF!</definedName>
    <definedName name="胶圈φ125" localSheetId="0">[13]附表2材料价格表!#REF!</definedName>
    <definedName name="胶圈φ125" localSheetId="2">[13]附表2材料价格表!#REF!</definedName>
    <definedName name="胶圈φ125" localSheetId="3">[14]附表2材料价格表!#REF!</definedName>
    <definedName name="胶圈φ125">[15]附表2材料价格表!#REF!</definedName>
    <definedName name="胶圈φ160" localSheetId="0">[13]附表2材料价格表!#REF!</definedName>
    <definedName name="胶圈φ160" localSheetId="2">[13]附表2材料价格表!#REF!</definedName>
    <definedName name="胶圈φ160" localSheetId="3">[14]附表2材料价格表!#REF!</definedName>
    <definedName name="胶圈φ160">[15]附表2材料价格表!#REF!</definedName>
    <definedName name="胶圈φ200" localSheetId="0">[13]附表2材料价格表!#REF!</definedName>
    <definedName name="胶圈φ200" localSheetId="2">[13]附表2材料价格表!#REF!</definedName>
    <definedName name="胶圈φ200" localSheetId="3">[14]附表2材料价格表!#REF!</definedName>
    <definedName name="胶圈φ200">[15]附表2材料价格表!#REF!</definedName>
    <definedName name="胶圈φ225" localSheetId="0">[13]附表2材料价格表!#REF!</definedName>
    <definedName name="胶圈φ225" localSheetId="2">[13]附表2材料价格表!#REF!</definedName>
    <definedName name="胶圈φ225" localSheetId="3">[14]附表2材料价格表!#REF!</definedName>
    <definedName name="胶圈φ225">[15]附表2材料价格表!#REF!</definedName>
    <definedName name="胶圈φ250" localSheetId="0">[13]附表2材料价格表!#REF!</definedName>
    <definedName name="胶圈φ250" localSheetId="2">[13]附表2材料价格表!#REF!</definedName>
    <definedName name="胶圈φ250" localSheetId="3">[14]附表2材料价格表!#REF!</definedName>
    <definedName name="胶圈φ250">[15]附表2材料价格表!#REF!</definedName>
    <definedName name="胶圈φ315" localSheetId="0">[13]附表2材料价格表!#REF!</definedName>
    <definedName name="胶圈φ315" localSheetId="2">[13]附表2材料价格表!#REF!</definedName>
    <definedName name="胶圈φ315" localSheetId="3">[14]附表2材料价格表!#REF!</definedName>
    <definedName name="胶圈φ315">[15]附表2材料价格表!#REF!</definedName>
    <definedName name="胶圈φ355" localSheetId="0">[13]附表2材料价格表!#REF!</definedName>
    <definedName name="胶圈φ355" localSheetId="2">[13]附表2材料价格表!#REF!</definedName>
    <definedName name="胶圈φ355" localSheetId="3">[14]附表2材料价格表!#REF!</definedName>
    <definedName name="胶圈φ355">[15]附表2材料价格表!#REF!</definedName>
    <definedName name="胶圈φ400" localSheetId="0">[13]附表2材料价格表!#REF!</definedName>
    <definedName name="胶圈φ400" localSheetId="2">[13]附表2材料价格表!#REF!</definedName>
    <definedName name="胶圈φ400" localSheetId="3">[14]附表2材料价格表!#REF!</definedName>
    <definedName name="胶圈φ400">[15]附表2材料价格表!#REF!</definedName>
    <definedName name="胶圈φ76" localSheetId="0">[13]附表2材料价格表!#REF!</definedName>
    <definedName name="胶圈φ76" localSheetId="2">[13]附表2材料价格表!#REF!</definedName>
    <definedName name="胶圈φ76" localSheetId="3">[14]附表2材料价格表!#REF!</definedName>
    <definedName name="胶圈φ76">[15]附表2材料价格表!#REF!</definedName>
    <definedName name="胶圈φ90" localSheetId="0">[13]附表2材料价格表!#REF!</definedName>
    <definedName name="胶圈φ90" localSheetId="2">[13]附表2材料价格表!#REF!</definedName>
    <definedName name="胶圈φ90" localSheetId="3">[14]附表2材料价格表!#REF!</definedName>
    <definedName name="胶圈φ90">[15]附表2材料价格表!#REF!</definedName>
    <definedName name="焦油膏" localSheetId="0">[111]材价汇!$D$51</definedName>
    <definedName name="焦油膏" localSheetId="2">[111]材价汇!$D$51</definedName>
    <definedName name="焦油膏" localSheetId="24">[111]材价汇!$D$51</definedName>
    <definedName name="焦油膏" localSheetId="3">[112]材价汇!$D$51</definedName>
    <definedName name="焦油膏">[113]材价汇!$D$51</definedName>
    <definedName name="脚轮车" localSheetId="0">[55]台班!$C$33</definedName>
    <definedName name="脚轮车" localSheetId="2">[55]台班!$C$33</definedName>
    <definedName name="脚轮车" localSheetId="24">[55]台班!$C$33</definedName>
    <definedName name="脚轮车" localSheetId="3">[56]台班!$C$33</definedName>
    <definedName name="脚轮车">[57]台班!$C$33</definedName>
    <definedName name="搅拌机0.25m3" localSheetId="0">[13]附表3机械台班!#REF!</definedName>
    <definedName name="搅拌机0.25m3" localSheetId="2">[13]附表3机械台班!#REF!</definedName>
    <definedName name="搅拌机0.25m3" localSheetId="3">[14]附表3机械台班!#REF!</definedName>
    <definedName name="搅拌机0.25m3">[15]附表3机械台班!#REF!</definedName>
    <definedName name="搅拌机0.4" localSheetId="0">[55]台班!$C$20</definedName>
    <definedName name="搅拌机0.4" localSheetId="2">[55]台班!$C$20</definedName>
    <definedName name="搅拌机0.4" localSheetId="24">[55]台班!$C$20</definedName>
    <definedName name="搅拌机0.4" localSheetId="3">[56]台班!$C$20</definedName>
    <definedName name="搅拌机0.4">[57]台班!$C$20</definedName>
    <definedName name="搅拌机0.4m3" localSheetId="0">[13]附表3机械台班!#REF!</definedName>
    <definedName name="搅拌机0.4m3" localSheetId="2">[13]附表3机械台班!#REF!</definedName>
    <definedName name="搅拌机0.4m3" localSheetId="3">[14]附表3机械台班!#REF!</definedName>
    <definedName name="搅拌机0.4m3">[15]附表3机械台班!#REF!</definedName>
    <definedName name="搅拌机出料0.4m3" localSheetId="24">[29]附表3机械!$K$54</definedName>
    <definedName name="搅拌机出料0.4m3" localSheetId="3">[105]附表3机械!$K$54</definedName>
    <definedName name="搅拌机出料0.4m3">[106]附表3机械!$K$54</definedName>
    <definedName name="接头" localSheetId="0">[51]附表2材料价格计算表!#REF!</definedName>
    <definedName name="接头" localSheetId="2">[51]附表2材料价格计算表!#REF!</definedName>
    <definedName name="接头" localSheetId="3">[52]附表2材料价格计算表!#REF!</definedName>
    <definedName name="接头">[54]附表2材料价格计算表!#REF!</definedName>
    <definedName name="截阀开关φ90×76" localSheetId="0">[13]附表2材料价格表!#REF!</definedName>
    <definedName name="截阀开关φ90×76" localSheetId="2">[13]附表2材料价格表!#REF!</definedName>
    <definedName name="截阀开关φ90×76" localSheetId="3">[14]附表2材料价格表!#REF!</definedName>
    <definedName name="截阀开关φ90×76">[15]附表2材料价格表!#REF!</definedName>
    <definedName name="截止阀开关φ90×76" localSheetId="0">[13]附表2材料价格表!#REF!</definedName>
    <definedName name="截止阀开关φ90×76" localSheetId="2">[13]附表2材料价格表!#REF!</definedName>
    <definedName name="截止阀开关φ90×76" localSheetId="3">[14]附表2材料价格表!#REF!</definedName>
    <definedName name="截止阀开关φ90×76">[15]附表2材料价格表!#REF!</definedName>
    <definedName name="精制六角带帽螺栓M161460" localSheetId="0">[51]附表2材料价格计算表!#REF!</definedName>
    <definedName name="精制六角带帽螺栓M161460" localSheetId="2">[51]附表2材料价格计算表!#REF!</definedName>
    <definedName name="精制六角带帽螺栓M161460" localSheetId="3">[52]附表2材料价格计算表!#REF!</definedName>
    <definedName name="精制六角带帽螺栓M161460">[54]附表2材料价格计算表!#REF!</definedName>
    <definedName name="精致六角带帽螺栓M101470" localSheetId="0">[51]附表2材料价格计算表!#REF!</definedName>
    <definedName name="精致六角带帽螺栓M101470" localSheetId="2">[51]附表2材料价格计算表!#REF!</definedName>
    <definedName name="精致六角带帽螺栓M101470" localSheetId="3">[78]附表2材料价格计算表!#REF!</definedName>
    <definedName name="精致六角带帽螺栓M101470">[53]附表2材料价格计算表!#REF!</definedName>
    <definedName name="锯材" localSheetId="0">[55]主材!$M$15</definedName>
    <definedName name="锯材" localSheetId="2">[55]主材!$M$15</definedName>
    <definedName name="锯材" localSheetId="24">[55]主材!$M$15</definedName>
    <definedName name="锯材" localSheetId="3">[56]主材!$M$15</definedName>
    <definedName name="锯材">[57]主材!$M$15</definedName>
    <definedName name="锯材价差" localSheetId="0">[55]主材!$P$15</definedName>
    <definedName name="锯材价差" localSheetId="2">[55]主材!$P$15</definedName>
    <definedName name="锯材价差" localSheetId="24">[55]主材!$P$15</definedName>
    <definedName name="锯材价差" localSheetId="3">[56]主材!$P$15</definedName>
    <definedName name="锯材价差">[57]主材!$P$15</definedName>
    <definedName name="锯材限价" localSheetId="0">[55]主材!$N$15</definedName>
    <definedName name="锯材限价" localSheetId="2">[55]主材!$N$15</definedName>
    <definedName name="锯材限价" localSheetId="24">[55]主材!$N$15</definedName>
    <definedName name="锯材限价" localSheetId="3">[56]主材!$N$15</definedName>
    <definedName name="锯材限价">[57]主材!$N$15</definedName>
    <definedName name="聚氨酯" localSheetId="0">[51]附表2材料价格计算表!#REF!</definedName>
    <definedName name="聚氨酯" localSheetId="2">[51]附表2材料价格计算表!#REF!</definedName>
    <definedName name="聚氨酯" localSheetId="3">[52]附表2材料价格计算表!#REF!</definedName>
    <definedName name="聚氨酯">[54]附表2材料价格计算表!#REF!</definedName>
    <definedName name="聚乙烯胶泥" localSheetId="0">[51]附表2材料价格计算表!#REF!</definedName>
    <definedName name="聚乙烯胶泥" localSheetId="2">[51]附表2材料价格计算表!#REF!</definedName>
    <definedName name="聚乙烯胶泥" localSheetId="3">[52]附表2材料价格计算表!#REF!</definedName>
    <definedName name="聚乙烯胶泥">[54]附表2材料价格计算表!#REF!</definedName>
    <definedName name="卷板机" localSheetId="0">#REF!</definedName>
    <definedName name="卷板机" localSheetId="2">#REF!</definedName>
    <definedName name="卷板机" localSheetId="24">#REF!</definedName>
    <definedName name="卷板机" localSheetId="3">#REF!</definedName>
    <definedName name="卷板机">#REF!</definedName>
    <definedName name="卷扬机3" localSheetId="0">[55]台班!$C$39</definedName>
    <definedName name="卷扬机3" localSheetId="2">[55]台班!$C$39</definedName>
    <definedName name="卷扬机3" localSheetId="24">[55]台班!$C$39</definedName>
    <definedName name="卷扬机3" localSheetId="3">[56]台班!$C$39</definedName>
    <definedName name="卷扬机3">[57]台班!$C$39</definedName>
    <definedName name="卷扬机3t" localSheetId="0">[117]附表3机械台班计算表!$K$94</definedName>
    <definedName name="卷扬机3t" localSheetId="2">[117]附表3机械台班计算表!$K$94</definedName>
    <definedName name="卷扬机3t" localSheetId="24">[117]附表3机械台班计算表!$K$94</definedName>
    <definedName name="卷扬机3t" localSheetId="3">[118]附表3机械台班计算表!$K$94</definedName>
    <definedName name="卷扬机3t">[119]附表3机械台班计算表!$K$94</definedName>
    <definedName name="卷扬机5t" localSheetId="0">#REF!</definedName>
    <definedName name="卷扬机5t" localSheetId="2">#REF!</definedName>
    <definedName name="卷扬机5t" localSheetId="24">#REF!</definedName>
    <definedName name="卷扬机5t" localSheetId="3">#REF!</definedName>
    <definedName name="卷扬机5t">#REF!</definedName>
    <definedName name="竣工验收费" localSheetId="0">#REF!</definedName>
    <definedName name="竣工验收费" localSheetId="2">#REF!</definedName>
    <definedName name="竣工验收费" localSheetId="24">#REF!</definedName>
    <definedName name="竣工验收费" localSheetId="3">#REF!</definedName>
    <definedName name="竣工验收费">#REF!</definedName>
    <definedName name="竣工验收费南" localSheetId="0">'[94]表5-3竣工验收费南 '!$E$9</definedName>
    <definedName name="竣工验收费南" localSheetId="2">'[94]表5-3竣工验收费南 '!$E$9</definedName>
    <definedName name="竣工验收费南" localSheetId="24">'[94]表5-3竣工验收费南 '!$E$9</definedName>
    <definedName name="竣工验收费南" localSheetId="3">'[95]表5-3竣工验收费南 '!$E$9</definedName>
    <definedName name="竣工验收费南">'[96]表5-3竣工验收费南 '!$E$9</definedName>
    <definedName name="竣工验收费预算表" localSheetId="0">'[123]表5-3竣工'!$E$14</definedName>
    <definedName name="竣工验收费预算表" localSheetId="2">'[123]表5-3竣工'!$E$14</definedName>
    <definedName name="竣工验收费预算表" localSheetId="24">'[123]表5-3竣工'!$E$14</definedName>
    <definedName name="卡扣" localSheetId="0">[111]材价汇!$D$30</definedName>
    <definedName name="卡扣" localSheetId="2">[111]材价汇!$D$30</definedName>
    <definedName name="卡扣" localSheetId="24">[111]材价汇!$D$30</definedName>
    <definedName name="卡扣" localSheetId="3">[112]材价汇!$D$30</definedName>
    <definedName name="卡扣">[113]材价汇!$D$30</definedName>
    <definedName name="卡扣件" localSheetId="0">[55]次材!$D$15</definedName>
    <definedName name="卡扣件" localSheetId="2">[55]次材!$D$15</definedName>
    <definedName name="卡扣件" localSheetId="24">[55]次材!$D$15</definedName>
    <definedName name="卡扣件" localSheetId="3">[56]次材!$D$15</definedName>
    <definedName name="卡扣件">[57]次材!$D$15</definedName>
    <definedName name="卡子φ110" localSheetId="0">[13]附表2材料价格表!#REF!</definedName>
    <definedName name="卡子φ110" localSheetId="2">[13]附表2材料价格表!#REF!</definedName>
    <definedName name="卡子φ110" localSheetId="3">[14]附表2材料价格表!#REF!</definedName>
    <definedName name="卡子φ110">[15]附表2材料价格表!#REF!</definedName>
    <definedName name="卡子φ125" localSheetId="0">[13]附表2材料价格表!#REF!</definedName>
    <definedName name="卡子φ125" localSheetId="2">[13]附表2材料价格表!#REF!</definedName>
    <definedName name="卡子φ125" localSheetId="3">[14]附表2材料价格表!#REF!</definedName>
    <definedName name="卡子φ125">[15]附表2材料价格表!#REF!</definedName>
    <definedName name="卡子φ160" localSheetId="0">[13]附表2材料价格表!#REF!</definedName>
    <definedName name="卡子φ160" localSheetId="2">[13]附表2材料价格表!#REF!</definedName>
    <definedName name="卡子φ160" localSheetId="3">[14]附表2材料价格表!#REF!</definedName>
    <definedName name="卡子φ160">[15]附表2材料价格表!#REF!</definedName>
    <definedName name="卡子φ200" localSheetId="0">[13]附表2材料价格表!#REF!</definedName>
    <definedName name="卡子φ200" localSheetId="2">[13]附表2材料价格表!#REF!</definedName>
    <definedName name="卡子φ200" localSheetId="3">[14]附表2材料价格表!#REF!</definedName>
    <definedName name="卡子φ200">[15]附表2材料价格表!#REF!</definedName>
    <definedName name="卡子φ225" localSheetId="0">[13]附表2材料价格表!#REF!</definedName>
    <definedName name="卡子φ225" localSheetId="2">[13]附表2材料价格表!#REF!</definedName>
    <definedName name="卡子φ225" localSheetId="3">[14]附表2材料价格表!#REF!</definedName>
    <definedName name="卡子φ225">[15]附表2材料价格表!#REF!</definedName>
    <definedName name="卡子φ250" localSheetId="0">[13]附表2材料价格表!#REF!</definedName>
    <definedName name="卡子φ250" localSheetId="2">[13]附表2材料价格表!#REF!</definedName>
    <definedName name="卡子φ250" localSheetId="3">[14]附表2材料价格表!#REF!</definedName>
    <definedName name="卡子φ250">[15]附表2材料价格表!#REF!</definedName>
    <definedName name="卡子φ315" localSheetId="0">[13]附表2材料价格表!#REF!</definedName>
    <definedName name="卡子φ315" localSheetId="2">[13]附表2材料价格表!#REF!</definedName>
    <definedName name="卡子φ315" localSheetId="3">[14]附表2材料价格表!#REF!</definedName>
    <definedName name="卡子φ315">[15]附表2材料价格表!#REF!</definedName>
    <definedName name="卡子φ355" localSheetId="0">[13]附表2材料价格表!#REF!</definedName>
    <definedName name="卡子φ355" localSheetId="2">[13]附表2材料价格表!#REF!</definedName>
    <definedName name="卡子φ355" localSheetId="3">[14]附表2材料价格表!#REF!</definedName>
    <definedName name="卡子φ355">[15]附表2材料价格表!#REF!</definedName>
    <definedName name="卡子φ400" localSheetId="0">[13]附表2材料价格表!#REF!</definedName>
    <definedName name="卡子φ400" localSheetId="2">[13]附表2材料价格表!#REF!</definedName>
    <definedName name="卡子φ400" localSheetId="3">[14]附表2材料价格表!#REF!</definedName>
    <definedName name="卡子φ400">[15]附表2材料价格表!#REF!</definedName>
    <definedName name="卡子φ500" localSheetId="0">[13]附表2材料价格表!#REF!</definedName>
    <definedName name="卡子φ500" localSheetId="2">[13]附表2材料价格表!#REF!</definedName>
    <definedName name="卡子φ500" localSheetId="3">[14]附表2材料价格表!#REF!</definedName>
    <definedName name="卡子φ500">[15]附表2材料价格表!#REF!</definedName>
    <definedName name="卡子φ90" localSheetId="0">[13]附表2材料价格表!#REF!</definedName>
    <definedName name="卡子φ90" localSheetId="2">[13]附表2材料价格表!#REF!</definedName>
    <definedName name="卡子φ90" localSheetId="3">[14]附表2材料价格表!#REF!</definedName>
    <definedName name="卡子φ90">[15]附表2材料价格表!#REF!</definedName>
    <definedName name="空气阀φ120" localSheetId="0">[13]附表2材料价格表!#REF!</definedName>
    <definedName name="空气阀φ120" localSheetId="2">[13]附表2材料价格表!#REF!</definedName>
    <definedName name="空气阀φ120" localSheetId="3">[14]附表2材料价格表!#REF!</definedName>
    <definedName name="空气阀φ120">[15]附表2材料价格表!#REF!</definedName>
    <definedName name="空气阀φ140" localSheetId="0">[13]附表2材料价格表!#REF!</definedName>
    <definedName name="空气阀φ140" localSheetId="2">[13]附表2材料价格表!#REF!</definedName>
    <definedName name="空气阀φ140" localSheetId="3">[14]附表2材料价格表!#REF!</definedName>
    <definedName name="空气阀φ140">[15]附表2材料价格表!#REF!</definedName>
    <definedName name="空气阀φ160" localSheetId="0">[13]附表2材料价格表!#REF!</definedName>
    <definedName name="空气阀φ160" localSheetId="2">[13]附表2材料价格表!#REF!</definedName>
    <definedName name="空气阀φ160" localSheetId="3">[14]附表2材料价格表!#REF!</definedName>
    <definedName name="空气阀φ160">[15]附表2材料价格表!#REF!</definedName>
    <definedName name="空心钢" localSheetId="0">#REF!</definedName>
    <definedName name="空心钢" localSheetId="2">#REF!</definedName>
    <definedName name="空心钢" localSheetId="24">#REF!</definedName>
    <definedName name="空心钢" localSheetId="3">#REF!</definedName>
    <definedName name="空心钢">#REF!</definedName>
    <definedName name="控制价" localSheetId="24">#REF!</definedName>
    <definedName name="控制价" localSheetId="3">#REF!</definedName>
    <definedName name="控制价">#REF!</definedName>
    <definedName name="块石" localSheetId="0">[55]主材!$M$9</definedName>
    <definedName name="块石" localSheetId="2">[55]主材!$M$9</definedName>
    <definedName name="块石" localSheetId="24">[55]主材!$M$9</definedName>
    <definedName name="块石" localSheetId="3">[56]主材!$M$9</definedName>
    <definedName name="块石">[57]主材!$M$9</definedName>
    <definedName name="块石价差" localSheetId="0">[55]主材!$P$9</definedName>
    <definedName name="块石价差" localSheetId="2">[55]主材!$P$9</definedName>
    <definedName name="块石价差" localSheetId="24">[55]主材!$P$9</definedName>
    <definedName name="块石价差" localSheetId="3">[56]主材!$P$9</definedName>
    <definedName name="块石价差">[57]主材!$P$9</definedName>
    <definedName name="块石限价" localSheetId="0">[55]主材!$N$9</definedName>
    <definedName name="块石限价" localSheetId="2">[55]主材!$N$9</definedName>
    <definedName name="块石限价" localSheetId="24">[55]主材!$N$9</definedName>
    <definedName name="块石限价" localSheetId="3">[56]主材!$N$9</definedName>
    <definedName name="块石限价">[57]主材!$N$9</definedName>
    <definedName name="扩大概算" localSheetId="24">[82]基础参数值!$F$6</definedName>
    <definedName name="扩大估算" localSheetId="0">[119]基础参数值!$F$5</definedName>
    <definedName name="扩大估算" localSheetId="2">[119]基础参数值!$F$5</definedName>
    <definedName name="扩大估算" localSheetId="24">[119]基础参数值!$F$5</definedName>
    <definedName name="扩大估算" localSheetId="3">[149]基础参数值!$F$5</definedName>
    <definedName name="扩大估算">[150]基础参数值!$F$5</definedName>
    <definedName name="扩大系数" localSheetId="24">[82]基础参数值!$F$5</definedName>
    <definedName name="拉模" localSheetId="0">#REF!</definedName>
    <definedName name="拉模" localSheetId="2">#REF!</definedName>
    <definedName name="拉模" localSheetId="24">#REF!</definedName>
    <definedName name="拉模" localSheetId="3">#REF!</definedName>
    <definedName name="拉模">#REF!</definedName>
    <definedName name="拉线板_60_12" localSheetId="0">[13]附表2材料价格表!#REF!</definedName>
    <definedName name="拉线板_60_12" localSheetId="2">[13]附表2材料价格表!#REF!</definedName>
    <definedName name="拉线板_60_12" localSheetId="3">[14]附表2材料价格表!#REF!</definedName>
    <definedName name="拉线板_60_12">[15]附表2材料价格表!#REF!</definedName>
    <definedName name="拉线棒￠16_2500" localSheetId="0">[13]附表2材料价格表!#REF!</definedName>
    <definedName name="拉线棒￠16_2500" localSheetId="2">[13]附表2材料价格表!#REF!</definedName>
    <definedName name="拉线棒￠16_2500" localSheetId="3">[14]附表2材料价格表!#REF!</definedName>
    <definedName name="拉线棒￠16_2500">[15]附表2材料价格表!#REF!</definedName>
    <definedName name="拉线盘_LP_6_混凝土" localSheetId="0">[13]附表2材料价格表!#REF!</definedName>
    <definedName name="拉线盘_LP_6_混凝土" localSheetId="2">[13]附表2材料价格表!#REF!</definedName>
    <definedName name="拉线盘_LP_6_混凝土" localSheetId="3">[14]附表2材料价格表!#REF!</definedName>
    <definedName name="拉线盘_LP_6_混凝土">[15]附表2材料价格表!#REF!</definedName>
    <definedName name="拉线盘_LP_6混凝土" localSheetId="0">[13]附表2材料价格表!#REF!</definedName>
    <definedName name="拉线盘_LP_6混凝土" localSheetId="2">[13]附表2材料价格表!#REF!</definedName>
    <definedName name="拉线盘_LP_6混凝土" localSheetId="3">[14]附表2材料价格表!#REF!</definedName>
    <definedName name="拉线盘_LP_6混凝土">[15]附表2材料价格表!#REF!</definedName>
    <definedName name="拉线盘_LP_8混凝土" localSheetId="0">[13]附表2材料价格表!#REF!</definedName>
    <definedName name="拉线盘_LP_8混凝土" localSheetId="2">[13]附表2材料价格表!#REF!</definedName>
    <definedName name="拉线盘_LP_8混凝土" localSheetId="3">[14]附表2材料价格表!#REF!</definedName>
    <definedName name="拉线盘_LP_8混凝土">[15]附表2材料价格表!#REF!</definedName>
    <definedName name="拉线盘0.3_0.6" localSheetId="0">[13]附表2材料价格表!#REF!</definedName>
    <definedName name="拉线盘0.3_0.6" localSheetId="2">[13]附表2材料价格表!#REF!</definedName>
    <definedName name="拉线盘0.3_0.6" localSheetId="3">[14]附表2材料价格表!#REF!</definedName>
    <definedName name="拉线盘0.3_0.6">[15]附表2材料价格表!#REF!</definedName>
    <definedName name="拉线盘LP_6混凝土" localSheetId="0">[13]附表2材料价格表!#REF!</definedName>
    <definedName name="拉线盘LP_6混凝土" localSheetId="2">[13]附表2材料价格表!#REF!</definedName>
    <definedName name="拉线盘LP_6混凝土" localSheetId="3">[14]附表2材料价格表!#REF!</definedName>
    <definedName name="拉线盘LP_6混凝土">[15]附表2材料价格表!#REF!</definedName>
    <definedName name="拉线盘LP_8混凝土" localSheetId="0">[13]附表2材料价格表!#REF!</definedName>
    <definedName name="拉线盘LP_8混凝土" localSheetId="2">[13]附表2材料价格表!#REF!</definedName>
    <definedName name="拉线盘LP_8混凝土" localSheetId="3">[14]附表2材料价格表!#REF!</definedName>
    <definedName name="拉线盘LP_8混凝土">[15]附表2材料价格表!#REF!</definedName>
    <definedName name="雷管" localSheetId="0">#REF!</definedName>
    <definedName name="雷管" localSheetId="2">#REF!</definedName>
    <definedName name="雷管" localSheetId="24">#REF!</definedName>
    <definedName name="雷管" localSheetId="3">#REF!</definedName>
    <definedName name="雷管">#REF!</definedName>
    <definedName name="离心式水泵7kw" localSheetId="0">#REF!</definedName>
    <definedName name="离心式水泵7kw" localSheetId="2">#REF!</definedName>
    <definedName name="离心式水泵7kw" localSheetId="24">#REF!</definedName>
    <definedName name="离心式水泵7kw" localSheetId="3">#REF!</definedName>
    <definedName name="离心式水泵7kw">#REF!</definedName>
    <definedName name="离心水泵17kw" localSheetId="0">#REF!</definedName>
    <definedName name="离心水泵17kw" localSheetId="2">#REF!</definedName>
    <definedName name="离心水泵17kw" localSheetId="24">#REF!</definedName>
    <definedName name="离心水泵17kw" localSheetId="3">#REF!</definedName>
    <definedName name="离心水泵17kw">#REF!</definedName>
    <definedName name="离心水泵55kw" localSheetId="0">#REF!</definedName>
    <definedName name="离心水泵55kw" localSheetId="2">#REF!</definedName>
    <definedName name="离心水泵55kw" localSheetId="24">#REF!</definedName>
    <definedName name="离心水泵55kw" localSheetId="3">#REF!</definedName>
    <definedName name="离心水泵55kw">#REF!</definedName>
    <definedName name="立" localSheetId="0">[75]定额!#REF!</definedName>
    <definedName name="立" localSheetId="2">[75]定额!#REF!</definedName>
    <definedName name="立" localSheetId="3">[89]定额!#REF!</definedName>
    <definedName name="立">[90]定额!#REF!</definedName>
    <definedName name="立管φ33×1000" localSheetId="0">[13]附表2材料价格表!#REF!</definedName>
    <definedName name="立管φ33×1000" localSheetId="2">[13]附表2材料价格表!#REF!</definedName>
    <definedName name="立管φ33×1000" localSheetId="3">[14]附表2材料价格表!#REF!</definedName>
    <definedName name="立管φ33×1000">[15]附表2材料价格表!#REF!</definedName>
    <definedName name="立支柱" localSheetId="0">[86]定额!#REF!</definedName>
    <definedName name="立支柱" localSheetId="2">[86]定额!#REF!</definedName>
    <definedName name="立支柱" localSheetId="3">[87]定额!#REF!</definedName>
    <definedName name="立支柱">[88]定额!#REF!</definedName>
    <definedName name="立支柱1" localSheetId="0">[86]定额!#REF!</definedName>
    <definedName name="立支柱1" localSheetId="2">[86]定额!#REF!</definedName>
    <definedName name="立支柱1" localSheetId="3">[87]定额!#REF!</definedName>
    <definedName name="立支柱1">[88]定额!#REF!</definedName>
    <definedName name="立支柱2" localSheetId="0">[136]定额!#REF!</definedName>
    <definedName name="立支柱2" localSheetId="2">[136]定额!#REF!</definedName>
    <definedName name="利润" localSheetId="0">[55]Sheet3!$B$24</definedName>
    <definedName name="利润" localSheetId="2">[55]Sheet3!$B$24</definedName>
    <definedName name="利润" localSheetId="24">[55]Sheet3!$B$24</definedName>
    <definedName name="利润" localSheetId="3">[56]Sheet3!$B$24</definedName>
    <definedName name="利润">[57]Sheet3!$B$24</definedName>
    <definedName name="沥青" localSheetId="0">[55]次材!$D$19</definedName>
    <definedName name="沥青" localSheetId="2">[55]次材!$D$19</definedName>
    <definedName name="沥青" localSheetId="24">[55]次材!$D$19</definedName>
    <definedName name="沥青" localSheetId="3">[56]次材!$D$19</definedName>
    <definedName name="沥青">[57]次材!$D$19</definedName>
    <definedName name="砾料" localSheetId="0">[13]附表2材料价格表!#REF!</definedName>
    <definedName name="砾料" localSheetId="2">[13]附表2材料价格表!#REF!</definedName>
    <definedName name="砾料" localSheetId="3">[14]附表2材料价格表!#REF!</definedName>
    <definedName name="砾料">[15]附表2材料价格表!#REF!</definedName>
    <definedName name="砾石" localSheetId="0">[51]附表2材料价格计算表!#REF!</definedName>
    <definedName name="砾石" localSheetId="2">[51]附表2材料价格计算表!#REF!</definedName>
    <definedName name="砾石" localSheetId="3">[14]附表2材料价格表!#REF!</definedName>
    <definedName name="砾石">[15]附表2材料价格表!#REF!</definedName>
    <definedName name="砾石30mm" localSheetId="0">[13]附表2材料价格表!#REF!</definedName>
    <definedName name="砾石30mm" localSheetId="2">[13]附表2材料价格表!#REF!</definedName>
    <definedName name="砾石30mm" localSheetId="3">[14]附表2材料价格表!#REF!</definedName>
    <definedName name="砾石30mm">[15]附表2材料价格表!#REF!</definedName>
    <definedName name="砾石40mm" localSheetId="0">[13]附表2材料价格表!#REF!</definedName>
    <definedName name="砾石40mm" localSheetId="2">[13]附表2材料价格表!#REF!</definedName>
    <definedName name="砾石40mm" localSheetId="3">[14]附表2材料价格表!#REF!</definedName>
    <definedName name="砾石40mm">[15]附表2材料价格表!#REF!</definedName>
    <definedName name="砾石50mm" localSheetId="0">[13]附表2材料价格表!#REF!</definedName>
    <definedName name="砾石50mm" localSheetId="2">[13]附表2材料价格表!#REF!</definedName>
    <definedName name="砾石50mm" localSheetId="3">[14]附表2材料价格表!#REF!</definedName>
    <definedName name="砾石50mm">[15]附表2材料价格表!#REF!</definedName>
    <definedName name="联板LV_1214" localSheetId="0">[13]附表2材料价格表!#REF!</definedName>
    <definedName name="联板LV_1214" localSheetId="2">[13]附表2材料价格表!#REF!</definedName>
    <definedName name="联板LV_1214" localSheetId="3">[14]附表2材料价格表!#REF!</definedName>
    <definedName name="联板LV_1214">[15]附表2材料价格表!#REF!</definedName>
    <definedName name="林施工费" localSheetId="0">'[94]表3工程施工费南 '!$H$511</definedName>
    <definedName name="林施工费" localSheetId="2">'[94]表3工程施工费南 '!$H$511</definedName>
    <definedName name="林施工费" localSheetId="24">'[94]表3工程施工费南 '!$H$511</definedName>
    <definedName name="林施工费" localSheetId="3">'[95]表3工程施工费南 '!$H$511</definedName>
    <definedName name="林施工费">'[96]表3工程施工费南 '!$H$511</definedName>
    <definedName name="零星卡具" localSheetId="0">[13]附表2材料价格表!#REF!</definedName>
    <definedName name="零星卡具" localSheetId="2">[13]附表2材料价格表!#REF!</definedName>
    <definedName name="零星卡具" localSheetId="3">[14]附表2材料价格表!#REF!</definedName>
    <definedName name="零星卡具">[15]附表2材料价格表!#REF!</definedName>
    <definedName name="柳树" localSheetId="0">[51]附表2材料价格计算表!#REF!</definedName>
    <definedName name="柳树" localSheetId="2">[51]附表2材料价格计算表!#REF!</definedName>
    <definedName name="柳树" localSheetId="3">[52]附表2材料价格计算表!#REF!</definedName>
    <definedName name="柳树">[54]附表2材料价格计算表!#REF!</definedName>
    <definedName name="柳桩护坡" localSheetId="0">[55]单价分析表!#REF!</definedName>
    <definedName name="柳桩护坡" localSheetId="2">[55]单价分析表!#REF!</definedName>
    <definedName name="柳桩护坡" localSheetId="3">[56]单价分析表!#REF!</definedName>
    <definedName name="柳桩护坡">[57]单价分析表!#REF!</definedName>
    <definedName name="六排沟涵洞_含56米渠道" localSheetId="0">#REF!</definedName>
    <definedName name="六排沟涵洞_含56米渠道" localSheetId="2">#REF!</definedName>
    <definedName name="六排沟涵洞_含56米渠道" localSheetId="24">#REF!</definedName>
    <definedName name="六排沟涵洞_含56米渠道" localSheetId="3">#REF!</definedName>
    <definedName name="六排沟涵洞_含56米渠道">#REF!</definedName>
    <definedName name="六盘山" localSheetId="3">#REF!</definedName>
    <definedName name="六盘山">#REF!</definedName>
    <definedName name="龙门式起重机10" localSheetId="0">#REF!</definedName>
    <definedName name="龙门式起重机10" localSheetId="2">#REF!</definedName>
    <definedName name="龙门式起重机10" localSheetId="24">#REF!</definedName>
    <definedName name="龙门式起重机10" localSheetId="3">#REF!</definedName>
    <definedName name="龙门式起重机10">#REF!</definedName>
    <definedName name="路措施费南" localSheetId="0">#REF!</definedName>
    <definedName name="路措施费南" localSheetId="2">#REF!</definedName>
    <definedName name="路措施费南" localSheetId="24">#REF!</definedName>
    <definedName name="路措施费南" localSheetId="3">#REF!</definedName>
    <definedName name="路措施费南">#REF!</definedName>
    <definedName name="路间接费南" localSheetId="0">#REF!</definedName>
    <definedName name="路间接费南" localSheetId="2">#REF!</definedName>
    <definedName name="路间接费南" localSheetId="24">#REF!</definedName>
    <definedName name="路间接费南" localSheetId="3">#REF!</definedName>
    <definedName name="路间接费南">#REF!</definedName>
    <definedName name="路施工费" localSheetId="0">'[94]表3工程施工费南 '!$H$483</definedName>
    <definedName name="路施工费" localSheetId="2">'[94]表3工程施工费南 '!$H$483</definedName>
    <definedName name="路施工费" localSheetId="24">'[94]表3工程施工费南 '!$H$483</definedName>
    <definedName name="路施工费" localSheetId="3">'[95]表3工程施工费南 '!$H$483</definedName>
    <definedName name="路施工费">'[96]表3工程施工费南 '!$H$483</definedName>
    <definedName name="卵石" localSheetId="0">'[111]表3-1直接费预算表达式1'!$D$11</definedName>
    <definedName name="卵石" localSheetId="2">'[111]表3-1直接费预算表达式1'!$D$11</definedName>
    <definedName name="卵石" localSheetId="24">'[111]表3-1直接费预算表达式1'!$D$11</definedName>
    <definedName name="卵石" localSheetId="3">'[112]表3-1直接费预算表达式1'!$D$11</definedName>
    <definedName name="卵石">'[113]表3-1直接费预算表达式1'!$D$11</definedName>
    <definedName name="轮胎起重机16t" localSheetId="0">#REF!</definedName>
    <definedName name="轮胎起重机16t" localSheetId="2">#REF!</definedName>
    <definedName name="轮胎起重机16t" localSheetId="24">#REF!</definedName>
    <definedName name="轮胎起重机16t" localSheetId="3">#REF!</definedName>
    <definedName name="轮胎起重机16t">#REF!</definedName>
    <definedName name="螺杆" localSheetId="0">[13]附表2材料价格表!#REF!</definedName>
    <definedName name="螺杆" localSheetId="2">[13]附表2材料价格表!#REF!</definedName>
    <definedName name="螺杆" localSheetId="3">[14]附表2材料价格表!#REF!</definedName>
    <definedName name="螺杆">[15]附表2材料价格表!#REF!</definedName>
    <definedName name="螺杆16_60" localSheetId="0">[13]附表2材料价格表!#REF!</definedName>
    <definedName name="螺杆16_60" localSheetId="2">[13]附表2材料价格表!#REF!</definedName>
    <definedName name="螺杆16_60" localSheetId="3">[14]附表2材料价格表!#REF!</definedName>
    <definedName name="螺杆16_60">[15]附表2材料价格表!#REF!</definedName>
    <definedName name="螺杆卡子" localSheetId="0">[13]附表2材料价格表!#REF!</definedName>
    <definedName name="螺杆卡子" localSheetId="2">[13]附表2材料价格表!#REF!</definedName>
    <definedName name="螺杆卡子" localSheetId="3">[14]附表2材料价格表!#REF!</definedName>
    <definedName name="螺杆卡子">[15]附表2材料价格表!#REF!</definedName>
    <definedName name="螺杆卡子5_30" localSheetId="0">[13]附表2材料价格表!#REF!</definedName>
    <definedName name="螺杆卡子5_30" localSheetId="2">[13]附表2材料价格表!#REF!</definedName>
    <definedName name="螺杆卡子5_30" localSheetId="3">[14]附表2材料价格表!#REF!</definedName>
    <definedName name="螺杆卡子5_30">[15]附表2材料价格表!#REF!</definedName>
    <definedName name="螺栓" localSheetId="0">[13]附表2材料价格表!#REF!</definedName>
    <definedName name="螺栓" localSheetId="2">[13]附表2材料价格表!#REF!</definedName>
    <definedName name="螺栓" localSheetId="3">[14]附表2材料价格表!#REF!</definedName>
    <definedName name="螺栓">[15]附表2材料价格表!#REF!</definedName>
    <definedName name="螺栓、铁件" localSheetId="0">[13]附表2材料价格表!#REF!</definedName>
    <definedName name="螺栓、铁件" localSheetId="2">[13]附表2材料价格表!#REF!</definedName>
    <definedName name="螺栓、铁件" localSheetId="3">[14]附表2材料价格表!#REF!</definedName>
    <definedName name="螺栓、铁件">[15]附表2材料价格表!#REF!</definedName>
    <definedName name="螺栓φ18×80" localSheetId="0">[13]附表2材料价格表!#REF!</definedName>
    <definedName name="螺栓φ18×80" localSheetId="2">[13]附表2材料价格表!#REF!</definedName>
    <definedName name="螺栓φ18×80" localSheetId="3">[14]附表2材料价格表!#REF!</definedName>
    <definedName name="螺栓φ18×80">[15]附表2材料价格表!#REF!</definedName>
    <definedName name="螺栓φ20×80" localSheetId="0">[13]附表2材料价格表!#REF!</definedName>
    <definedName name="螺栓φ20×80" localSheetId="2">[13]附表2材料价格表!#REF!</definedName>
    <definedName name="螺栓φ20×80" localSheetId="3">[14]附表2材料价格表!#REF!</definedName>
    <definedName name="螺栓φ20×80">[15]附表2材料价格表!#REF!</definedName>
    <definedName name="螺丝￠16_300" localSheetId="0">[13]附表2材料价格表!#REF!</definedName>
    <definedName name="螺丝￠16_300" localSheetId="2">[13]附表2材料价格表!#REF!</definedName>
    <definedName name="螺丝￠16_300" localSheetId="3">[14]附表2材料价格表!#REF!</definedName>
    <definedName name="螺丝￠16_300">[15]附表2材料价格表!#REF!</definedName>
    <definedName name="螺丝￠16_80" localSheetId="0">[13]附表2材料价格表!#REF!</definedName>
    <definedName name="螺丝￠16_80" localSheetId="2">[13]附表2材料价格表!#REF!</definedName>
    <definedName name="螺丝￠16_80" localSheetId="3">[14]附表2材料价格表!#REF!</definedName>
    <definedName name="螺丝￠16_80">[15]附表2材料价格表!#REF!</definedName>
    <definedName name="螺丝￠18_300" localSheetId="0">[13]附表2材料价格表!#REF!</definedName>
    <definedName name="螺丝￠18_300" localSheetId="2">[13]附表2材料价格表!#REF!</definedName>
    <definedName name="螺丝￠18_300" localSheetId="3">[14]附表2材料价格表!#REF!</definedName>
    <definedName name="螺丝￠18_300">[15]附表2材料价格表!#REF!</definedName>
    <definedName name="螺丝￠18_80" localSheetId="0">[13]附表2材料价格表!#REF!</definedName>
    <definedName name="螺丝￠18_80" localSheetId="2">[13]附表2材料价格表!#REF!</definedName>
    <definedName name="螺丝￠18_80" localSheetId="3">[14]附表2材料价格表!#REF!</definedName>
    <definedName name="螺丝￠18_80">[15]附表2材料价格表!#REF!</definedName>
    <definedName name="铝包带" localSheetId="0">[13]附表2材料价格表!#REF!</definedName>
    <definedName name="铝包带" localSheetId="2">[13]附表2材料价格表!#REF!</definedName>
    <definedName name="铝包带" localSheetId="3">[14]附表2材料价格表!#REF!</definedName>
    <definedName name="铝包带">[15]附表2材料价格表!#REF!</definedName>
    <definedName name="铝包带10" localSheetId="0">[13]附表2材料价格表!#REF!</definedName>
    <definedName name="铝包带10" localSheetId="2">[13]附表2材料价格表!#REF!</definedName>
    <definedName name="铝包带10" localSheetId="3">[14]附表2材料价格表!#REF!</definedName>
    <definedName name="铝包带10">[15]附表2材料价格表!#REF!</definedName>
    <definedName name="铝三通φ76×1.2×6000" localSheetId="0">[13]附表2材料价格表!#REF!</definedName>
    <definedName name="铝三通φ76×1.2×6000" localSheetId="2">[13]附表2材料价格表!#REF!</definedName>
    <definedName name="铝三通φ76×1.2×6000" localSheetId="3">[14]附表2材料价格表!#REF!</definedName>
    <definedName name="铝三通φ76×1.2×6000">[15]附表2材料价格表!#REF!</definedName>
    <definedName name="铝三通φ76×1.2×9000" localSheetId="0">[13]附表2材料价格表!#REF!</definedName>
    <definedName name="铝三通φ76×1.2×9000" localSheetId="2">[13]附表2材料价格表!#REF!</definedName>
    <definedName name="铝三通φ76×1.2×9000" localSheetId="3">[14]附表2材料价格表!#REF!</definedName>
    <definedName name="铝三通φ76×1.2×9000">[15]附表2材料价格表!#REF!</definedName>
    <definedName name="铝直管φ76×1.2×6000" localSheetId="0">[13]附表2材料价格表!#REF!</definedName>
    <definedName name="铝直管φ76×1.2×6000" localSheetId="2">[13]附表2材料价格表!#REF!</definedName>
    <definedName name="铝直管φ76×1.2×6000" localSheetId="3">[14]附表2材料价格表!#REF!</definedName>
    <definedName name="铝直管φ76×1.2×6000">[15]附表2材料价格表!#REF!</definedName>
    <definedName name="履带起重机10t" localSheetId="0">#REF!</definedName>
    <definedName name="履带起重机10t" localSheetId="2">#REF!</definedName>
    <definedName name="履带起重机10t" localSheetId="24">#REF!</definedName>
    <definedName name="履带起重机10t" localSheetId="3">#REF!</definedName>
    <definedName name="履带起重机10t">#REF!</definedName>
    <definedName name="履带起重机15" localSheetId="0">[55]台班!$C$67</definedName>
    <definedName name="履带起重机15" localSheetId="2">[55]台班!$C$67</definedName>
    <definedName name="履带起重机15" localSheetId="24">[55]台班!$C$67</definedName>
    <definedName name="履带起重机15" localSheetId="3">[56]台班!$C$67</definedName>
    <definedName name="履带起重机15">[57]台班!$C$67</definedName>
    <definedName name="履带起重机15t">'[120]附表 3台班单价'!$C$35</definedName>
    <definedName name="履带起重机油动15t" localSheetId="0">[111]机械汇总!$K$82</definedName>
    <definedName name="履带起重机油动15t" localSheetId="2">[111]机械汇总!$K$82</definedName>
    <definedName name="履带起重机油动15t" localSheetId="24">[111]机械汇总!$K$82</definedName>
    <definedName name="履带起重机油动15t" localSheetId="3">[112]机械汇总!$K$82</definedName>
    <definedName name="履带起重机油动15t">[113]机械汇总!$K$82</definedName>
    <definedName name="履带式拖拉机74kw" localSheetId="24">[107]台班单价!$C$21</definedName>
    <definedName name="履带式拖拉机74kw">[108]台班单价!$C$21</definedName>
    <definedName name="履带拖拉机74" localSheetId="0">[55]台班!$C$66</definedName>
    <definedName name="履带拖拉机74" localSheetId="2">[55]台班!$C$66</definedName>
    <definedName name="履带拖拉机74" localSheetId="24">[55]台班!$C$66</definedName>
    <definedName name="履带拖拉机74" localSheetId="3">[56]台班!$C$66</definedName>
    <definedName name="履带拖拉机74">[57]台班!$C$66</definedName>
    <definedName name="滤料" localSheetId="0">[13]附表2材料价格表!#REF!</definedName>
    <definedName name="滤料" localSheetId="2">[13]附表2材料价格表!#REF!</definedName>
    <definedName name="滤料" localSheetId="3">[14]附表2材料价格表!#REF!</definedName>
    <definedName name="滤料">[15]附表2材料价格表!#REF!</definedName>
    <definedName name="滤网" localSheetId="0">[13]附表2材料价格表!#REF!</definedName>
    <definedName name="滤网" localSheetId="2">[13]附表2材料价格表!#REF!</definedName>
    <definedName name="滤网" localSheetId="3">[14]附表2材料价格表!#REF!</definedName>
    <definedName name="滤网">[15]附表2材料价格表!#REF!</definedName>
    <definedName name="滤油纸" localSheetId="0">[51]附表2材料价格计算表!#REF!</definedName>
    <definedName name="滤油纸" localSheetId="2">[51]附表2材料价格计算表!#REF!</definedName>
    <definedName name="滤油纸" localSheetId="3">[52]附表2材料价格计算表!#REF!</definedName>
    <definedName name="滤油纸">[54]附表2材料价格计算表!#REF!</definedName>
    <definedName name="麻刀" localSheetId="0">[51]附表2材料价格计算表!#REF!</definedName>
    <definedName name="麻刀" localSheetId="2">[51]附表2材料价格计算表!#REF!</definedName>
    <definedName name="麻刀" localSheetId="3">[52]附表2材料价格计算表!#REF!</definedName>
    <definedName name="麻刀">[54]附表2材料价格计算表!#REF!</definedName>
    <definedName name="麻絮" localSheetId="0">[13]附表2材料价格表!#REF!</definedName>
    <definedName name="麻絮" localSheetId="2">[13]附表2材料价格表!#REF!</definedName>
    <definedName name="麻絮" localSheetId="3">[14]附表2材料价格表!#REF!</definedName>
    <definedName name="麻絮">[15]附表2材料价格表!#REF!</definedName>
    <definedName name="马儿庄片区" hidden="1">{"'现金流量表（全部投资）'!$B$4:$P$23"}</definedName>
    <definedName name="毛石" localSheetId="0">[13]附表2材料价格表!#REF!</definedName>
    <definedName name="毛石" localSheetId="2">[13]附表2材料价格表!#REF!</definedName>
    <definedName name="毛石" localSheetId="3">[14]附表2材料价格表!#REF!</definedName>
    <definedName name="毛石">[15]附表2材料价格表!#REF!</definedName>
    <definedName name="茅草亭" localSheetId="3">#REF!</definedName>
    <definedName name="茅草亭">#REF!</definedName>
    <definedName name="煤沥青" localSheetId="0">[51]附表2材料价格计算表!#REF!</definedName>
    <definedName name="煤沥青" localSheetId="2">[51]附表2材料价格计算表!#REF!</definedName>
    <definedName name="煤沥青" localSheetId="3">[78]附表2材料价格计算表!#REF!</definedName>
    <definedName name="煤沥青">[53]附表2材料价格计算表!#REF!</definedName>
    <definedName name="煤油" localSheetId="0">[51]附表2材料价格计算表!#REF!</definedName>
    <definedName name="煤油" localSheetId="2">[51]附表2材料价格计算表!#REF!</definedName>
    <definedName name="煤油" localSheetId="3">[78]附表2材料价格计算表!#REF!</definedName>
    <definedName name="煤油">[53]附表2材料价格计算表!#REF!</definedName>
    <definedName name="门窗用木材" localSheetId="0">[13]附表2材料价格表!#REF!</definedName>
    <definedName name="门窗用木材" localSheetId="2">[13]附表2材料价格表!#REF!</definedName>
    <definedName name="门窗用木材" localSheetId="3">[14]附表2材料价格表!#REF!</definedName>
    <definedName name="门窗用木材">[15]附表2材料价格表!#REF!</definedName>
    <definedName name="门式起重机10t" localSheetId="0">[13]附表3机械台班!#REF!</definedName>
    <definedName name="门式起重机10t" localSheetId="2">[13]附表3机械台班!#REF!</definedName>
    <definedName name="门式起重机10t" localSheetId="3">[14]附表3机械台班!#REF!</definedName>
    <definedName name="门式起重机10t">[15]附表3机械台班!#REF!</definedName>
    <definedName name="门式起重机25" localSheetId="0">#REF!</definedName>
    <definedName name="门式起重机25" localSheetId="2">#REF!</definedName>
    <definedName name="门式起重机25" localSheetId="24">#REF!</definedName>
    <definedName name="门式起重机25" localSheetId="3">#REF!</definedName>
    <definedName name="门式起重机25">#REF!</definedName>
    <definedName name="门座式起重机高架" localSheetId="0">#REF!</definedName>
    <definedName name="门座式起重机高架" localSheetId="2">#REF!</definedName>
    <definedName name="门座式起重机高架" localSheetId="24">#REF!</definedName>
    <definedName name="门座式起重机高架" localSheetId="3">#REF!</definedName>
    <definedName name="门座式起重机高架">#REF!</definedName>
    <definedName name="密封胶" localSheetId="24">'[128]附表 2－1 材料价格'!$L$53</definedName>
    <definedName name="密封胶">'[152]附表 2－1 材料价格'!$L$53</definedName>
    <definedName name="棉纱头" localSheetId="0">[13]附表2材料价格表!#REF!</definedName>
    <definedName name="棉纱头" localSheetId="2">[13]附表2材料价格表!#REF!</definedName>
    <definedName name="棉纱头" localSheetId="3">[14]附表2材料价格表!#REF!</definedName>
    <definedName name="棉纱头">[15]附表2材料价格表!#REF!</definedName>
    <definedName name="名称及规格" localSheetId="0">'[72]#REF'!$B$2</definedName>
    <definedName name="名称及规格" localSheetId="2">'[72]#REF'!$B$2</definedName>
    <definedName name="名称及规格" localSheetId="24">'[72]#REF'!$B$2</definedName>
    <definedName name="名称及规格" localSheetId="3">'[84]#REF'!$B$2</definedName>
    <definedName name="名称及规格">'[85]#REF'!$B$2</definedName>
    <definedName name="模板用木材" localSheetId="0">[13]附表2材料价格表!#REF!</definedName>
    <definedName name="模板用木材" localSheetId="2">[13]附表2材料价格表!#REF!</definedName>
    <definedName name="模板用木材" localSheetId="3">[14]附表2材料价格表!#REF!</definedName>
    <definedName name="模板用木材">[15]附表2材料价格表!#REF!</definedName>
    <definedName name="木材" localSheetId="0">[13]附表2材料价格表!#REF!</definedName>
    <definedName name="木材" localSheetId="2">[13]附表2材料价格表!#REF!</definedName>
    <definedName name="木材" localSheetId="3">[14]附表2材料价格表!#REF!</definedName>
    <definedName name="木材">[15]附表2材料价格表!#REF!</definedName>
    <definedName name="木柴" localSheetId="0">[55]次材!$D$6</definedName>
    <definedName name="木柴" localSheetId="2">[55]次材!$D$6</definedName>
    <definedName name="木柴" localSheetId="24">[55]次材!$D$6</definedName>
    <definedName name="木柴" localSheetId="3">[56]次材!$D$6</definedName>
    <definedName name="木柴">[57]次材!$D$6</definedName>
    <definedName name="木结构木材" localSheetId="0">[13]附表2材料价格表!#REF!</definedName>
    <definedName name="木结构木材" localSheetId="2">[13]附表2材料价格表!#REF!</definedName>
    <definedName name="木结构木材" localSheetId="3">[14]附表2材料价格表!#REF!</definedName>
    <definedName name="木结构木材">[15]附表2材料价格表!#REF!</definedName>
    <definedName name="耐张线夹_NLD_2" localSheetId="0">[13]附表2材料价格表!#REF!</definedName>
    <definedName name="耐张线夹_NLD_2" localSheetId="2">[13]附表2材料价格表!#REF!</definedName>
    <definedName name="耐张线夹_NLD_2" localSheetId="3">[14]附表2材料价格表!#REF!</definedName>
    <definedName name="耐张线夹_NLD_2">[15]附表2材料价格表!#REF!</definedName>
    <definedName name="耐张线夹NLD_1" localSheetId="0">[13]附表2材料价格表!#REF!</definedName>
    <definedName name="耐张线夹NLD_1" localSheetId="2">[13]附表2材料价格表!#REF!</definedName>
    <definedName name="耐张线夹NLD_1" localSheetId="3">[14]附表2材料价格表!#REF!</definedName>
    <definedName name="耐张线夹NLD_1">[15]附表2材料价格表!#REF!</definedName>
    <definedName name="耐张线夹NLD_2" localSheetId="0">[13]附表2材料价格表!#REF!</definedName>
    <definedName name="耐张线夹NLD_2" localSheetId="2">[13]附表2材料价格表!#REF!</definedName>
    <definedName name="耐张线夹NLD_2" localSheetId="3">[14]附表2材料价格表!#REF!</definedName>
    <definedName name="耐张线夹NLD_2">[15]附表2材料价格表!#REF!</definedName>
    <definedName name="耐张线夹NLD2" localSheetId="0">[51]附表2材料价格计算表!#REF!</definedName>
    <definedName name="耐张线夹NLD2" localSheetId="2">[51]附表2材料价格计算表!#REF!</definedName>
    <definedName name="耐张线夹NLD2" localSheetId="3">[52]附表2材料价格计算表!#REF!</definedName>
    <definedName name="耐张线夹NLD2">[54]附表2材料价格计算表!#REF!</definedName>
    <definedName name="内燃压路机12_15t" localSheetId="0">[13]附表3机械台班!#REF!</definedName>
    <definedName name="内燃压路机12_15t" localSheetId="2">[13]附表3机械台班!#REF!</definedName>
    <definedName name="内燃压路机12_15t" localSheetId="3">[14]附表3机械台班!#REF!</definedName>
    <definedName name="内燃压路机12_15t">[15]附表3机械台班!#REF!</definedName>
    <definedName name="内燃压路机重量68t" localSheetId="0">[111]机械汇总!$K$24</definedName>
    <definedName name="内燃压路机重量68t" localSheetId="2">[111]机械汇总!$K$24</definedName>
    <definedName name="内燃压路机重量68t" localSheetId="24">[111]机械汇总!$K$24</definedName>
    <definedName name="内燃压路机重量68t" localSheetId="3">[112]机械汇总!$K$24</definedName>
    <definedName name="内燃压路机重量68t">[113]机械汇总!$K$24</definedName>
    <definedName name="泥浆泵3PN" localSheetId="0">[13]附表3机械台班!#REF!</definedName>
    <definedName name="泥浆泵3PN" localSheetId="2">[13]附表3机械台班!#REF!</definedName>
    <definedName name="泥浆泵3PN" localSheetId="3">[14]附表3机械台班!#REF!</definedName>
    <definedName name="泥浆泵3PN">[15]附表3机械台班!#REF!</definedName>
    <definedName name="泥浆搅拌机" localSheetId="0">[13]附表3机械台班!#REF!</definedName>
    <definedName name="泥浆搅拌机" localSheetId="2">[13]附表3机械台班!#REF!</definedName>
    <definedName name="泥浆搅拌机" localSheetId="3">[14]附表3机械台班!#REF!</definedName>
    <definedName name="泥浆搅拌机">[15]附表3机械台班!#REF!</definedName>
    <definedName name="拟好" localSheetId="0">#REF!</definedName>
    <definedName name="拟好" localSheetId="2">#REF!</definedName>
    <definedName name="拟好" localSheetId="24">#REF!</definedName>
    <definedName name="拟好" localSheetId="3">#REF!</definedName>
    <definedName name="拟好">#REF!</definedName>
    <definedName name="你" hidden="1">{"'现金流量表（全部投资）'!$B$4:$P$23"}</definedName>
    <definedName name="你_1" hidden="1">{"'现金流量表（全部投资）'!$B$4:$P$23"}</definedName>
    <definedName name="逆止阀" localSheetId="0">[13]附表2材料价格表!#REF!</definedName>
    <definedName name="逆止阀" localSheetId="2">[13]附表2材料价格表!#REF!</definedName>
    <definedName name="逆止阀" localSheetId="3">[14]附表2材料价格表!#REF!</definedName>
    <definedName name="逆止阀">[15]附表2材料价格表!#REF!</definedName>
    <definedName name="逆止阀200" localSheetId="3">[19]附表2!#REF!</definedName>
    <definedName name="逆止阀200">[20]附表2!#REF!</definedName>
    <definedName name="宁水10187" localSheetId="0">[55]单价分析表!$F$1658</definedName>
    <definedName name="宁水10187" localSheetId="2">[55]单价分析表!$F$1658</definedName>
    <definedName name="宁水10187" localSheetId="24">[55]单价分析表!$F$1658</definedName>
    <definedName name="宁水10187" localSheetId="3">[56]单价分析表!$F$1658</definedName>
    <definedName name="宁水10187">[57]单价分析表!$F$1658</definedName>
    <definedName name="宁水4082" localSheetId="0">[55]单价分析表!$F$879</definedName>
    <definedName name="宁水4082" localSheetId="2">[55]单价分析表!$F$879</definedName>
    <definedName name="宁水4082" localSheetId="24">[55]单价分析表!$F$879</definedName>
    <definedName name="宁水4082" localSheetId="3">[56]单价分析表!$F$879</definedName>
    <definedName name="宁水4082">[57]单价分析表!$F$879</definedName>
    <definedName name="宁水4220" localSheetId="0">[55]单价分析表!#REF!</definedName>
    <definedName name="宁水4220" localSheetId="2">[55]单价分析表!#REF!</definedName>
    <definedName name="宁水4220" localSheetId="3">[56]单价分析表!#REF!</definedName>
    <definedName name="宁水4220">[57]单价分析表!#REF!</definedName>
    <definedName name="宁水8028" localSheetId="3">[19]附表4单价!#REF!</definedName>
    <definedName name="宁水8028">[20]附表4单价!#REF!</definedName>
    <definedName name="宁水8029" localSheetId="3">[19]附表4单价!#REF!</definedName>
    <definedName name="宁水8029">[20]附表4单价!#REF!</definedName>
    <definedName name="宁水8029a" localSheetId="3">[19]附表4单价!#REF!</definedName>
    <definedName name="宁水8029a">[20]附表4单价!#REF!</definedName>
    <definedName name="宁水8031" localSheetId="3">[19]附表4单价!#REF!</definedName>
    <definedName name="宁水8031">[20]附表4单价!#REF!</definedName>
    <definedName name="宁水8032" localSheetId="3">[19]附表4单价!#REF!</definedName>
    <definedName name="宁水8032">[20]附表4单价!#REF!</definedName>
    <definedName name="宁水8033" localSheetId="3">[19]附表4单价!#REF!</definedName>
    <definedName name="宁水8033">[20]附表4单价!#REF!</definedName>
    <definedName name="宁水8034" localSheetId="3">[19]附表4单价!#REF!</definedName>
    <definedName name="宁水8034">[20]附表4单价!#REF!</definedName>
    <definedName name="宁水9019" localSheetId="0">[55]单价分析表!#REF!</definedName>
    <definedName name="宁水9019" localSheetId="2">[55]单价分析表!#REF!</definedName>
    <definedName name="宁水9019" localSheetId="3">[56]单价分析表!#REF!</definedName>
    <definedName name="宁水9019">[57]单价分析表!#REF!</definedName>
    <definedName name="农田防护工程" localSheetId="2">#REF!</definedName>
    <definedName name="农田防护工程" localSheetId="24">#REF!</definedName>
    <definedName name="农田防护工程">#REF!</definedName>
    <definedName name="农田防护林" localSheetId="24">#REF!</definedName>
    <definedName name="农田防护林" localSheetId="3">#REF!</definedName>
    <definedName name="农田防护林">#REF!</definedName>
    <definedName name="农田水利" localSheetId="0">[91]表3工程施工费表!$I$9</definedName>
    <definedName name="农田水利" localSheetId="2">[91]表3工程施工费表!$I$9</definedName>
    <definedName name="农田水利" localSheetId="24">[91]表3工程施工费表!$I$9</definedName>
    <definedName name="农田水利" localSheetId="3">[92]表3工程施工费表!$I$9</definedName>
    <definedName name="农田水利">[93]表3工程施工费表!$I$9</definedName>
    <definedName name="噢噢噢噢" localSheetId="0">[13]附表5直接工程费单价表!#REF!</definedName>
    <definedName name="噢噢噢噢" localSheetId="2">[13]附表5直接工程费单价表!#REF!</definedName>
    <definedName name="噢噢噢噢" localSheetId="3">[14]附表5直接工程费单价表!#REF!</definedName>
    <definedName name="噢噢噢噢">[15]附表5直接工程费单价表!#REF!</definedName>
    <definedName name="排气阀" localSheetId="0">[13]附表2材料价格表!#REF!</definedName>
    <definedName name="排气阀" localSheetId="2">[13]附表2材料价格表!#REF!</definedName>
    <definedName name="排气阀" localSheetId="3">[14]附表2材料价格表!#REF!</definedName>
    <definedName name="排气阀">[15]附表2材料价格表!#REF!</definedName>
    <definedName name="刨毛机" localSheetId="0">[55]台班!$C$17</definedName>
    <definedName name="刨毛机" localSheetId="2">[55]台班!$C$17</definedName>
    <definedName name="刨毛机" localSheetId="24">[55]台班!$C$17</definedName>
    <definedName name="刨毛机" localSheetId="3">[56]台班!$C$17</definedName>
    <definedName name="刨毛机">[57]台班!$C$17</definedName>
    <definedName name="配电柜" localSheetId="0">[13]附表2材料价格表!#REF!</definedName>
    <definedName name="配电柜" localSheetId="2">[13]附表2材料价格表!#REF!</definedName>
    <definedName name="配电柜" localSheetId="3">[14]附表2材料价格表!#REF!</definedName>
    <definedName name="配电柜">[15]附表2材料价格表!#REF!</definedName>
    <definedName name="喷头6.5_3.1" localSheetId="0">[13]附表2材料价格表!#REF!</definedName>
    <definedName name="喷头6.5_3.1" localSheetId="2">[13]附表2材料价格表!#REF!</definedName>
    <definedName name="喷头6.5_3.1" localSheetId="3">[14]附表2材料价格表!#REF!</definedName>
    <definedName name="喷头6.5_3.1">[15]附表2材料价格表!#REF!</definedName>
    <definedName name="膨胀剂" localSheetId="24">[107]材料预算价!$L$65</definedName>
    <definedName name="膨胀剂">[108]材料预算价!$L$65</definedName>
    <definedName name="平板挂车40t" localSheetId="0">#REF!</definedName>
    <definedName name="平板挂车40t" localSheetId="2">#REF!</definedName>
    <definedName name="平板挂车40t" localSheetId="24">#REF!</definedName>
    <definedName name="平板挂车40t" localSheetId="3">#REF!</definedName>
    <definedName name="平板挂车40t">#REF!</definedName>
    <definedName name="平板式振动器2.2kw" localSheetId="0">[13]附表3机械台班!#REF!</definedName>
    <definedName name="平板式振动器2.2kw" localSheetId="2">[13]附表3机械台班!#REF!</definedName>
    <definedName name="平板式振动器2.2kw" localSheetId="3">[14]附表3机械台班!#REF!</definedName>
    <definedName name="平板式振动器2.2kw">[15]附表3机械台班!#REF!</definedName>
    <definedName name="平胶垫" localSheetId="0">[13]附表2材料价格表!#REF!</definedName>
    <definedName name="平胶垫" localSheetId="2">[13]附表2材料价格表!#REF!</definedName>
    <definedName name="平胶垫" localSheetId="3">[14]附表2材料价格表!#REF!</definedName>
    <definedName name="平胶垫">[15]附表2材料价格表!#REF!</definedName>
    <definedName name="平胶垫90_3" localSheetId="0">[13]附表2材料价格表!#REF!</definedName>
    <definedName name="平胶垫90_3" localSheetId="2">[13]附表2材料价格表!#REF!</definedName>
    <definedName name="平胶垫90_3" localSheetId="3">[14]附表2材料价格表!#REF!</definedName>
    <definedName name="平胶垫90_3">[15]附表2材料价格表!#REF!</definedName>
    <definedName name="平胶垫φ200" localSheetId="0">[13]附表2材料价格表!#REF!</definedName>
    <definedName name="平胶垫φ200" localSheetId="2">[13]附表2材料价格表!#REF!</definedName>
    <definedName name="平胶垫φ200" localSheetId="3">[14]附表2材料价格表!#REF!</definedName>
    <definedName name="平胶垫φ200">[15]附表2材料价格表!#REF!</definedName>
    <definedName name="平胶垫φ225" localSheetId="0">[13]附表2材料价格表!#REF!</definedName>
    <definedName name="平胶垫φ225" localSheetId="2">[13]附表2材料价格表!#REF!</definedName>
    <definedName name="平胶垫φ225" localSheetId="3">[14]附表2材料价格表!#REF!</definedName>
    <definedName name="平胶垫φ225">[15]附表2材料价格表!#REF!</definedName>
    <definedName name="平胶垫φ250" localSheetId="0">[13]附表2材料价格表!#REF!</definedName>
    <definedName name="平胶垫φ250" localSheetId="2">[13]附表2材料价格表!#REF!</definedName>
    <definedName name="平胶垫φ250" localSheetId="3">[14]附表2材料价格表!#REF!</definedName>
    <definedName name="平胶垫φ250">[15]附表2材料价格表!#REF!</definedName>
    <definedName name="平胶垫φ315" localSheetId="0">[13]附表2材料价格表!#REF!</definedName>
    <definedName name="平胶垫φ315" localSheetId="2">[13]附表2材料价格表!#REF!</definedName>
    <definedName name="平胶垫φ315" localSheetId="3">[14]附表2材料价格表!#REF!</definedName>
    <definedName name="平胶垫φ315">[15]附表2材料价格表!#REF!</definedName>
    <definedName name="平胶垫φ355" localSheetId="0">[13]附表2材料价格表!#REF!</definedName>
    <definedName name="平胶垫φ355" localSheetId="2">[13]附表2材料价格表!#REF!</definedName>
    <definedName name="平胶垫φ355" localSheetId="3">[14]附表2材料价格表!#REF!</definedName>
    <definedName name="平胶垫φ355">[15]附表2材料价格表!#REF!</definedName>
    <definedName name="平胶垫φ400" localSheetId="0">[13]附表2材料价格表!#REF!</definedName>
    <definedName name="平胶垫φ400" localSheetId="2">[13]附表2材料价格表!#REF!</definedName>
    <definedName name="平胶垫φ400" localSheetId="3">[14]附表2材料价格表!#REF!</definedName>
    <definedName name="平胶垫φ400">[15]附表2材料价格表!#REF!</definedName>
    <definedName name="平田整地工程" localSheetId="0">#REF!</definedName>
    <definedName name="平田整地工程" localSheetId="2">#REF!</definedName>
    <definedName name="平田整地工程" localSheetId="24">#REF!</definedName>
    <definedName name="平田整地工程" localSheetId="3">#REF!</definedName>
    <definedName name="平田整地工程">#REF!</definedName>
    <definedName name="普工" localSheetId="0">[119]人工工资!$F$19</definedName>
    <definedName name="普工" localSheetId="2">[119]人工工资!$F$19</definedName>
    <definedName name="普工" localSheetId="24">[119]人工工资!$F$19</definedName>
    <definedName name="普工" localSheetId="3">[149]人工工资!$F$19</definedName>
    <definedName name="普工">[150]人工工资!$F$19</definedName>
    <definedName name="铺装" localSheetId="3">#REF!</definedName>
    <definedName name="铺装">#REF!</definedName>
    <definedName name="其措" localSheetId="0">[55]Sheet3!$H$9</definedName>
    <definedName name="其措" localSheetId="2">[55]Sheet3!$H$9</definedName>
    <definedName name="其措" localSheetId="24">[55]Sheet3!$H$9</definedName>
    <definedName name="其措" localSheetId="3">[56]Sheet3!$H$9</definedName>
    <definedName name="其措">[57]Sheet3!$H$9</definedName>
    <definedName name="其间" localSheetId="0">[55]Sheet3!$F$20</definedName>
    <definedName name="其间" localSheetId="2">[55]Sheet3!$F$20</definedName>
    <definedName name="其间" localSheetId="24">[55]Sheet3!$F$20</definedName>
    <definedName name="其间" localSheetId="3">[56]Sheet3!$F$20</definedName>
    <definedName name="其间">[57]Sheet3!$F$20</definedName>
    <definedName name="其他费用" localSheetId="0">#REF!</definedName>
    <definedName name="其他费用" localSheetId="2">#REF!</definedName>
    <definedName name="其他费用" localSheetId="24">#REF!</definedName>
    <definedName name="其他费用" localSheetId="3">#REF!</definedName>
    <definedName name="其他费用">#REF!</definedName>
    <definedName name="其他费用南" localSheetId="0">'[94]表5其他费用南 '!$C$9</definedName>
    <definedName name="其他费用南" localSheetId="2">'[94]表5其他费用南 '!$C$9</definedName>
    <definedName name="其他费用南" localSheetId="24">'[94]表5其他费用南 '!$C$9</definedName>
    <definedName name="其他费用南" localSheetId="3">'[95]表5其他费用南 '!$C$9</definedName>
    <definedName name="其他费用南">'[96]表5其他费用南 '!$C$9</definedName>
    <definedName name="其他工程" localSheetId="0">[13]表3工程施工费表!#REF!</definedName>
    <definedName name="其他工程" localSheetId="2">[13]表3工程施工费表!#REF!</definedName>
    <definedName name="其他工程" localSheetId="3">[14]表3工程施工费表!#REF!</definedName>
    <definedName name="其他工程">[15]表3工程施工费表!#REF!</definedName>
    <definedName name="其它安装" localSheetId="0">[119]基础参数值!$C$23</definedName>
    <definedName name="其它安装" localSheetId="2">[119]基础参数值!$C$23</definedName>
    <definedName name="其它安装" localSheetId="24">[119]基础参数值!$C$23</definedName>
    <definedName name="其它安装" localSheetId="3">[149]基础参数值!$C$23</definedName>
    <definedName name="其它安装">[150]基础参数值!$C$23</definedName>
    <definedName name="其它钢筋" localSheetId="0">[119]基础参数值!$C$19</definedName>
    <definedName name="其它钢筋" localSheetId="2">[119]基础参数值!$C$19</definedName>
    <definedName name="其它钢筋" localSheetId="24">[119]基础参数值!$C$19</definedName>
    <definedName name="其它钢筋" localSheetId="3">[149]基础参数值!$C$19</definedName>
    <definedName name="其它钢筋">[150]基础参数值!$C$19</definedName>
    <definedName name="其它工程" localSheetId="0">[13]表3工程施工费表!#REF!</definedName>
    <definedName name="其它工程" localSheetId="2">[13]表3工程施工费表!#REF!</definedName>
    <definedName name="其它工程" localSheetId="3">[14]表3工程施工费表!#REF!</definedName>
    <definedName name="其它工程">[15]表3工程施工费表!#REF!</definedName>
    <definedName name="其它其它" localSheetId="0">[119]基础参数值!$C$22</definedName>
    <definedName name="其它其它" localSheetId="2">[119]基础参数值!$C$22</definedName>
    <definedName name="其它其它" localSheetId="24">[119]基础参数值!$C$22</definedName>
    <definedName name="其它其它" localSheetId="3">[149]基础参数值!$C$22</definedName>
    <definedName name="其它其它">[150]基础参数值!$C$22</definedName>
    <definedName name="其它砌石" localSheetId="0">[119]基础参数值!$C$17</definedName>
    <definedName name="其它砌石" localSheetId="2">[119]基础参数值!$C$17</definedName>
    <definedName name="其它砌石" localSheetId="24">[119]基础参数值!$C$17</definedName>
    <definedName name="其它砌石" localSheetId="3">[149]基础参数值!$C$17</definedName>
    <definedName name="其它砌石">[150]基础参数值!$C$17</definedName>
    <definedName name="其它石方" localSheetId="24">[82]基础参数值!$C$16</definedName>
    <definedName name="其它疏浚" localSheetId="24">[82]基础参数值!$C$21</definedName>
    <definedName name="其它砼" localSheetId="0">[119]基础参数值!$C$18</definedName>
    <definedName name="其它砼" localSheetId="2">[119]基础参数值!$C$18</definedName>
    <definedName name="其它砼" localSheetId="24">[119]基础参数值!$C$18</definedName>
    <definedName name="其它砼" localSheetId="3">[149]基础参数值!$C$18</definedName>
    <definedName name="其它砼">[150]基础参数值!$C$18</definedName>
    <definedName name="其它土" localSheetId="0">[119]基础参数值!$C$15</definedName>
    <definedName name="其它土" localSheetId="2">[119]基础参数值!$C$15</definedName>
    <definedName name="其它土" localSheetId="24">[119]基础参数值!$C$15</definedName>
    <definedName name="其它土" localSheetId="3">[149]基础参数值!$C$15</definedName>
    <definedName name="其它土">[150]基础参数值!$C$15</definedName>
    <definedName name="其它土方" localSheetId="24">[82]基础参数值!$C$15</definedName>
    <definedName name="其它钻孔" localSheetId="0">[119]基础参数值!$C$20</definedName>
    <definedName name="其它钻孔" localSheetId="2">[119]基础参数值!$C$20</definedName>
    <definedName name="其它钻孔" localSheetId="24">[119]基础参数值!$C$20</definedName>
    <definedName name="其它钻孔" localSheetId="3">[149]基础参数值!$C$20</definedName>
    <definedName name="其它钻孔">[150]基础参数值!$C$20</definedName>
    <definedName name="企业安装" localSheetId="0">[119]基础参数值!$L$23</definedName>
    <definedName name="企业安装" localSheetId="2">[119]基础参数值!$L$23</definedName>
    <definedName name="企业安装" localSheetId="24">[119]基础参数值!$L$23</definedName>
    <definedName name="企业安装" localSheetId="3">[149]基础参数值!$L$23</definedName>
    <definedName name="企业安装">[150]基础参数值!$L$23</definedName>
    <definedName name="企业钢筋" localSheetId="0">[119]基础参数值!$L$19</definedName>
    <definedName name="企业钢筋" localSheetId="2">[119]基础参数值!$L$19</definedName>
    <definedName name="企业钢筋" localSheetId="24">[119]基础参数值!$L$19</definedName>
    <definedName name="企业钢筋" localSheetId="3">[149]基础参数值!$L$19</definedName>
    <definedName name="企业钢筋">[150]基础参数值!$L$19</definedName>
    <definedName name="企业其它" localSheetId="0">[119]基础参数值!$L$22</definedName>
    <definedName name="企业其它" localSheetId="2">[119]基础参数值!$L$22</definedName>
    <definedName name="企业其它" localSheetId="24">[119]基础参数值!$L$22</definedName>
    <definedName name="企业其它" localSheetId="3">[149]基础参数值!$L$22</definedName>
    <definedName name="企业其它">[150]基础参数值!$L$22</definedName>
    <definedName name="企业砌石" localSheetId="0">[119]基础参数值!$L$17</definedName>
    <definedName name="企业砌石" localSheetId="2">[119]基础参数值!$L$17</definedName>
    <definedName name="企业砌石" localSheetId="24">[119]基础参数值!$L$17</definedName>
    <definedName name="企业砌石" localSheetId="3">[149]基础参数值!$L$17</definedName>
    <definedName name="企业砌石">[150]基础参数值!$L$17</definedName>
    <definedName name="企业石方" localSheetId="24">[82]基础参数值!$L$16</definedName>
    <definedName name="企业疏浚" localSheetId="24">[82]基础参数值!$L$21</definedName>
    <definedName name="企业通" localSheetId="24">[82]基础参数值!$L$18</definedName>
    <definedName name="企业砼" localSheetId="0">[119]基础参数值!$L$18</definedName>
    <definedName name="企业砼" localSheetId="2">[119]基础参数值!$L$18</definedName>
    <definedName name="企业砼" localSheetId="24">[119]基础参数值!$L$18</definedName>
    <definedName name="企业砼" localSheetId="3">[149]基础参数值!$L$18</definedName>
    <definedName name="企业砼">[150]基础参数值!$L$18</definedName>
    <definedName name="企业土方" localSheetId="0">[119]基础参数值!$L$15</definedName>
    <definedName name="企业土方" localSheetId="2">[119]基础参数值!$L$15</definedName>
    <definedName name="企业土方" localSheetId="24">[119]基础参数值!$L$15</definedName>
    <definedName name="企业土方" localSheetId="3">[149]基础参数值!$L$15</definedName>
    <definedName name="企业土方">[150]基础参数值!$L$15</definedName>
    <definedName name="企业钻孔" localSheetId="0">[119]基础参数值!$L$20</definedName>
    <definedName name="企业钻孔" localSheetId="2">[119]基础参数值!$L$20</definedName>
    <definedName name="企业钻孔" localSheetId="24">[119]基础参数值!$L$20</definedName>
    <definedName name="企业钻孔" localSheetId="3">[149]基础参数值!$L$20</definedName>
    <definedName name="企业钻孔">[150]基础参数值!$L$20</definedName>
    <definedName name="起重设备调差系数" localSheetId="0">#REF!</definedName>
    <definedName name="起重设备调差系数" localSheetId="2">#REF!</definedName>
    <definedName name="起重设备调差系数" localSheetId="24">#REF!</definedName>
    <definedName name="起重设备调差系数" localSheetId="3">#REF!</definedName>
    <definedName name="起重设备调差系数">#REF!</definedName>
    <definedName name="汽车起重机25t" localSheetId="0">[13]附表3机械台班!#REF!</definedName>
    <definedName name="汽车起重机25t" localSheetId="2">[13]附表3机械台班!#REF!</definedName>
    <definedName name="汽车起重机25t" localSheetId="3">[14]附表3机械台班!#REF!</definedName>
    <definedName name="汽车起重机25t">[15]附表3机械台班!#REF!</definedName>
    <definedName name="汽车起重机5" localSheetId="0">[55]台班!$C$38</definedName>
    <definedName name="汽车起重机5" localSheetId="2">[55]台班!$C$38</definedName>
    <definedName name="汽车起重机5" localSheetId="24">[55]台班!$C$38</definedName>
    <definedName name="汽车起重机5" localSheetId="3">[56]台班!$C$38</definedName>
    <definedName name="汽车起重机5">[57]台班!$C$38</definedName>
    <definedName name="汽车起重机5t" localSheetId="0">#REF!</definedName>
    <definedName name="汽车起重机5t" localSheetId="2">#REF!</definedName>
    <definedName name="汽车起重机5t" localSheetId="24">#REF!</definedName>
    <definedName name="汽车起重机5t" localSheetId="3">#REF!</definedName>
    <definedName name="汽车起重机5t">#REF!</definedName>
    <definedName name="汽车起重机5吨" localSheetId="0">[111]机械汇总!$K$84</definedName>
    <definedName name="汽车起重机5吨" localSheetId="2">[111]机械汇总!$K$84</definedName>
    <definedName name="汽车起重机5吨" localSheetId="24">[111]机械汇总!$K$84</definedName>
    <definedName name="汽车起重机5吨" localSheetId="3">[112]机械汇总!$K$84</definedName>
    <definedName name="汽车起重机5吨">[113]机械汇总!$K$84</definedName>
    <definedName name="汽车起重机8t" localSheetId="0">#REF!</definedName>
    <definedName name="汽车起重机8t" localSheetId="2">#REF!</definedName>
    <definedName name="汽车起重机8t" localSheetId="24">#REF!</definedName>
    <definedName name="汽车起重机8t" localSheetId="3">#REF!</definedName>
    <definedName name="汽车起重机8t">#REF!</definedName>
    <definedName name="汽车拖头40t" localSheetId="0">#REF!</definedName>
    <definedName name="汽车拖头40t" localSheetId="2">#REF!</definedName>
    <definedName name="汽车拖头40t" localSheetId="24">#REF!</definedName>
    <definedName name="汽车拖头40t" localSheetId="3">#REF!</definedName>
    <definedName name="汽车拖头40t">#REF!</definedName>
    <definedName name="汽油" localSheetId="0">[55]主材!$M$12</definedName>
    <definedName name="汽油" localSheetId="2">[55]主材!$M$12</definedName>
    <definedName name="汽油" localSheetId="24">[55]主材!$M$12</definedName>
    <definedName name="汽油" localSheetId="3">[56]主材!$M$12</definedName>
    <definedName name="汽油">[57]主材!$M$12</definedName>
    <definedName name="汽油材差" localSheetId="24">[107]材料预算价!$N$12</definedName>
    <definedName name="汽油材差">[108]材料预算价!$N$12</definedName>
    <definedName name="汽油定额价" localSheetId="24">[107]材料预算价!$M$12</definedName>
    <definedName name="汽油定额价">[108]材料预算价!$M$12</definedName>
    <definedName name="汽油价差" localSheetId="0">[55]主材!$P$12</definedName>
    <definedName name="汽油价差" localSheetId="2">[55]主材!$P$12</definedName>
    <definedName name="汽油价差" localSheetId="24">[55]主材!$P$12</definedName>
    <definedName name="汽油价差" localSheetId="3">[56]主材!$P$12</definedName>
    <definedName name="汽油价差">[57]主材!$P$12</definedName>
    <definedName name="汽油限价" localSheetId="0">[55]主材!$N$12</definedName>
    <definedName name="汽油限价" localSheetId="2">[55]主材!$N$12</definedName>
    <definedName name="汽油限价" localSheetId="24">[55]主材!$N$12</definedName>
    <definedName name="汽油限价" localSheetId="3">[56]主材!$N$12</definedName>
    <definedName name="汽油限价">[57]主材!$N$12</definedName>
    <definedName name="汽油预算价" localSheetId="24">[107]材料预算价!$L$12</definedName>
    <definedName name="汽油预算价">[108]材料预算价!$L$12</definedName>
    <definedName name="砌措" localSheetId="0">[55]Sheet3!$H$6</definedName>
    <definedName name="砌措" localSheetId="2">[55]Sheet3!$H$6</definedName>
    <definedName name="砌措" localSheetId="24">[55]Sheet3!$H$6</definedName>
    <definedName name="砌措" localSheetId="3">[56]Sheet3!$H$6</definedName>
    <definedName name="砌措">[57]Sheet3!$H$6</definedName>
    <definedName name="砌间" localSheetId="0">[55]Sheet3!$F$17</definedName>
    <definedName name="砌间" localSheetId="2">[55]Sheet3!$F$17</definedName>
    <definedName name="砌间" localSheetId="24">[55]Sheet3!$F$17</definedName>
    <definedName name="砌间" localSheetId="3">[56]Sheet3!$F$17</definedName>
    <definedName name="砌间">[57]Sheet3!$F$17</definedName>
    <definedName name="铅油" localSheetId="0">[51]附表2材料价格计算表!#REF!</definedName>
    <definedName name="铅油" localSheetId="2">[51]附表2材料价格计算表!#REF!</definedName>
    <definedName name="铅油" localSheetId="3">[52]附表2材料价格计算表!#REF!</definedName>
    <definedName name="铅油">[54]附表2材料价格计算表!#REF!</definedName>
    <definedName name="前期工作费" localSheetId="0">#REF!</definedName>
    <definedName name="前期工作费" localSheetId="2">#REF!</definedName>
    <definedName name="前期工作费" localSheetId="24">#REF!</definedName>
    <definedName name="前期工作费" localSheetId="3">#REF!</definedName>
    <definedName name="前期工作费">#REF!</definedName>
    <definedName name="前期工作费南" localSheetId="0">'[94]表5-1前期工作费南'!$E$11</definedName>
    <definedName name="前期工作费南" localSheetId="2">'[94]表5-1前期工作费南'!$E$11</definedName>
    <definedName name="前期工作费南" localSheetId="24">'[94]表5-1前期工作费南'!$E$11</definedName>
    <definedName name="前期工作费南" localSheetId="3">'[95]表5-1前期工作费南'!$E$11</definedName>
    <definedName name="前期工作费南">'[96]表5-1前期工作费南'!$E$11</definedName>
    <definedName name="强制式混凝土搅拌机0.35" localSheetId="0">[55]台班!$C$24</definedName>
    <definedName name="强制式混凝土搅拌机0.35" localSheetId="2">[55]台班!$C$24</definedName>
    <definedName name="强制式混凝土搅拌机0.35" localSheetId="24">[55]台班!$C$24</definedName>
    <definedName name="强制式混凝土搅拌机0.35" localSheetId="3">[56]台班!$C$24</definedName>
    <definedName name="强制式混凝土搅拌机0.35">[57]台班!$C$24</definedName>
    <definedName name="桥式起重机10t" localSheetId="0">#REF!</definedName>
    <definedName name="桥式起重机10t" localSheetId="2">#REF!</definedName>
    <definedName name="桥式起重机10t" localSheetId="24">#REF!</definedName>
    <definedName name="桥式起重机10t" localSheetId="3">#REF!</definedName>
    <definedName name="桥式起重机10t">#REF!</definedName>
    <definedName name="青铜峡" localSheetId="2">#REF!</definedName>
    <definedName name="青铜峡" localSheetId="24">#REF!</definedName>
    <definedName name="青铜峡">#REF!</definedName>
    <definedName name="清单" hidden="1">{"'现金流量表（全部投资）'!$B$4:$P$23"}</definedName>
    <definedName name="清单_1" hidden="1">{"'现金流量表（全部投资）'!$B$4:$P$23"}</definedName>
    <definedName name="请问请问" localSheetId="24">#REF!</definedName>
    <definedName name="请问请问" localSheetId="3">#REF!</definedName>
    <definedName name="请问请问">#REF!</definedName>
    <definedName name="球阀50" localSheetId="3">[19]附表2!#REF!</definedName>
    <definedName name="球阀50">[20]附表2!#REF!</definedName>
    <definedName name="球阀75" localSheetId="3">[19]附表2!#REF!</definedName>
    <definedName name="球阀75">[20]附表2!#REF!</definedName>
    <definedName name="球阀90" localSheetId="24">'[21]附表2 材料价格表'!$L$113</definedName>
    <definedName name="球阀90">'[22]附表2 材料价格表'!$L$113</definedName>
    <definedName name="球头挂环QP_7" localSheetId="0">[13]附表2材料价格表!#REF!</definedName>
    <definedName name="球头挂环QP_7" localSheetId="2">[13]附表2材料价格表!#REF!</definedName>
    <definedName name="球头挂环QP_7" localSheetId="3">[14]附表2材料价格表!#REF!</definedName>
    <definedName name="球头挂环QP_7">[15]附表2材料价格表!#REF!</definedName>
    <definedName name="人1_23_1" localSheetId="0">[13]附表5直接工程费单价表!#REF!</definedName>
    <definedName name="人1_23_1" localSheetId="2">[13]附表5直接工程费单价表!#REF!</definedName>
    <definedName name="人1_23_1" localSheetId="3">[14]附表5直接工程费单价表!#REF!</definedName>
    <definedName name="人1_23_1">[15]附表5直接工程费单价表!#REF!</definedName>
    <definedName name="人10001" localSheetId="0">[13]附表5直接工程费单价表!#REF!</definedName>
    <definedName name="人10001" localSheetId="2">[13]附表5直接工程费单价表!#REF!</definedName>
    <definedName name="人10001" localSheetId="3">[14]附表5直接工程费单价表!#REF!</definedName>
    <definedName name="人10001">[15]附表5直接工程费单价表!#REF!</definedName>
    <definedName name="人100017" localSheetId="0">[51]附表4直接工程费单价表!#REF!</definedName>
    <definedName name="人100017" localSheetId="2">[51]附表4直接工程费单价表!#REF!</definedName>
    <definedName name="人100017" localSheetId="3">[52]附表4直接工程费单价表!#REF!</definedName>
    <definedName name="人100017">[54]附表4直接工程费单价表!#REF!</definedName>
    <definedName name="人10002" localSheetId="0">[13]附表5直接工程费单价表!#REF!</definedName>
    <definedName name="人10002" localSheetId="2">[13]附表5直接工程费单价表!#REF!</definedName>
    <definedName name="人10002" localSheetId="3">[14]附表5直接工程费单价表!#REF!</definedName>
    <definedName name="人10002">[15]附表5直接工程费单价表!#REF!</definedName>
    <definedName name="人100023" localSheetId="0">[51]附表4直接工程费单价表!#REF!</definedName>
    <definedName name="人100023" localSheetId="2">[51]附表4直接工程费单价表!#REF!</definedName>
    <definedName name="人100023" localSheetId="3">[52]附表4直接工程费单价表!#REF!</definedName>
    <definedName name="人100023">[54]附表4直接工程费单价表!#REF!</definedName>
    <definedName name="人10003" localSheetId="0">[13]附表5直接工程费单价表!#REF!</definedName>
    <definedName name="人10003" localSheetId="2">[13]附表5直接工程费单价表!#REF!</definedName>
    <definedName name="人10003" localSheetId="3">[14]附表5直接工程费单价表!#REF!</definedName>
    <definedName name="人10003">[15]附表5直接工程费单价表!#REF!</definedName>
    <definedName name="人100049" localSheetId="0">[51]附表4直接工程费单价表!#REF!</definedName>
    <definedName name="人100049" localSheetId="2">[51]附表4直接工程费单价表!#REF!</definedName>
    <definedName name="人100049" localSheetId="3">[78]附表4直接工程费单价表!#REF!</definedName>
    <definedName name="人100049">[53]附表4直接工程费单价表!#REF!</definedName>
    <definedName name="人10008" localSheetId="0">[13]附表5直接工程费单价表!#REF!</definedName>
    <definedName name="人10008" localSheetId="2">[13]附表5直接工程费单价表!#REF!</definedName>
    <definedName name="人10008" localSheetId="3">[14]附表5直接工程费单价表!#REF!</definedName>
    <definedName name="人10008">[15]附表5直接工程费单价表!#REF!</definedName>
    <definedName name="人10017" localSheetId="0">[51]附表4直接工程费单价表!#REF!</definedName>
    <definedName name="人10017" localSheetId="2">[51]附表4直接工程费单价表!#REF!</definedName>
    <definedName name="人10017" localSheetId="3">[78]附表4直接工程费单价表!#REF!</definedName>
    <definedName name="人10017">[53]附表4直接工程费单价表!#REF!</definedName>
    <definedName name="人10019" localSheetId="0">[13]附表5直接工程费单价表!#REF!</definedName>
    <definedName name="人10019" localSheetId="2">[13]附表5直接工程费单价表!#REF!</definedName>
    <definedName name="人10019" localSheetId="3">[14]附表5直接工程费单价表!#REF!</definedName>
    <definedName name="人10019">[15]附表5直接工程费单价表!#REF!</definedName>
    <definedName name="人10020" localSheetId="0">[13]附表5直接工程费单价表!#REF!</definedName>
    <definedName name="人10020" localSheetId="2">[13]附表5直接工程费单价表!#REF!</definedName>
    <definedName name="人10020" localSheetId="3">[14]附表5直接工程费单价表!#REF!</definedName>
    <definedName name="人10020">[15]附表5直接工程费单价表!#REF!</definedName>
    <definedName name="人10021" localSheetId="0">[13]附表5直接工程费单价表!#REF!</definedName>
    <definedName name="人10021" localSheetId="2">[13]附表5直接工程费单价表!#REF!</definedName>
    <definedName name="人10021" localSheetId="3">[14]附表5直接工程费单价表!#REF!</definedName>
    <definedName name="人10021">[15]附表5直接工程费单价表!#REF!</definedName>
    <definedName name="人10041" localSheetId="0">[51]附表4直接工程费单价表!#REF!</definedName>
    <definedName name="人10041" localSheetId="2">[51]附表4直接工程费单价表!#REF!</definedName>
    <definedName name="人10041" localSheetId="3">[78]附表4直接工程费单价表!#REF!</definedName>
    <definedName name="人10041">[53]附表4直接工程费单价表!#REF!</definedName>
    <definedName name="人10043" localSheetId="0">[51]附表4直接工程费单价表!#REF!</definedName>
    <definedName name="人10043" localSheetId="2">[51]附表4直接工程费单价表!#REF!</definedName>
    <definedName name="人10043" localSheetId="3">[78]附表4直接工程费单价表!#REF!</definedName>
    <definedName name="人10043">[53]附表4直接工程费单价表!#REF!</definedName>
    <definedName name="人10045" localSheetId="0">[13]附表5直接工程费单价表!#REF!</definedName>
    <definedName name="人10045" localSheetId="2">[13]附表5直接工程费单价表!#REF!</definedName>
    <definedName name="人10045" localSheetId="3">[14]附表5直接工程费单价表!#REF!</definedName>
    <definedName name="人10045">[15]附表5直接工程费单价表!#REF!</definedName>
    <definedName name="人10047" localSheetId="0">[13]附表5直接工程费单价表!#REF!</definedName>
    <definedName name="人10047" localSheetId="2">[13]附表5直接工程费单价表!#REF!</definedName>
    <definedName name="人10047" localSheetId="3">[14]附表5直接工程费单价表!#REF!</definedName>
    <definedName name="人10047">[15]附表5直接工程费单价表!#REF!</definedName>
    <definedName name="人10049" localSheetId="0">[13]附表5直接工程费单价表!#REF!</definedName>
    <definedName name="人10049" localSheetId="2">[13]附表5直接工程费单价表!#REF!</definedName>
    <definedName name="人10049" localSheetId="3">[14]附表5直接工程费单价表!#REF!</definedName>
    <definedName name="人10049">[15]附表5直接工程费单价表!#REF!</definedName>
    <definedName name="人10052" localSheetId="0">[13]附表5直接工程费单价表!#REF!</definedName>
    <definedName name="人10052" localSheetId="2">[13]附表5直接工程费单价表!#REF!</definedName>
    <definedName name="人10052" localSheetId="3">[14]附表5直接工程费单价表!#REF!</definedName>
    <definedName name="人10052">[15]附表5直接工程费单价表!#REF!</definedName>
    <definedName name="人10054" localSheetId="0">[13]附表5直接工程费单价表!#REF!</definedName>
    <definedName name="人10054" localSheetId="2">[13]附表5直接工程费单价表!#REF!</definedName>
    <definedName name="人10054" localSheetId="3">[14]附表5直接工程费单价表!#REF!</definedName>
    <definedName name="人10054">[15]附表5直接工程费单价表!#REF!</definedName>
    <definedName name="人10056" localSheetId="0">[13]附表5直接工程费单价表!#REF!</definedName>
    <definedName name="人10056" localSheetId="2">[13]附表5直接工程费单价表!#REF!</definedName>
    <definedName name="人10056" localSheetId="3">[14]附表5直接工程费单价表!#REF!</definedName>
    <definedName name="人10056">[15]附表5直接工程费单价表!#REF!</definedName>
    <definedName name="人10066" localSheetId="0">[13]附表5直接工程费单价表!#REF!</definedName>
    <definedName name="人10066" localSheetId="2">[13]附表5直接工程费单价表!#REF!</definedName>
    <definedName name="人10066" localSheetId="3">[14]附表5直接工程费单价表!#REF!</definedName>
    <definedName name="人10066">[15]附表5直接工程费单价表!#REF!</definedName>
    <definedName name="人10071" localSheetId="0">[13]附表5直接工程费单价表!#REF!</definedName>
    <definedName name="人10071" localSheetId="2">[13]附表5直接工程费单价表!#REF!</definedName>
    <definedName name="人10071" localSheetId="3">[14]附表5直接工程费单价表!#REF!</definedName>
    <definedName name="人10071">[15]附表5直接工程费单价表!#REF!</definedName>
    <definedName name="人10075" localSheetId="0">[13]附表5直接工程费单价表!#REF!</definedName>
    <definedName name="人10075" localSheetId="2">[13]附表5直接工程费单价表!#REF!</definedName>
    <definedName name="人10075" localSheetId="3">[14]附表5直接工程费单价表!#REF!</definedName>
    <definedName name="人10075">[15]附表5直接工程费单价表!#REF!</definedName>
    <definedName name="人10090" localSheetId="0">[13]附表5直接工程费单价表!#REF!</definedName>
    <definedName name="人10090" localSheetId="2">[13]附表5直接工程费单价表!#REF!</definedName>
    <definedName name="人10090" localSheetId="3">[14]附表5直接工程费单价表!#REF!</definedName>
    <definedName name="人10090">[15]附表5直接工程费单价表!#REF!</definedName>
    <definedName name="人10095" localSheetId="0">[13]附表5直接工程费单价表!#REF!</definedName>
    <definedName name="人10095" localSheetId="2">[13]附表5直接工程费单价表!#REF!</definedName>
    <definedName name="人10095" localSheetId="3">[14]附表5直接工程费单价表!#REF!</definedName>
    <definedName name="人10095">[15]附表5直接工程费单价表!#REF!</definedName>
    <definedName name="人10114" localSheetId="0">[13]附表5直接工程费单价表!#REF!</definedName>
    <definedName name="人10114" localSheetId="2">[13]附表5直接工程费单价表!#REF!</definedName>
    <definedName name="人10114" localSheetId="3">[14]附表5直接工程费单价表!#REF!</definedName>
    <definedName name="人10114">[15]附表5直接工程费单价表!#REF!</definedName>
    <definedName name="人10116" localSheetId="0">[13]附表5直接工程费单价表!#REF!</definedName>
    <definedName name="人10116" localSheetId="2">[13]附表5直接工程费单价表!#REF!</definedName>
    <definedName name="人10116" localSheetId="3">[14]附表5直接工程费单价表!#REF!</definedName>
    <definedName name="人10116">[15]附表5直接工程费单价表!#REF!</definedName>
    <definedName name="人10118" localSheetId="0">[13]附表5直接工程费单价表!#REF!</definedName>
    <definedName name="人10118" localSheetId="2">[13]附表5直接工程费单价表!#REF!</definedName>
    <definedName name="人10118" localSheetId="3">[14]附表5直接工程费单价表!#REF!</definedName>
    <definedName name="人10118">[15]附表5直接工程费单价表!#REF!</definedName>
    <definedName name="人10204" localSheetId="0">[13]附表5直接工程费单价表!#REF!</definedName>
    <definedName name="人10204" localSheetId="2">[13]附表5直接工程费单价表!#REF!</definedName>
    <definedName name="人10204" localSheetId="3">[14]附表5直接工程费单价表!#REF!</definedName>
    <definedName name="人10204">[15]附表5直接工程费单价表!#REF!</definedName>
    <definedName name="人10269" localSheetId="0">[13]附表5直接工程费单价表!#REF!</definedName>
    <definedName name="人10269" localSheetId="2">[13]附表5直接工程费单价表!#REF!</definedName>
    <definedName name="人10269" localSheetId="3">[14]附表5直接工程费单价表!#REF!</definedName>
    <definedName name="人10269">[15]附表5直接工程费单价表!#REF!</definedName>
    <definedName name="人10270" localSheetId="0">[13]附表5直接工程费单价表!#REF!</definedName>
    <definedName name="人10270" localSheetId="2">[13]附表5直接工程费单价表!#REF!</definedName>
    <definedName name="人10270" localSheetId="3">[14]附表5直接工程费单价表!#REF!</definedName>
    <definedName name="人10270">[15]附表5直接工程费单价表!#REF!</definedName>
    <definedName name="人10271" localSheetId="0">[13]附表5直接工程费单价表!#REF!</definedName>
    <definedName name="人10271" localSheetId="2">[13]附表5直接工程费单价表!#REF!</definedName>
    <definedName name="人10271" localSheetId="3">[14]附表5直接工程费单价表!#REF!</definedName>
    <definedName name="人10271">[15]附表5直接工程费单价表!#REF!</definedName>
    <definedName name="人10272" localSheetId="0">[13]附表5直接工程费单价表!#REF!</definedName>
    <definedName name="人10272" localSheetId="2">[13]附表5直接工程费单价表!#REF!</definedName>
    <definedName name="人10272" localSheetId="3">[14]附表5直接工程费单价表!#REF!</definedName>
    <definedName name="人10272">[15]附表5直接工程费单价表!#REF!</definedName>
    <definedName name="人10273" localSheetId="0">[13]附表5直接工程费单价表!#REF!</definedName>
    <definedName name="人10273" localSheetId="2">[13]附表5直接工程费单价表!#REF!</definedName>
    <definedName name="人10273" localSheetId="3">[14]附表5直接工程费单价表!#REF!</definedName>
    <definedName name="人10273">[15]附表5直接工程费单价表!#REF!</definedName>
    <definedName name="人10275" localSheetId="0">[13]附表5直接工程费单价表!#REF!</definedName>
    <definedName name="人10275" localSheetId="2">[13]附表5直接工程费单价表!#REF!</definedName>
    <definedName name="人10275" localSheetId="3">[14]附表5直接工程费单价表!#REF!</definedName>
    <definedName name="人10275">[15]附表5直接工程费单价表!#REF!</definedName>
    <definedName name="人10277" localSheetId="0">[13]附表5直接工程费单价表!#REF!</definedName>
    <definedName name="人10277" localSheetId="2">[13]附表5直接工程费单价表!#REF!</definedName>
    <definedName name="人10277" localSheetId="3">[14]附表5直接工程费单价表!#REF!</definedName>
    <definedName name="人10277">[15]附表5直接工程费单价表!#REF!</definedName>
    <definedName name="人10278" localSheetId="0">[13]附表5直接工程费单价表!#REF!</definedName>
    <definedName name="人10278" localSheetId="2">[13]附表5直接工程费单价表!#REF!</definedName>
    <definedName name="人10278" localSheetId="3">[14]附表5直接工程费单价表!#REF!</definedName>
    <definedName name="人10278">[15]附表5直接工程费单价表!#REF!</definedName>
    <definedName name="人10279" localSheetId="0">[13]附表5直接工程费单价表!#REF!</definedName>
    <definedName name="人10279" localSheetId="2">[13]附表5直接工程费单价表!#REF!</definedName>
    <definedName name="人10279" localSheetId="3">[14]附表5直接工程费单价表!#REF!</definedName>
    <definedName name="人10279">[15]附表5直接工程费单价表!#REF!</definedName>
    <definedName name="人10279A" localSheetId="0">[13]附表5直接工程费单价表!#REF!</definedName>
    <definedName name="人10279A" localSheetId="2">[13]附表5直接工程费单价表!#REF!</definedName>
    <definedName name="人10279A" localSheetId="3">[14]附表5直接工程费单价表!#REF!</definedName>
    <definedName name="人10279A">[15]附表5直接工程费单价表!#REF!</definedName>
    <definedName name="人10280" localSheetId="0">[13]附表5直接工程费单价表!#REF!</definedName>
    <definedName name="人10280" localSheetId="2">[13]附表5直接工程费单价表!#REF!</definedName>
    <definedName name="人10280" localSheetId="3">[14]附表5直接工程费单价表!#REF!</definedName>
    <definedName name="人10280">[15]附表5直接工程费单价表!#REF!</definedName>
    <definedName name="人10280A" localSheetId="0">[13]附表5直接工程费单价表!#REF!</definedName>
    <definedName name="人10280A" localSheetId="2">[13]附表5直接工程费单价表!#REF!</definedName>
    <definedName name="人10280A" localSheetId="3">[14]附表5直接工程费单价表!#REF!</definedName>
    <definedName name="人10280A">[15]附表5直接工程费单价表!#REF!</definedName>
    <definedName name="人10281" localSheetId="0">[13]附表5直接工程费单价表!#REF!</definedName>
    <definedName name="人10281" localSheetId="2">[13]附表5直接工程费单价表!#REF!</definedName>
    <definedName name="人10281" localSheetId="3">[14]附表5直接工程费单价表!#REF!</definedName>
    <definedName name="人10281">[15]附表5直接工程费单价表!#REF!</definedName>
    <definedName name="人10281A" localSheetId="0">[13]附表5直接工程费单价表!#REF!</definedName>
    <definedName name="人10281A" localSheetId="2">[13]附表5直接工程费单价表!#REF!</definedName>
    <definedName name="人10281A" localSheetId="3">[14]附表5直接工程费单价表!#REF!</definedName>
    <definedName name="人10281A">[15]附表5直接工程费单价表!#REF!</definedName>
    <definedName name="人10282" localSheetId="0">[13]附表5直接工程费单价表!#REF!</definedName>
    <definedName name="人10282" localSheetId="2">[13]附表5直接工程费单价表!#REF!</definedName>
    <definedName name="人10282" localSheetId="3">[14]附表5直接工程费单价表!#REF!</definedName>
    <definedName name="人10282">[15]附表5直接工程费单价表!#REF!</definedName>
    <definedName name="人10282A" localSheetId="0">[13]附表5直接工程费单价表!#REF!</definedName>
    <definedName name="人10282A" localSheetId="2">[13]附表5直接工程费单价表!#REF!</definedName>
    <definedName name="人10282A" localSheetId="3">[14]附表5直接工程费单价表!#REF!</definedName>
    <definedName name="人10282A">[15]附表5直接工程费单价表!#REF!</definedName>
    <definedName name="人10283" localSheetId="0">[13]附表5直接工程费单价表!#REF!</definedName>
    <definedName name="人10283" localSheetId="2">[13]附表5直接工程费单价表!#REF!</definedName>
    <definedName name="人10283" localSheetId="3">[14]附表5直接工程费单价表!#REF!</definedName>
    <definedName name="人10283">[15]附表5直接工程费单价表!#REF!</definedName>
    <definedName name="人10283A" localSheetId="0">[13]附表5直接工程费单价表!#REF!</definedName>
    <definedName name="人10283A" localSheetId="2">[13]附表5直接工程费单价表!#REF!</definedName>
    <definedName name="人10283A" localSheetId="3">[14]附表5直接工程费单价表!#REF!</definedName>
    <definedName name="人10283A">[15]附表5直接工程费单价表!#REF!</definedName>
    <definedName name="人10306" localSheetId="0">[51]附表4直接工程费单价表!#REF!</definedName>
    <definedName name="人10306" localSheetId="2">[51]附表4直接工程费单价表!#REF!</definedName>
    <definedName name="人10306" localSheetId="3">[78]附表4直接工程费单价表!#REF!</definedName>
    <definedName name="人10306">[53]附表4直接工程费单价表!#REF!</definedName>
    <definedName name="人10309" localSheetId="0">[13]附表5直接工程费单价表!#REF!</definedName>
    <definedName name="人10309" localSheetId="2">[13]附表5直接工程费单价表!#REF!</definedName>
    <definedName name="人10309" localSheetId="3">[14]附表5直接工程费单价表!#REF!</definedName>
    <definedName name="人10309">[15]附表5直接工程费单价表!#REF!</definedName>
    <definedName name="人10310" localSheetId="0">[13]附表5直接工程费单价表!#REF!</definedName>
    <definedName name="人10310" localSheetId="2">[13]附表5直接工程费单价表!#REF!</definedName>
    <definedName name="人10310" localSheetId="3">[14]附表5直接工程费单价表!#REF!</definedName>
    <definedName name="人10310">[15]附表5直接工程费单价表!#REF!</definedName>
    <definedName name="人10311" localSheetId="0">[13]附表5直接工程费单价表!#REF!</definedName>
    <definedName name="人10311" localSheetId="2">[13]附表5直接工程费单价表!#REF!</definedName>
    <definedName name="人10311" localSheetId="3">[14]附表5直接工程费单价表!#REF!</definedName>
    <definedName name="人10311">[15]附表5直接工程费单价表!#REF!</definedName>
    <definedName name="人10332" localSheetId="0">[51]附表4直接工程费单价表!#REF!</definedName>
    <definedName name="人10332" localSheetId="2">[51]附表4直接工程费单价表!#REF!</definedName>
    <definedName name="人10332" localSheetId="3">[78]附表4直接工程费单价表!#REF!</definedName>
    <definedName name="人10332">[53]附表4直接工程费单价表!#REF!</definedName>
    <definedName name="人10333" localSheetId="0">[51]附表4直接工程费单价表!#REF!</definedName>
    <definedName name="人10333" localSheetId="2">[51]附表4直接工程费单价表!#REF!</definedName>
    <definedName name="人10333" localSheetId="3">[78]附表4直接工程费单价表!#REF!</definedName>
    <definedName name="人10333">[53]附表4直接工程费单价表!#REF!</definedName>
    <definedName name="人10339" localSheetId="0">[13]附表5直接工程费单价表!#REF!</definedName>
    <definedName name="人10339" localSheetId="2">[13]附表5直接工程费单价表!#REF!</definedName>
    <definedName name="人10339" localSheetId="3">[14]附表5直接工程费单价表!#REF!</definedName>
    <definedName name="人10339">[15]附表5直接工程费单价表!#REF!</definedName>
    <definedName name="人10344" localSheetId="0">[51]附表4直接工程费单价表!#REF!</definedName>
    <definedName name="人10344" localSheetId="2">[51]附表4直接工程费单价表!#REF!</definedName>
    <definedName name="人10344" localSheetId="3">[78]附表4直接工程费单价表!#REF!</definedName>
    <definedName name="人10344">[53]附表4直接工程费单价表!#REF!</definedName>
    <definedName name="人10345" localSheetId="0">[51]附表4直接工程费单价表!#REF!</definedName>
    <definedName name="人10345" localSheetId="2">[51]附表4直接工程费单价表!#REF!</definedName>
    <definedName name="人10345" localSheetId="3">[78]附表4直接工程费单价表!#REF!</definedName>
    <definedName name="人10345">[53]附表4直接工程费单价表!#REF!</definedName>
    <definedName name="人10360" localSheetId="0">[13]附表5直接工程费单价表!#REF!</definedName>
    <definedName name="人10360" localSheetId="2">[13]附表5直接工程费单价表!#REF!</definedName>
    <definedName name="人10360" localSheetId="3">[14]附表5直接工程费单价表!#REF!</definedName>
    <definedName name="人10360">[15]附表5直接工程费单价表!#REF!</definedName>
    <definedName name="人10361" localSheetId="0">[13]附表5直接工程费单价表!#REF!</definedName>
    <definedName name="人10361" localSheetId="2">[13]附表5直接工程费单价表!#REF!</definedName>
    <definedName name="人10361" localSheetId="3">[14]附表5直接工程费单价表!#REF!</definedName>
    <definedName name="人10361">[15]附表5直接工程费单价表!#REF!</definedName>
    <definedName name="人10365" localSheetId="0">[13]附表5直接工程费单价表!#REF!</definedName>
    <definedName name="人10365" localSheetId="2">[13]附表5直接工程费单价表!#REF!</definedName>
    <definedName name="人10365" localSheetId="3">[14]附表5直接工程费单价表!#REF!</definedName>
    <definedName name="人10365">[15]附表5直接工程费单价表!#REF!</definedName>
    <definedName name="人10366" localSheetId="0">[13]附表5直接工程费单价表!#REF!</definedName>
    <definedName name="人10366" localSheetId="2">[13]附表5直接工程费单价表!#REF!</definedName>
    <definedName name="人10366" localSheetId="3">[14]附表5直接工程费单价表!#REF!</definedName>
    <definedName name="人10366">[15]附表5直接工程费单价表!#REF!</definedName>
    <definedName name="人10367" localSheetId="0">[13]附表5直接工程费单价表!#REF!</definedName>
    <definedName name="人10367" localSheetId="2">[13]附表5直接工程费单价表!#REF!</definedName>
    <definedName name="人10367" localSheetId="3">[14]附表5直接工程费单价表!#REF!</definedName>
    <definedName name="人10367">[15]附表5直接工程费单价表!#REF!</definedName>
    <definedName name="人10464" localSheetId="0">[13]附表5直接工程费单价表!#REF!</definedName>
    <definedName name="人10464" localSheetId="2">[13]附表5直接工程费单价表!#REF!</definedName>
    <definedName name="人10464" localSheetId="3">[14]附表5直接工程费单价表!#REF!</definedName>
    <definedName name="人10464">[15]附表5直接工程费单价表!#REF!</definedName>
    <definedName name="人10465" localSheetId="0">[13]附表5直接工程费单价表!#REF!</definedName>
    <definedName name="人10465" localSheetId="2">[13]附表5直接工程费单价表!#REF!</definedName>
    <definedName name="人10465" localSheetId="3">[14]附表5直接工程费单价表!#REF!</definedName>
    <definedName name="人10465">[15]附表5直接工程费单价表!#REF!</definedName>
    <definedName name="人10469" localSheetId="0">[13]附表5直接工程费单价表!#REF!</definedName>
    <definedName name="人10469" localSheetId="2">[13]附表5直接工程费单价表!#REF!</definedName>
    <definedName name="人10469" localSheetId="3">[14]附表5直接工程费单价表!#REF!</definedName>
    <definedName name="人10469">[15]附表5直接工程费单价表!#REF!</definedName>
    <definedName name="人10469A" localSheetId="0">[13]附表5直接工程费单价表!#REF!</definedName>
    <definedName name="人10469A" localSheetId="2">[13]附表5直接工程费单价表!#REF!</definedName>
    <definedName name="人10469A" localSheetId="3">[14]附表5直接工程费单价表!#REF!</definedName>
    <definedName name="人10469A">[15]附表5直接工程费单价表!#REF!</definedName>
    <definedName name="人10473" localSheetId="0">[13]附表5直接工程费单价表!#REF!</definedName>
    <definedName name="人10473" localSheetId="2">[13]附表5直接工程费单价表!#REF!</definedName>
    <definedName name="人10473" localSheetId="3">[14]附表5直接工程费单价表!#REF!</definedName>
    <definedName name="人10473">[15]附表5直接工程费单价表!#REF!</definedName>
    <definedName name="人10474" localSheetId="0">[13]附表5直接工程费单价表!#REF!</definedName>
    <definedName name="人10474" localSheetId="2">[13]附表5直接工程费单价表!#REF!</definedName>
    <definedName name="人10474" localSheetId="3">[14]附表5直接工程费单价表!#REF!</definedName>
    <definedName name="人10474">[15]附表5直接工程费单价表!#REF!</definedName>
    <definedName name="人12001" localSheetId="0">[13]附表5直接工程费单价表!#REF!</definedName>
    <definedName name="人12001" localSheetId="2">[13]附表5直接工程费单价表!#REF!</definedName>
    <definedName name="人12001" localSheetId="3">[14]附表5直接工程费单价表!#REF!</definedName>
    <definedName name="人12001">[15]附表5直接工程费单价表!#REF!</definedName>
    <definedName name="人12074" localSheetId="0">[13]附表5直接工程费单价表!#REF!</definedName>
    <definedName name="人12074" localSheetId="2">[13]附表5直接工程费单价表!#REF!</definedName>
    <definedName name="人12074" localSheetId="3">[14]附表5直接工程费单价表!#REF!</definedName>
    <definedName name="人12074">[15]附表5直接工程费单价表!#REF!</definedName>
    <definedName name="人12075" localSheetId="0">[13]附表5直接工程费单价表!#REF!</definedName>
    <definedName name="人12075" localSheetId="2">[13]附表5直接工程费单价表!#REF!</definedName>
    <definedName name="人12075" localSheetId="3">[14]附表5直接工程费单价表!#REF!</definedName>
    <definedName name="人12075">[15]附表5直接工程费单价表!#REF!</definedName>
    <definedName name="人2_19_3" localSheetId="0">[13]附表5直接工程费单价表!#REF!</definedName>
    <definedName name="人2_19_3" localSheetId="2">[13]附表5直接工程费单价表!#REF!</definedName>
    <definedName name="人2_19_3" localSheetId="3">[14]附表5直接工程费单价表!#REF!</definedName>
    <definedName name="人2_19_3">[15]附表5直接工程费单价表!#REF!</definedName>
    <definedName name="人2_19_4" localSheetId="0">[13]附表5直接工程费单价表!#REF!</definedName>
    <definedName name="人2_19_4" localSheetId="2">[13]附表5直接工程费单价表!#REF!</definedName>
    <definedName name="人2_19_4" localSheetId="3">[14]附表5直接工程费单价表!#REF!</definedName>
    <definedName name="人2_19_4">[15]附表5直接工程费单价表!#REF!</definedName>
    <definedName name="人20484" localSheetId="0">[13]附表5直接工程费单价表!#REF!</definedName>
    <definedName name="人20484" localSheetId="2">[13]附表5直接工程费单价表!#REF!</definedName>
    <definedName name="人20484" localSheetId="3">[14]附表5直接工程费单价表!#REF!</definedName>
    <definedName name="人20484">[15]附表5直接工程费单价表!#REF!</definedName>
    <definedName name="人20485" localSheetId="0">[13]附表5直接工程费单价表!#REF!</definedName>
    <definedName name="人20485" localSheetId="2">[13]附表5直接工程费单价表!#REF!</definedName>
    <definedName name="人20485" localSheetId="3">[14]附表5直接工程费单价表!#REF!</definedName>
    <definedName name="人20485">[15]附表5直接工程费单价表!#REF!</definedName>
    <definedName name="人20488" localSheetId="0">[13]附表5直接工程费单价表!#REF!</definedName>
    <definedName name="人20488" localSheetId="2">[13]附表5直接工程费单价表!#REF!</definedName>
    <definedName name="人20488" localSheetId="3">[14]附表5直接工程费单价表!#REF!</definedName>
    <definedName name="人20488">[15]附表5直接工程费单价表!#REF!</definedName>
    <definedName name="人30001" localSheetId="0">[13]附表5直接工程费单价表!#REF!</definedName>
    <definedName name="人30001" localSheetId="2">[13]附表5直接工程费单价表!#REF!</definedName>
    <definedName name="人30001" localSheetId="3">[14]附表5直接工程费单价表!#REF!</definedName>
    <definedName name="人30001">[15]附表5直接工程费单价表!#REF!</definedName>
    <definedName name="人30002" localSheetId="0">[13]附表5直接工程费单价表!#REF!</definedName>
    <definedName name="人30002" localSheetId="2">[13]附表5直接工程费单价表!#REF!</definedName>
    <definedName name="人30002" localSheetId="3">[14]附表5直接工程费单价表!#REF!</definedName>
    <definedName name="人30002">[15]附表5直接工程费单价表!#REF!</definedName>
    <definedName name="人30016" localSheetId="0">[13]附表5直接工程费单价表!#REF!</definedName>
    <definedName name="人30016" localSheetId="2">[13]附表5直接工程费单价表!#REF!</definedName>
    <definedName name="人30016" localSheetId="3">[14]附表5直接工程费单价表!#REF!</definedName>
    <definedName name="人30016">[15]附表5直接工程费单价表!#REF!</definedName>
    <definedName name="人30019" localSheetId="0">[13]附表5直接工程费单价表!#REF!</definedName>
    <definedName name="人30019" localSheetId="2">[13]附表5直接工程费单价表!#REF!</definedName>
    <definedName name="人30019" localSheetId="3">[14]附表5直接工程费单价表!#REF!</definedName>
    <definedName name="人30019">[15]附表5直接工程费单价表!#REF!</definedName>
    <definedName name="人30020" localSheetId="0">[13]附表5直接工程费单价表!#REF!</definedName>
    <definedName name="人30020" localSheetId="2">[13]附表5直接工程费单价表!#REF!</definedName>
    <definedName name="人30020" localSheetId="3">[14]附表5直接工程费单价表!#REF!</definedName>
    <definedName name="人30020">[15]附表5直接工程费单价表!#REF!</definedName>
    <definedName name="人30021" localSheetId="0">[13]附表5直接工程费单价表!#REF!</definedName>
    <definedName name="人30021" localSheetId="2">[13]附表5直接工程费单价表!#REF!</definedName>
    <definedName name="人30021" localSheetId="3">[14]附表5直接工程费单价表!#REF!</definedName>
    <definedName name="人30021">[15]附表5直接工程费单价表!#REF!</definedName>
    <definedName name="人30022" localSheetId="0">[13]附表5直接工程费单价表!#REF!</definedName>
    <definedName name="人30022" localSheetId="2">[13]附表5直接工程费单价表!#REF!</definedName>
    <definedName name="人30022" localSheetId="3">[14]附表5直接工程费单价表!#REF!</definedName>
    <definedName name="人30022">[15]附表5直接工程费单价表!#REF!</definedName>
    <definedName name="人30023" localSheetId="0">[13]附表5直接工程费单价表!#REF!</definedName>
    <definedName name="人30023" localSheetId="2">[13]附表5直接工程费单价表!#REF!</definedName>
    <definedName name="人30023" localSheetId="3">[14]附表5直接工程费单价表!#REF!</definedName>
    <definedName name="人30023">[15]附表5直接工程费单价表!#REF!</definedName>
    <definedName name="人30024" localSheetId="0">[13]附表5直接工程费单价表!#REF!</definedName>
    <definedName name="人30024" localSheetId="2">[13]附表5直接工程费单价表!#REF!</definedName>
    <definedName name="人30024" localSheetId="3">[14]附表5直接工程费单价表!#REF!</definedName>
    <definedName name="人30024">[15]附表5直接工程费单价表!#REF!</definedName>
    <definedName name="人30025" localSheetId="0">[13]附表5直接工程费单价表!#REF!</definedName>
    <definedName name="人30025" localSheetId="2">[13]附表5直接工程费单价表!#REF!</definedName>
    <definedName name="人30025" localSheetId="3">[14]附表5直接工程费单价表!#REF!</definedName>
    <definedName name="人30025">[15]附表5直接工程费单价表!#REF!</definedName>
    <definedName name="人30028" localSheetId="0">#REF!</definedName>
    <definedName name="人30028" localSheetId="2">#REF!</definedName>
    <definedName name="人30028" localSheetId="24">#REF!</definedName>
    <definedName name="人30028" localSheetId="3">[14]附表5直接工程费单价表!#REF!</definedName>
    <definedName name="人30028">[15]附表5直接工程费单价表!#REF!</definedName>
    <definedName name="人30048" localSheetId="0">[13]附表5直接工程费单价表!#REF!</definedName>
    <definedName name="人30048" localSheetId="2">[13]附表5直接工程费单价表!#REF!</definedName>
    <definedName name="人30048" localSheetId="3">[14]附表5直接工程费单价表!#REF!</definedName>
    <definedName name="人30048">[15]附表5直接工程费单价表!#REF!</definedName>
    <definedName name="人30048、30051" localSheetId="0">[13]附表5直接工程费单价表!#REF!</definedName>
    <definedName name="人30048、30051" localSheetId="2">[13]附表5直接工程费单价表!#REF!</definedName>
    <definedName name="人30048、30051" localSheetId="3">[14]附表5直接工程费单价表!#REF!</definedName>
    <definedName name="人30048、30051">[15]附表5直接工程费单价表!#REF!</definedName>
    <definedName name="人30049" localSheetId="0">[13]附表5直接工程费单价表!#REF!</definedName>
    <definedName name="人30049" localSheetId="2">[13]附表5直接工程费单价表!#REF!</definedName>
    <definedName name="人30049" localSheetId="3">[14]附表5直接工程费单价表!#REF!</definedName>
    <definedName name="人30049">[15]附表5直接工程费单价表!#REF!</definedName>
    <definedName name="人30064" localSheetId="0">[51]附表4直接工程费单价表!#REF!</definedName>
    <definedName name="人30064" localSheetId="2">[51]附表4直接工程费单价表!#REF!</definedName>
    <definedName name="人30064" localSheetId="3">[52]附表4直接工程费单价表!#REF!</definedName>
    <definedName name="人30064">[54]附表4直接工程费单价表!#REF!</definedName>
    <definedName name="人30067" localSheetId="0">[51]附表4直接工程费单价表!#REF!</definedName>
    <definedName name="人30067" localSheetId="2">[51]附表4直接工程费单价表!#REF!</definedName>
    <definedName name="人30067" localSheetId="3">[52]附表4直接工程费单价表!#REF!</definedName>
    <definedName name="人30067">[54]附表4直接工程费单价表!#REF!</definedName>
    <definedName name="人40004" localSheetId="0">[51]附表4直接工程费单价表!#REF!</definedName>
    <definedName name="人40004" localSheetId="2">[51]附表4直接工程费单价表!#REF!</definedName>
    <definedName name="人40004" localSheetId="3">[78]附表4直接工程费单价表!#REF!</definedName>
    <definedName name="人40004">[53]附表4直接工程费单价表!#REF!</definedName>
    <definedName name="人40006" localSheetId="0">[97]直接工程费!$F$188</definedName>
    <definedName name="人40006" localSheetId="2">[97]直接工程费!$F$188</definedName>
    <definedName name="人40006" localSheetId="24">[97]直接工程费!$F$188</definedName>
    <definedName name="人40006" localSheetId="3">[98]直接工程费!$F$188</definedName>
    <definedName name="人40006">[99]直接工程费!$F$188</definedName>
    <definedName name="人40006b" localSheetId="0">[51]附表4直接工程费单价表!#REF!</definedName>
    <definedName name="人40006b" localSheetId="2">[51]附表4直接工程费单价表!#REF!</definedName>
    <definedName name="人40006b" localSheetId="3">[52]附表4直接工程费单价表!#REF!</definedName>
    <definedName name="人40006b">[54]附表4直接工程费单价表!#REF!</definedName>
    <definedName name="人40006细石" localSheetId="0">[51]附表4直接工程费单价表!#REF!</definedName>
    <definedName name="人40006细石" localSheetId="2">[51]附表4直接工程费单价表!#REF!</definedName>
    <definedName name="人40006细石" localSheetId="3">[52]附表4直接工程费单价表!#REF!</definedName>
    <definedName name="人40006细石">[54]附表4直接工程费单价表!#REF!</definedName>
    <definedName name="人40030" localSheetId="0">[51]附表4直接工程费单价表!#REF!</definedName>
    <definedName name="人40030" localSheetId="2">[51]附表4直接工程费单价表!#REF!</definedName>
    <definedName name="人40030" localSheetId="3">[78]附表4直接工程费单价表!#REF!</definedName>
    <definedName name="人40030">[53]附表4直接工程费单价表!#REF!</definedName>
    <definedName name="人40031" localSheetId="0">[13]附表5直接工程费单价表!#REF!</definedName>
    <definedName name="人40031" localSheetId="2">[13]附表5直接工程费单价表!#REF!</definedName>
    <definedName name="人40031" localSheetId="3">[14]附表5直接工程费单价表!#REF!</definedName>
    <definedName name="人40031">[15]附表5直接工程费单价表!#REF!</definedName>
    <definedName name="人4003115" localSheetId="0">[51]附表4直接工程费单价表!#REF!</definedName>
    <definedName name="人4003115" localSheetId="2">[51]附表4直接工程费单价表!#REF!</definedName>
    <definedName name="人4003115" localSheetId="3">[78]附表4直接工程费单价表!#REF!</definedName>
    <definedName name="人4003115">[53]附表4直接工程费单价表!#REF!</definedName>
    <definedName name="人40041b" localSheetId="0">[51]附表4直接工程费单价表!#REF!</definedName>
    <definedName name="人40041b" localSheetId="2">[51]附表4直接工程费单价表!#REF!</definedName>
    <definedName name="人40041b" localSheetId="3">[78]附表4直接工程费单价表!#REF!</definedName>
    <definedName name="人40041b">[53]附表4直接工程费单价表!#REF!</definedName>
    <definedName name="人40056" localSheetId="0">[55]单价分析表!#REF!</definedName>
    <definedName name="人40056" localSheetId="2">[55]单价分析表!#REF!</definedName>
    <definedName name="人40056" localSheetId="3">[56]单价分析表!#REF!</definedName>
    <definedName name="人40056">[57]单价分析表!#REF!</definedName>
    <definedName name="人40058" localSheetId="0">[13]附表5直接工程费单价表!#REF!</definedName>
    <definedName name="人40058" localSheetId="2">[13]附表5直接工程费单价表!#REF!</definedName>
    <definedName name="人40058" localSheetId="3">[14]附表5直接工程费单价表!#REF!</definedName>
    <definedName name="人40058">[15]附表5直接工程费单价表!#REF!</definedName>
    <definedName name="人40058A" localSheetId="0">[13]附表5直接工程费单价表!#REF!</definedName>
    <definedName name="人40058A" localSheetId="2">[13]附表5直接工程费单价表!#REF!</definedName>
    <definedName name="人40058A" localSheetId="3">[14]附表5直接工程费单价表!#REF!</definedName>
    <definedName name="人40058A">[15]附表5直接工程费单价表!#REF!</definedName>
    <definedName name="人40061" localSheetId="0">[13]附表5直接工程费单价表!#REF!</definedName>
    <definedName name="人40061" localSheetId="2">[13]附表5直接工程费单价表!#REF!</definedName>
    <definedName name="人40061" localSheetId="3">[14]附表5直接工程费单价表!#REF!</definedName>
    <definedName name="人40061">[15]附表5直接工程费单价表!#REF!</definedName>
    <definedName name="人40062" localSheetId="0">[13]附表5直接工程费单价表!#REF!</definedName>
    <definedName name="人40062" localSheetId="2">[13]附表5直接工程费单价表!#REF!</definedName>
    <definedName name="人40062" localSheetId="3">[14]附表5直接工程费单价表!#REF!</definedName>
    <definedName name="人40062">[15]附表5直接工程费单价表!#REF!</definedName>
    <definedName name="人40063" localSheetId="0">[51]附表4直接工程费单价表!#REF!</definedName>
    <definedName name="人40063" localSheetId="2">[51]附表4直接工程费单价表!#REF!</definedName>
    <definedName name="人40063" localSheetId="3">[78]附表4直接工程费单价表!#REF!</definedName>
    <definedName name="人40063">[53]附表4直接工程费单价表!#REF!</definedName>
    <definedName name="人40064" localSheetId="0">[51]附表4直接工程费单价表!#REF!</definedName>
    <definedName name="人40064" localSheetId="2">[51]附表4直接工程费单价表!#REF!</definedName>
    <definedName name="人40064" localSheetId="3">[78]附表4直接工程费单价表!#REF!</definedName>
    <definedName name="人40064">[53]附表4直接工程费单价表!#REF!</definedName>
    <definedName name="人40067" localSheetId="0">[13]附表5直接工程费单价表!#REF!</definedName>
    <definedName name="人40067" localSheetId="2">[13]附表5直接工程费单价表!#REF!</definedName>
    <definedName name="人40067" localSheetId="3">[14]附表5直接工程费单价表!#REF!</definedName>
    <definedName name="人40067">[15]附表5直接工程费单价表!#REF!</definedName>
    <definedName name="人40067A" localSheetId="0">[13]附表5直接工程费单价表!#REF!</definedName>
    <definedName name="人40067A" localSheetId="2">[13]附表5直接工程费单价表!#REF!</definedName>
    <definedName name="人40067A" localSheetId="3">[14]附表5直接工程费单价表!#REF!</definedName>
    <definedName name="人40067A">[15]附表5直接工程费单价表!#REF!</definedName>
    <definedName name="人40068" localSheetId="0">[13]附表5直接工程费单价表!#REF!</definedName>
    <definedName name="人40068" localSheetId="2">[13]附表5直接工程费单价表!#REF!</definedName>
    <definedName name="人40068" localSheetId="3">[14]附表5直接工程费单价表!#REF!</definedName>
    <definedName name="人40068">[15]附表5直接工程费单价表!#REF!</definedName>
    <definedName name="人40069" localSheetId="0">[13]附表5直接工程费单价表!#REF!</definedName>
    <definedName name="人40069" localSheetId="2">[13]附表5直接工程费单价表!#REF!</definedName>
    <definedName name="人40069" localSheetId="3">[14]附表5直接工程费单价表!#REF!</definedName>
    <definedName name="人40069">[15]附表5直接工程费单价表!#REF!</definedName>
    <definedName name="人40070" localSheetId="0">[13]附表5直接工程费单价表!#REF!</definedName>
    <definedName name="人40070" localSheetId="2">[13]附表5直接工程费单价表!#REF!</definedName>
    <definedName name="人40070" localSheetId="3">[14]附表5直接工程费单价表!#REF!</definedName>
    <definedName name="人40070">[15]附表5直接工程费单价表!#REF!</definedName>
    <definedName name="人40072" localSheetId="0">[13]附表5直接工程费单价表!#REF!</definedName>
    <definedName name="人40072" localSheetId="2">[13]附表5直接工程费单价表!#REF!</definedName>
    <definedName name="人40072" localSheetId="3">[14]附表5直接工程费单价表!#REF!</definedName>
    <definedName name="人40072">[15]附表5直接工程费单价表!#REF!</definedName>
    <definedName name="人40073" localSheetId="0">[51]附表4直接工程费单价表!#REF!</definedName>
    <definedName name="人40073" localSheetId="2">[51]附表4直接工程费单价表!#REF!</definedName>
    <definedName name="人40073" localSheetId="3">[78]附表4直接工程费单价表!#REF!</definedName>
    <definedName name="人40073">[53]附表4直接工程费单价表!#REF!</definedName>
    <definedName name="人40074" localSheetId="0">[13]附表5直接工程费单价表!#REF!</definedName>
    <definedName name="人40074" localSheetId="2">[13]附表5直接工程费单价表!#REF!</definedName>
    <definedName name="人40074" localSheetId="3">[14]附表5直接工程费单价表!#REF!</definedName>
    <definedName name="人40074">[15]附表5直接工程费单价表!#REF!</definedName>
    <definedName name="人40075" localSheetId="0">[13]附表5直接工程费单价表!#REF!</definedName>
    <definedName name="人40075" localSheetId="2">[13]附表5直接工程费单价表!#REF!</definedName>
    <definedName name="人40075" localSheetId="3">[14]附表5直接工程费单价表!#REF!</definedName>
    <definedName name="人40075">[15]附表5直接工程费单价表!#REF!</definedName>
    <definedName name="人40076" localSheetId="0">[13]附表5直接工程费单价表!#REF!</definedName>
    <definedName name="人40076" localSheetId="2">[13]附表5直接工程费单价表!#REF!</definedName>
    <definedName name="人40076" localSheetId="3">[14]附表5直接工程费单价表!#REF!</definedName>
    <definedName name="人40076">[15]附表5直接工程费单价表!#REF!</definedName>
    <definedName name="人4007620" localSheetId="0">[51]附表4直接工程费单价表!#REF!</definedName>
    <definedName name="人4007620" localSheetId="2">[51]附表4直接工程费单价表!#REF!</definedName>
    <definedName name="人4007620" localSheetId="3">[78]附表4直接工程费单价表!#REF!</definedName>
    <definedName name="人4007620">[53]附表4直接工程费单价表!#REF!</definedName>
    <definedName name="人40077" localSheetId="0">[51]附表4直接工程费单价表!#REF!</definedName>
    <definedName name="人40077" localSheetId="2">[51]附表4直接工程费单价表!#REF!</definedName>
    <definedName name="人40077" localSheetId="3">[78]附表4直接工程费单价表!#REF!</definedName>
    <definedName name="人40077">[53]附表4直接工程费单价表!#REF!</definedName>
    <definedName name="人40079" localSheetId="0">[51]附表4直接工程费单价表!#REF!</definedName>
    <definedName name="人40079" localSheetId="2">[51]附表4直接工程费单价表!#REF!</definedName>
    <definedName name="人40079" localSheetId="3">[78]附表4直接工程费单价表!#REF!</definedName>
    <definedName name="人40079">[53]附表4直接工程费单价表!#REF!</definedName>
    <definedName name="人40090" localSheetId="0">[13]附表5直接工程费单价表!#REF!</definedName>
    <definedName name="人40090" localSheetId="2">[13]附表5直接工程费单价表!#REF!</definedName>
    <definedName name="人40090" localSheetId="3">[14]附表5直接工程费单价表!#REF!</definedName>
    <definedName name="人40090">[15]附表5直接工程费单价表!#REF!</definedName>
    <definedName name="人40096" localSheetId="0">[13]附表5直接工程费单价表!#REF!</definedName>
    <definedName name="人40096" localSheetId="2">[13]附表5直接工程费单价表!#REF!</definedName>
    <definedName name="人40096" localSheetId="3">[14]附表5直接工程费单价表!#REF!</definedName>
    <definedName name="人40096">[15]附表5直接工程费单价表!#REF!</definedName>
    <definedName name="人40101" localSheetId="0">[13]附表5直接工程费单价表!#REF!</definedName>
    <definedName name="人40101" localSheetId="2">[13]附表5直接工程费单价表!#REF!</definedName>
    <definedName name="人40101" localSheetId="3">[14]附表5直接工程费单价表!#REF!</definedName>
    <definedName name="人40101">[15]附表5直接工程费单价表!#REF!</definedName>
    <definedName name="人40101A" localSheetId="0">[13]附表5直接工程费单价表!#REF!</definedName>
    <definedName name="人40101A" localSheetId="2">[13]附表5直接工程费单价表!#REF!</definedName>
    <definedName name="人40101A" localSheetId="3">[14]附表5直接工程费单价表!#REF!</definedName>
    <definedName name="人40101A">[15]附表5直接工程费单价表!#REF!</definedName>
    <definedName name="人40101B" localSheetId="0">[13]附表5直接工程费单价表!#REF!</definedName>
    <definedName name="人40101B" localSheetId="2">[13]附表5直接工程费单价表!#REF!</definedName>
    <definedName name="人40101B" localSheetId="3">[14]附表5直接工程费单价表!#REF!</definedName>
    <definedName name="人40101B">[15]附表5直接工程费单价表!#REF!</definedName>
    <definedName name="人40109" localSheetId="0">[13]附表5直接工程费单价表!#REF!</definedName>
    <definedName name="人40109" localSheetId="2">[13]附表5直接工程费单价表!#REF!</definedName>
    <definedName name="人40109" localSheetId="3">[14]附表5直接工程费单价表!#REF!</definedName>
    <definedName name="人40109">[15]附表5直接工程费单价表!#REF!</definedName>
    <definedName name="人40110" localSheetId="0">[13]附表5直接工程费单价表!#REF!</definedName>
    <definedName name="人40110" localSheetId="2">[13]附表5直接工程费单价表!#REF!</definedName>
    <definedName name="人40110" localSheetId="3">[14]附表5直接工程费单价表!#REF!</definedName>
    <definedName name="人40110">[15]附表5直接工程费单价表!#REF!</definedName>
    <definedName name="人40111" localSheetId="0">[13]附表5直接工程费单价表!#REF!</definedName>
    <definedName name="人40111" localSheetId="2">[13]附表5直接工程费单价表!#REF!</definedName>
    <definedName name="人40111" localSheetId="3">[14]附表5直接工程费单价表!#REF!</definedName>
    <definedName name="人40111">[15]附表5直接工程费单价表!#REF!</definedName>
    <definedName name="人40112" localSheetId="0">[13]附表5直接工程费单价表!#REF!</definedName>
    <definedName name="人40112" localSheetId="2">[13]附表5直接工程费单价表!#REF!</definedName>
    <definedName name="人40112" localSheetId="3">[14]附表5直接工程费单价表!#REF!</definedName>
    <definedName name="人40112">[15]附表5直接工程费单价表!#REF!</definedName>
    <definedName name="人40113" localSheetId="0">[13]附表5直接工程费单价表!#REF!</definedName>
    <definedName name="人40113" localSheetId="2">[13]附表5直接工程费单价表!#REF!</definedName>
    <definedName name="人40113" localSheetId="3">[14]附表5直接工程费单价表!#REF!</definedName>
    <definedName name="人40113">[15]附表5直接工程费单价表!#REF!</definedName>
    <definedName name="人40114" localSheetId="0">[13]附表5直接工程费单价表!#REF!</definedName>
    <definedName name="人40114" localSheetId="2">[13]附表5直接工程费单价表!#REF!</definedName>
    <definedName name="人40114" localSheetId="3">[14]附表5直接工程费单价表!#REF!</definedName>
    <definedName name="人40114">[15]附表5直接工程费单价表!#REF!</definedName>
    <definedName name="人40115" localSheetId="0">[51]附表4直接工程费单价表!#REF!</definedName>
    <definedName name="人40115" localSheetId="2">[51]附表4直接工程费单价表!#REF!</definedName>
    <definedName name="人40115" localSheetId="3">[78]附表4直接工程费单价表!#REF!</definedName>
    <definedName name="人40115">[53]附表4直接工程费单价表!#REF!</definedName>
    <definedName name="人40116" localSheetId="0">[51]附表4直接工程费单价表!#REF!</definedName>
    <definedName name="人40116" localSheetId="2">[51]附表4直接工程费单价表!#REF!</definedName>
    <definedName name="人40116" localSheetId="3">[78]附表4直接工程费单价表!#REF!</definedName>
    <definedName name="人40116">[53]附表4直接工程费单价表!#REF!</definedName>
    <definedName name="人40117" localSheetId="0">[13]附表5直接工程费单价表!#REF!</definedName>
    <definedName name="人40117" localSheetId="2">[13]附表5直接工程费单价表!#REF!</definedName>
    <definedName name="人40117" localSheetId="3">[14]附表5直接工程费单价表!#REF!</definedName>
    <definedName name="人40117">[15]附表5直接工程费单价表!#REF!</definedName>
    <definedName name="人40118" localSheetId="0">[13]附表5直接工程费单价表!#REF!</definedName>
    <definedName name="人40118" localSheetId="2">[13]附表5直接工程费单价表!#REF!</definedName>
    <definedName name="人40118" localSheetId="3">[14]附表5直接工程费单价表!#REF!</definedName>
    <definedName name="人40118">[15]附表5直接工程费单价表!#REF!</definedName>
    <definedName name="人40120" localSheetId="0">[13]附表5直接工程费单价表!#REF!</definedName>
    <definedName name="人40120" localSheetId="2">[13]附表5直接工程费单价表!#REF!</definedName>
    <definedName name="人40120" localSheetId="3">[14]附表5直接工程费单价表!#REF!</definedName>
    <definedName name="人40120">[15]附表5直接工程费单价表!#REF!</definedName>
    <definedName name="人40124" localSheetId="0">[13]附表5直接工程费单价表!#REF!</definedName>
    <definedName name="人40124" localSheetId="2">[13]附表5直接工程费单价表!#REF!</definedName>
    <definedName name="人40124" localSheetId="3">[14]附表5直接工程费单价表!#REF!</definedName>
    <definedName name="人40124">[15]附表5直接工程费单价表!#REF!</definedName>
    <definedName name="人40125" localSheetId="0">[13]附表5直接工程费单价表!#REF!</definedName>
    <definedName name="人40125" localSheetId="2">[13]附表5直接工程费单价表!#REF!</definedName>
    <definedName name="人40125" localSheetId="3">[14]附表5直接工程费单价表!#REF!</definedName>
    <definedName name="人40125">[15]附表5直接工程费单价表!#REF!</definedName>
    <definedName name="人40133" localSheetId="0">[51]附表4直接工程费单价表!#REF!</definedName>
    <definedName name="人40133" localSheetId="2">[51]附表4直接工程费单价表!#REF!</definedName>
    <definedName name="人40133" localSheetId="3">[78]附表4直接工程费单价表!#REF!</definedName>
    <definedName name="人40133">[53]附表4直接工程费单价表!#REF!</definedName>
    <definedName name="人40134" localSheetId="0">[13]附表5直接工程费单价表!#REF!</definedName>
    <definedName name="人40134" localSheetId="2">[13]附表5直接工程费单价表!#REF!</definedName>
    <definedName name="人40134" localSheetId="3">[14]附表5直接工程费单价表!#REF!</definedName>
    <definedName name="人40134">[15]附表5直接工程费单价表!#REF!</definedName>
    <definedName name="人40143" localSheetId="0">[13]附表5直接工程费单价表!#REF!</definedName>
    <definedName name="人40143" localSheetId="2">[13]附表5直接工程费单价表!#REF!</definedName>
    <definedName name="人40143" localSheetId="3">[14]附表5直接工程费单价表!#REF!</definedName>
    <definedName name="人40143">[15]附表5直接工程费单价表!#REF!</definedName>
    <definedName name="人40192" localSheetId="0">[51]附表4直接工程费单价表!#REF!</definedName>
    <definedName name="人40192" localSheetId="2">[51]附表4直接工程费单价表!#REF!</definedName>
    <definedName name="人40192" localSheetId="3">[78]附表4直接工程费单价表!#REF!</definedName>
    <definedName name="人40192">[53]附表4直接工程费单价表!#REF!</definedName>
    <definedName name="人40203" localSheetId="0">[51]附表4直接工程费单价表!#REF!</definedName>
    <definedName name="人40203" localSheetId="2">[51]附表4直接工程费单价表!#REF!</definedName>
    <definedName name="人40203" localSheetId="3">[78]附表4直接工程费单价表!#REF!</definedName>
    <definedName name="人40203">[53]附表4直接工程费单价表!#REF!</definedName>
    <definedName name="人40210" localSheetId="0">[51]附表4直接工程费单价表!#REF!</definedName>
    <definedName name="人40210" localSheetId="2">[51]附表4直接工程费单价表!#REF!</definedName>
    <definedName name="人40210" localSheetId="3">[78]附表4直接工程费单价表!#REF!</definedName>
    <definedName name="人40210">[53]附表4直接工程费单价表!#REF!</definedName>
    <definedName name="人40214苯" localSheetId="0">[51]附表4直接工程费单价表!#REF!</definedName>
    <definedName name="人40214苯" localSheetId="2">[51]附表4直接工程费单价表!#REF!</definedName>
    <definedName name="人40214苯" localSheetId="3">[78]附表4直接工程费单价表!#REF!</definedName>
    <definedName name="人40214苯">[53]附表4直接工程费单价表!#REF!</definedName>
    <definedName name="人40224" localSheetId="0">[13]附表5直接工程费单价表!#REF!</definedName>
    <definedName name="人40224" localSheetId="2">[13]附表5直接工程费单价表!#REF!</definedName>
    <definedName name="人40224" localSheetId="3">[14]附表5直接工程费单价表!#REF!</definedName>
    <definedName name="人40224">[15]附表5直接工程费单价表!#REF!</definedName>
    <definedName name="人40260" localSheetId="0">[13]附表5直接工程费单价表!#REF!</definedName>
    <definedName name="人40260" localSheetId="2">[13]附表5直接工程费单价表!#REF!</definedName>
    <definedName name="人40260" localSheetId="3">[14]附表5直接工程费单价表!#REF!</definedName>
    <definedName name="人40260">[15]附表5直接工程费单价表!#REF!</definedName>
    <definedName name="人40263" localSheetId="0">[13]附表5直接工程费单价表!#REF!</definedName>
    <definedName name="人40263" localSheetId="2">[13]附表5直接工程费单价表!#REF!</definedName>
    <definedName name="人40263" localSheetId="3">[14]附表5直接工程费单价表!#REF!</definedName>
    <definedName name="人40263">[15]附表5直接工程费单价表!#REF!</definedName>
    <definedName name="人40271" localSheetId="0">[13]附表5直接工程费单价表!#REF!</definedName>
    <definedName name="人40271" localSheetId="2">[13]附表5直接工程费单价表!#REF!</definedName>
    <definedName name="人40271" localSheetId="3">[14]附表5直接工程费单价表!#REF!</definedName>
    <definedName name="人40271">[15]附表5直接工程费单价表!#REF!</definedName>
    <definedName name="人40286" localSheetId="0">[13]附表5直接工程费单价表!#REF!</definedName>
    <definedName name="人40286" localSheetId="2">[13]附表5直接工程费单价表!#REF!</definedName>
    <definedName name="人40286" localSheetId="3">[14]附表5直接工程费单价表!#REF!</definedName>
    <definedName name="人40286">[15]附表5直接工程费单价表!#REF!</definedName>
    <definedName name="人40287" localSheetId="0">[13]附表5直接工程费单价表!#REF!</definedName>
    <definedName name="人40287" localSheetId="2">[13]附表5直接工程费单价表!#REF!</definedName>
    <definedName name="人40287" localSheetId="3">[14]附表5直接工程费单价表!#REF!</definedName>
    <definedName name="人40287">[15]附表5直接工程费单价表!#REF!</definedName>
    <definedName name="人40288" localSheetId="0">[13]附表5直接工程费单价表!#REF!</definedName>
    <definedName name="人40288" localSheetId="2">[13]附表5直接工程费单价表!#REF!</definedName>
    <definedName name="人40288" localSheetId="3">[14]附表5直接工程费单价表!#REF!</definedName>
    <definedName name="人40288">[15]附表5直接工程费单价表!#REF!</definedName>
    <definedName name="人40289" localSheetId="0">[13]附表5直接工程费单价表!#REF!</definedName>
    <definedName name="人40289" localSheetId="2">[13]附表5直接工程费单价表!#REF!</definedName>
    <definedName name="人40289" localSheetId="3">[14]附表5直接工程费单价表!#REF!</definedName>
    <definedName name="人40289">[15]附表5直接工程费单价表!#REF!</definedName>
    <definedName name="人40289A" localSheetId="0">[13]附表5直接工程费单价表!#REF!</definedName>
    <definedName name="人40289A" localSheetId="2">[13]附表5直接工程费单价表!#REF!</definedName>
    <definedName name="人40289A" localSheetId="3">[14]附表5直接工程费单价表!#REF!</definedName>
    <definedName name="人40289A">[15]附表5直接工程费单价表!#REF!</definedName>
    <definedName name="人40306" localSheetId="0">[13]附表5直接工程费单价表!#REF!</definedName>
    <definedName name="人40306" localSheetId="2">[13]附表5直接工程费单价表!#REF!</definedName>
    <definedName name="人40306" localSheetId="3">[14]附表5直接工程费单价表!#REF!</definedName>
    <definedName name="人40306">[15]附表5直接工程费单价表!#REF!</definedName>
    <definedName name="人40306A" localSheetId="0">[13]附表5直接工程费单价表!#REF!</definedName>
    <definedName name="人40306A" localSheetId="2">[13]附表5直接工程费单价表!#REF!</definedName>
    <definedName name="人40306A" localSheetId="3">[14]附表5直接工程费单价表!#REF!</definedName>
    <definedName name="人40306A">[15]附表5直接工程费单价表!#REF!</definedName>
    <definedName name="人40306B" localSheetId="0">[13]附表5直接工程费单价表!#REF!</definedName>
    <definedName name="人40306B" localSheetId="2">[13]附表5直接工程费单价表!#REF!</definedName>
    <definedName name="人40306B" localSheetId="3">[14]附表5直接工程费单价表!#REF!</definedName>
    <definedName name="人40306B">[15]附表5直接工程费单价表!#REF!</definedName>
    <definedName name="人50003" localSheetId="0">[13]附表5直接工程费单价表!#REF!</definedName>
    <definedName name="人50003" localSheetId="2">[13]附表5直接工程费单价表!#REF!</definedName>
    <definedName name="人50003" localSheetId="3">[14]附表5直接工程费单价表!#REF!</definedName>
    <definedName name="人50003">[15]附表5直接工程费单价表!#REF!</definedName>
    <definedName name="人50004" localSheetId="0">[13]附表5直接工程费单价表!#REF!</definedName>
    <definedName name="人50004" localSheetId="2">[13]附表5直接工程费单价表!#REF!</definedName>
    <definedName name="人50004" localSheetId="3">[14]附表5直接工程费单价表!#REF!</definedName>
    <definedName name="人50004">[15]附表5直接工程费单价表!#REF!</definedName>
    <definedName name="人50005" localSheetId="0">[13]附表5直接工程费单价表!#REF!</definedName>
    <definedName name="人50005" localSheetId="2">[13]附表5直接工程费单价表!#REF!</definedName>
    <definedName name="人50005" localSheetId="3">[14]附表5直接工程费单价表!#REF!</definedName>
    <definedName name="人50005">[15]附表5直接工程费单价表!#REF!</definedName>
    <definedName name="人50006" localSheetId="0">[13]附表5直接工程费单价表!#REF!</definedName>
    <definedName name="人50006" localSheetId="2">[13]附表5直接工程费单价表!#REF!</definedName>
    <definedName name="人50006" localSheetId="3">[14]附表5直接工程费单价表!#REF!</definedName>
    <definedName name="人50006">[15]附表5直接工程费单价表!#REF!</definedName>
    <definedName name="人50014" localSheetId="0">[93]附表4工程费单价表!#REF!</definedName>
    <definedName name="人50014" localSheetId="2">[93]附表4工程费单价表!#REF!</definedName>
    <definedName name="人50014" localSheetId="3">[100]附表4工程费单价表!#REF!</definedName>
    <definedName name="人50014">[101]附表4工程费单价表!#REF!</definedName>
    <definedName name="人50045" localSheetId="0">[13]附表5直接工程费单价表!#REF!</definedName>
    <definedName name="人50045" localSheetId="2">[13]附表5直接工程费单价表!#REF!</definedName>
    <definedName name="人50045" localSheetId="3">[14]附表5直接工程费单价表!#REF!</definedName>
    <definedName name="人50045">[15]附表5直接工程费单价表!#REF!</definedName>
    <definedName name="人50046" localSheetId="0">[13]附表5直接工程费单价表!#REF!</definedName>
    <definedName name="人50046" localSheetId="2">[13]附表5直接工程费单价表!#REF!</definedName>
    <definedName name="人50046" localSheetId="3">[14]附表5直接工程费单价表!#REF!</definedName>
    <definedName name="人50046">[15]附表5直接工程费单价表!#REF!</definedName>
    <definedName name="人50049" localSheetId="0">[13]附表5直接工程费单价表!#REF!</definedName>
    <definedName name="人50049" localSheetId="2">[13]附表5直接工程费单价表!#REF!</definedName>
    <definedName name="人50049" localSheetId="3">[14]附表5直接工程费单价表!#REF!</definedName>
    <definedName name="人50049">[15]附表5直接工程费单价表!#REF!</definedName>
    <definedName name="人50050" localSheetId="0">[13]附表5直接工程费单价表!#REF!</definedName>
    <definedName name="人50050" localSheetId="2">[13]附表5直接工程费单价表!#REF!</definedName>
    <definedName name="人50050" localSheetId="3">[14]附表5直接工程费单价表!#REF!</definedName>
    <definedName name="人50050">[15]附表5直接工程费单价表!#REF!</definedName>
    <definedName name="人50064" localSheetId="0">[51]附表4直接工程费单价表!#REF!</definedName>
    <definedName name="人50064" localSheetId="2">[51]附表4直接工程费单价表!#REF!</definedName>
    <definedName name="人50064" localSheetId="3">[78]附表4直接工程费单价表!#REF!</definedName>
    <definedName name="人50064">[53]附表4直接工程费单价表!#REF!</definedName>
    <definedName name="人50067" localSheetId="0">[51]附表4直接工程费单价表!#REF!</definedName>
    <definedName name="人50067" localSheetId="2">[51]附表4直接工程费单价表!#REF!</definedName>
    <definedName name="人50067" localSheetId="3">[78]附表4直接工程费单价表!#REF!</definedName>
    <definedName name="人50067">[53]附表4直接工程费单价表!#REF!</definedName>
    <definedName name="人50113" localSheetId="0">[93]附表4工程费单价表!#REF!</definedName>
    <definedName name="人50113" localSheetId="2">[93]附表4工程费单价表!#REF!</definedName>
    <definedName name="人50113" localSheetId="3">[100]附表4工程费单价表!#REF!</definedName>
    <definedName name="人50113">[101]附表4工程费单价表!#REF!</definedName>
    <definedName name="人50115" localSheetId="0">[13]附表5直接工程费单价表!#REF!</definedName>
    <definedName name="人50115" localSheetId="2">[13]附表5直接工程费单价表!#REF!</definedName>
    <definedName name="人50115" localSheetId="3">[14]附表5直接工程费单价表!#REF!</definedName>
    <definedName name="人50115">[15]附表5直接工程费单价表!#REF!</definedName>
    <definedName name="人70007" localSheetId="0">[51]附表4直接工程费单价表!#REF!</definedName>
    <definedName name="人70007" localSheetId="2">[51]附表4直接工程费单价表!#REF!</definedName>
    <definedName name="人70007" localSheetId="3">[78]附表4直接工程费单价表!#REF!</definedName>
    <definedName name="人70007">[53]附表4直接工程费单价表!#REF!</definedName>
    <definedName name="人70013" localSheetId="0">[51]附表4直接工程费单价表!#REF!</definedName>
    <definedName name="人70013" localSheetId="2">[51]附表4直接工程费单价表!#REF!</definedName>
    <definedName name="人70013" localSheetId="3">[78]附表4直接工程费单价表!#REF!</definedName>
    <definedName name="人70013">[53]附表4直接工程费单价表!#REF!</definedName>
    <definedName name="人70014" localSheetId="0">[51]附表4直接工程费单价表!#REF!</definedName>
    <definedName name="人70014" localSheetId="2">[51]附表4直接工程费单价表!#REF!</definedName>
    <definedName name="人70014" localSheetId="3">[78]附表4直接工程费单价表!#REF!</definedName>
    <definedName name="人70014">[53]附表4直接工程费单价表!#REF!</definedName>
    <definedName name="人70070" localSheetId="0">[51]附表4直接工程费单价表!#REF!</definedName>
    <definedName name="人70070" localSheetId="2">[51]附表4直接工程费单价表!#REF!</definedName>
    <definedName name="人70070" localSheetId="3">[78]附表4直接工程费单价表!#REF!</definedName>
    <definedName name="人70070">[53]附表4直接工程费单价表!#REF!</definedName>
    <definedName name="人70105" localSheetId="0">[51]附表4直接工程费单价表!#REF!</definedName>
    <definedName name="人70105" localSheetId="2">[51]附表4直接工程费单价表!#REF!</definedName>
    <definedName name="人70105" localSheetId="3">[78]附表4直接工程费单价表!#REF!</definedName>
    <definedName name="人70105">[53]附表4直接工程费单价表!#REF!</definedName>
    <definedName name="人70106" localSheetId="0">[51]附表4直接工程费单价表!#REF!</definedName>
    <definedName name="人70106" localSheetId="2">[51]附表4直接工程费单价表!#REF!</definedName>
    <definedName name="人70106" localSheetId="3">[78]附表4直接工程费单价表!#REF!</definedName>
    <definedName name="人70106">[53]附表4直接工程费单价表!#REF!</definedName>
    <definedName name="人70114" localSheetId="0">[51]附表4直接工程费单价表!#REF!</definedName>
    <definedName name="人70114" localSheetId="2">[51]附表4直接工程费单价表!#REF!</definedName>
    <definedName name="人70114" localSheetId="3">[78]附表4直接工程费单价表!#REF!</definedName>
    <definedName name="人70114">[53]附表4直接工程费单价表!#REF!</definedName>
    <definedName name="人70125" localSheetId="0">[51]附表4直接工程费单价表!#REF!</definedName>
    <definedName name="人70125" localSheetId="2">[51]附表4直接工程费单价表!#REF!</definedName>
    <definedName name="人70125" localSheetId="3">[78]附表4直接工程费单价表!#REF!</definedName>
    <definedName name="人70125">[53]附表4直接工程费单价表!#REF!</definedName>
    <definedName name="人70194" localSheetId="0">[13]附表5直接工程费单价表!#REF!</definedName>
    <definedName name="人70194" localSheetId="2">[13]附表5直接工程费单价表!#REF!</definedName>
    <definedName name="人70194" localSheetId="3">[14]附表5直接工程费单价表!#REF!</definedName>
    <definedName name="人70194">[15]附表5直接工程费单价表!#REF!</definedName>
    <definedName name="人70195" localSheetId="0">[13]附表5直接工程费单价表!#REF!</definedName>
    <definedName name="人70195" localSheetId="2">[13]附表5直接工程费单价表!#REF!</definedName>
    <definedName name="人70195" localSheetId="3">[14]附表5直接工程费单价表!#REF!</definedName>
    <definedName name="人70195">[15]附表5直接工程费单价表!#REF!</definedName>
    <definedName name="人70196" localSheetId="0">[13]附表5直接工程费单价表!#REF!</definedName>
    <definedName name="人70196" localSheetId="2">[13]附表5直接工程费单价表!#REF!</definedName>
    <definedName name="人70196" localSheetId="3">[14]附表5直接工程费单价表!#REF!</definedName>
    <definedName name="人70196">[15]附表5直接工程费单价表!#REF!</definedName>
    <definedName name="人80015" localSheetId="0">[51]附表4直接工程费单价表!#REF!</definedName>
    <definedName name="人80015" localSheetId="2">[51]附表4直接工程费单价表!#REF!</definedName>
    <definedName name="人80015" localSheetId="3">[78]附表4直接工程费单价表!#REF!</definedName>
    <definedName name="人80015">[53]附表4直接工程费单价表!#REF!</definedName>
    <definedName name="人80015加800162" localSheetId="0">[51]附表4直接工程费单价表!#REF!</definedName>
    <definedName name="人80015加800162" localSheetId="2">[51]附表4直接工程费单价表!#REF!</definedName>
    <definedName name="人80015加800162" localSheetId="3">[78]附表4直接工程费单价表!#REF!</definedName>
    <definedName name="人80015加800162">[53]附表4直接工程费单价表!#REF!</definedName>
    <definedName name="人80015减80016" localSheetId="0">[51]附表4直接工程费单价表!#REF!</definedName>
    <definedName name="人80015减80016" localSheetId="2">[51]附表4直接工程费单价表!#REF!</definedName>
    <definedName name="人80015减80016" localSheetId="3">[78]附表4直接工程费单价表!#REF!</definedName>
    <definedName name="人80015减80016">[53]附表4直接工程费单价表!#REF!</definedName>
    <definedName name="人80023加8002410" localSheetId="0">[51]附表4直接工程费单价表!#REF!</definedName>
    <definedName name="人80023加8002410" localSheetId="2">[51]附表4直接工程费单价表!#REF!</definedName>
    <definedName name="人80023加8002410" localSheetId="3">[78]附表4直接工程费单价表!#REF!</definedName>
    <definedName name="人80023加8002410">[53]附表4直接工程费单价表!#REF!</definedName>
    <definedName name="人80033" localSheetId="0">[51]附表4直接工程费单价表!#REF!</definedName>
    <definedName name="人80033" localSheetId="2">[51]附表4直接工程费单价表!#REF!</definedName>
    <definedName name="人80033" localSheetId="3">[78]附表4直接工程费单价表!#REF!</definedName>
    <definedName name="人80033">[53]附表4直接工程费单价表!#REF!</definedName>
    <definedName name="人80034" localSheetId="0">[51]附表4直接工程费单价表!#REF!</definedName>
    <definedName name="人80034" localSheetId="2">[51]附表4直接工程费单价表!#REF!</definedName>
    <definedName name="人80034" localSheetId="3">[78]附表4直接工程费单价表!#REF!</definedName>
    <definedName name="人80034">[53]附表4直接工程费单价表!#REF!</definedName>
    <definedName name="人90013" localSheetId="0">[51]附表4直接工程费单价表!#REF!</definedName>
    <definedName name="人90013" localSheetId="2">[51]附表4直接工程费单价表!#REF!</definedName>
    <definedName name="人90013" localSheetId="3">[78]附表4直接工程费单价表!#REF!</definedName>
    <definedName name="人90013">[53]附表4直接工程费单价表!#REF!</definedName>
    <definedName name="人90014" localSheetId="0">[13]附表5直接工程费单价表!#REF!</definedName>
    <definedName name="人90014" localSheetId="2">[13]附表5直接工程费单价表!#REF!</definedName>
    <definedName name="人90014" localSheetId="3">[14]附表5直接工程费单价表!#REF!</definedName>
    <definedName name="人90014">[15]附表5直接工程费单价表!#REF!</definedName>
    <definedName name="人90017" localSheetId="0">[13]附表5直接工程费单价表!#REF!</definedName>
    <definedName name="人90017" localSheetId="2">[13]附表5直接工程费单价表!#REF!</definedName>
    <definedName name="人90017" localSheetId="3">[14]附表5直接工程费单价表!#REF!</definedName>
    <definedName name="人90017">[15]附表5直接工程费单价表!#REF!</definedName>
    <definedName name="人90017A" localSheetId="0">[13]附表5直接工程费单价表!#REF!</definedName>
    <definedName name="人90017A" localSheetId="2">[13]附表5直接工程费单价表!#REF!</definedName>
    <definedName name="人90017A" localSheetId="3">[14]附表5直接工程费单价表!#REF!</definedName>
    <definedName name="人90017A">[15]附表5直接工程费单价表!#REF!</definedName>
    <definedName name="人90085" localSheetId="0">[13]附表5直接工程费单价表!#REF!</definedName>
    <definedName name="人90085" localSheetId="2">[13]附表5直接工程费单价表!#REF!</definedName>
    <definedName name="人90085" localSheetId="3">[14]附表5直接工程费单价表!#REF!</definedName>
    <definedName name="人90085">[15]附表5直接工程费单价表!#REF!</definedName>
    <definedName name="人90086" localSheetId="0">[13]附表5直接工程费单价表!#REF!</definedName>
    <definedName name="人90086" localSheetId="2">[13]附表5直接工程费单价表!#REF!</definedName>
    <definedName name="人90086" localSheetId="3">[14]附表5直接工程费单价表!#REF!</definedName>
    <definedName name="人90086">[15]附表5直接工程费单价表!#REF!</definedName>
    <definedName name="人90087" localSheetId="0">[13]附表5直接工程费单价表!#REF!</definedName>
    <definedName name="人90087" localSheetId="2">[13]附表5直接工程费单价表!#REF!</definedName>
    <definedName name="人90087" localSheetId="3">[14]附表5直接工程费单价表!#REF!</definedName>
    <definedName name="人90087">[15]附表5直接工程费单价表!#REF!</definedName>
    <definedName name="人90087A" localSheetId="0">[13]附表5直接工程费单价表!#REF!</definedName>
    <definedName name="人90087A" localSheetId="2">[13]附表5直接工程费单价表!#REF!</definedName>
    <definedName name="人90087A" localSheetId="3">[14]附表5直接工程费单价表!#REF!</definedName>
    <definedName name="人90087A">[15]附表5直接工程费单价表!#REF!</definedName>
    <definedName name="人90136" localSheetId="0">[13]附表5直接工程费单价表!#REF!</definedName>
    <definedName name="人90136" localSheetId="2">[13]附表5直接工程费单价表!#REF!</definedName>
    <definedName name="人90136" localSheetId="3">[14]附表5直接工程费单价表!#REF!</definedName>
    <definedName name="人90136">[15]附表5直接工程费单价表!#REF!</definedName>
    <definedName name="人90147" localSheetId="0">[13]附表5直接工程费单价表!#REF!</definedName>
    <definedName name="人90147" localSheetId="2">[13]附表5直接工程费单价表!#REF!</definedName>
    <definedName name="人90147" localSheetId="3">[14]附表5直接工程费单价表!#REF!</definedName>
    <definedName name="人90147">[15]附表5直接工程费单价表!#REF!</definedName>
    <definedName name="人90189" localSheetId="0">[13]附表5直接工程费单价表!#REF!</definedName>
    <definedName name="人90189" localSheetId="2">[13]附表5直接工程费单价表!#REF!</definedName>
    <definedName name="人90189" localSheetId="3">[14]附表5直接工程费单价表!#REF!</definedName>
    <definedName name="人90189">[15]附表5直接工程费单价表!#REF!</definedName>
    <definedName name="人补1" localSheetId="0">[13]附表5直接工程费单价表!#REF!</definedName>
    <definedName name="人补1" localSheetId="2">[13]附表5直接工程费单价表!#REF!</definedName>
    <definedName name="人补1" localSheetId="3">[14]附表5直接工程费单价表!#REF!</definedName>
    <definedName name="人补1">[15]附表5直接工程费单价表!#REF!</definedName>
    <definedName name="人补1A" localSheetId="0">[13]附表5直接工程费单价表!#REF!</definedName>
    <definedName name="人补1A" localSheetId="2">[13]附表5直接工程费单价表!#REF!</definedName>
    <definedName name="人补1A" localSheetId="3">[14]附表5直接工程费单价表!#REF!</definedName>
    <definedName name="人补1A">[15]附表5直接工程费单价表!#REF!</definedName>
    <definedName name="人补2" localSheetId="0">[13]附表5直接工程费单价表!#REF!</definedName>
    <definedName name="人补2" localSheetId="2">[13]附表5直接工程费单价表!#REF!</definedName>
    <definedName name="人补2" localSheetId="3">[14]附表5直接工程费单价表!#REF!</definedName>
    <definedName name="人补2">[15]附表5直接工程费单价表!#REF!</definedName>
    <definedName name="人补3" localSheetId="0">[13]附表5直接工程费单价表!#REF!</definedName>
    <definedName name="人补3" localSheetId="2">[13]附表5直接工程费单价表!#REF!</definedName>
    <definedName name="人补3" localSheetId="3">[14]附表5直接工程费单价表!#REF!</definedName>
    <definedName name="人补3">[15]附表5直接工程费单价表!#REF!</definedName>
    <definedName name="人补4" localSheetId="0">[13]附表5直接工程费单价表!#REF!</definedName>
    <definedName name="人补4" localSheetId="2">[13]附表5直接工程费单价表!#REF!</definedName>
    <definedName name="人补4" localSheetId="3">[14]附表5直接工程费单价表!#REF!</definedName>
    <definedName name="人补4">[15]附表5直接工程费单价表!#REF!</definedName>
    <definedName name="人补5" localSheetId="0">[13]附表5直接工程费单价表!#REF!</definedName>
    <definedName name="人补5" localSheetId="2">[13]附表5直接工程费单价表!#REF!</definedName>
    <definedName name="人补5" localSheetId="3">[14]附表5直接工程费单价表!#REF!</definedName>
    <definedName name="人补5">[15]附表5直接工程费单价表!#REF!</definedName>
    <definedName name="人参60432" localSheetId="0">[13]附表5直接工程费单价表!#REF!</definedName>
    <definedName name="人参60432" localSheetId="2">[13]附表5直接工程费单价表!#REF!</definedName>
    <definedName name="人参60432" localSheetId="3">[14]附表5直接工程费单价表!#REF!</definedName>
    <definedName name="人参60432">[15]附表5直接工程费单价表!#REF!</definedName>
    <definedName name="人工1" localSheetId="0">[130]人工单价!$D$13</definedName>
    <definedName name="人工1" localSheetId="2">[130]人工单价!$D$13</definedName>
    <definedName name="人工1" localSheetId="24">[130]人工单价!$D$13</definedName>
    <definedName name="人工1" localSheetId="3">[131]人工单价!$D$13</definedName>
    <definedName name="人工1">[132]人工单价!$D$13</definedName>
    <definedName name="人工填方">[147]单价表!$D$8</definedName>
    <definedName name="人工挖方">[147]单价表!$D$7</definedName>
    <definedName name="人工挖土、手扶运300m__工程" localSheetId="0">[121]新定额单价!#REF!</definedName>
    <definedName name="人工挖土、手扶运300m__工程" localSheetId="2">[121]新定额单价!#REF!</definedName>
    <definedName name="人工挖土、手扶运300m__工程" localSheetId="16">绿化定额!#REF!</definedName>
    <definedName name="人工挖土、手扶运300m__工程" localSheetId="3">[122]新定额单价!#REF!</definedName>
    <definedName name="人工挖土、手扶运300m__工程">新定额单价!#REF!</definedName>
    <definedName name="人甲" localSheetId="0">[117]附表1人工单价计算表!$E$20</definedName>
    <definedName name="人甲" localSheetId="2">[117]附表1人工单价计算表!$E$20</definedName>
    <definedName name="人甲" localSheetId="24">[117]附表1人工单价计算表!$E$20</definedName>
    <definedName name="人甲" localSheetId="3">[118]附表1人工单价计算表!$E$20</definedName>
    <definedName name="人甲">[119]附表1人工单价计算表!$E$20</definedName>
    <definedName name="人建11_25换" localSheetId="0">[13]附表5直接工程费单价表!#REF!</definedName>
    <definedName name="人建11_25换" localSheetId="2">[13]附表5直接工程费单价表!#REF!</definedName>
    <definedName name="人建11_25换" localSheetId="3">[14]附表5直接工程费单价表!#REF!</definedName>
    <definedName name="人建11_25换">[15]附表5直接工程费单价表!#REF!</definedName>
    <definedName name="人建4_10换" localSheetId="0">[13]附表5直接工程费单价表!#REF!</definedName>
    <definedName name="人建4_10换" localSheetId="2">[13]附表5直接工程费单价表!#REF!</definedName>
    <definedName name="人建4_10换" localSheetId="3">[14]附表5直接工程费单价表!#REF!</definedName>
    <definedName name="人建4_10换">[15]附表5直接工程费单价表!#REF!</definedName>
    <definedName name="人乙" localSheetId="0">[117]附表1人工单价计算表!$G$20</definedName>
    <definedName name="人乙" localSheetId="2">[117]附表1人工单价计算表!$G$20</definedName>
    <definedName name="人乙" localSheetId="24">[117]附表1人工单价计算表!$G$20</definedName>
    <definedName name="人乙" localSheetId="3">[118]附表1人工单价计算表!$G$20</definedName>
    <definedName name="人乙">[119]附表1人工单价计算表!$G$20</definedName>
    <definedName name="软管接头" localSheetId="0">[13]附表2材料价格表!#REF!</definedName>
    <definedName name="软管接头" localSheetId="2">[13]附表2材料价格表!#REF!</definedName>
    <definedName name="软管接头" localSheetId="3">[14]附表2材料价格表!#REF!</definedName>
    <definedName name="软管接头">[15]附表2材料价格表!#REF!</definedName>
    <definedName name="润滑油" localSheetId="0">[51]附表2材料价格计算表!#REF!</definedName>
    <definedName name="润滑油" localSheetId="2">[51]附表2材料价格计算表!#REF!</definedName>
    <definedName name="润滑油" localSheetId="3">[52]附表2材料价格计算表!#REF!</definedName>
    <definedName name="润滑油">[54]附表2材料价格计算表!#REF!</definedName>
    <definedName name="洒水车" localSheetId="0">[55]台班!$C$32</definedName>
    <definedName name="洒水车" localSheetId="2">[55]台班!$C$32</definedName>
    <definedName name="洒水车" localSheetId="24">[55]台班!$C$32</definedName>
    <definedName name="洒水车" localSheetId="3">[56]台班!$C$32</definedName>
    <definedName name="洒水车">[57]台班!$C$32</definedName>
    <definedName name="洒水汽车6000L以内" localSheetId="0">[13]附表3机械台班!#REF!</definedName>
    <definedName name="洒水汽车6000L以内" localSheetId="2">[13]附表3机械台班!#REF!</definedName>
    <definedName name="洒水汽车6000L以内" localSheetId="3">[14]附表3机械台班!#REF!</definedName>
    <definedName name="洒水汽车6000L以内">[15]附表3机械台班!#REF!</definedName>
    <definedName name="三标段工程量清单">'[5]SW-TEO'!#REF!</definedName>
    <definedName name="三道井片区" hidden="1">{"'现金流量表（全部投资）'!$B$4:$P$23"}</definedName>
    <definedName name="三盘三通φ225×200×355" localSheetId="0">[13]附表2材料价格表!#REF!</definedName>
    <definedName name="三盘三通φ225×200×355" localSheetId="2">[13]附表2材料价格表!#REF!</definedName>
    <definedName name="三盘三通φ225×200×355" localSheetId="3">[14]附表2材料价格表!#REF!</definedName>
    <definedName name="三盘三通φ225×200×355">[15]附表2材料价格表!#REF!</definedName>
    <definedName name="三盘三通φ250×200×200" localSheetId="0">[13]附表2材料价格表!#REF!</definedName>
    <definedName name="三盘三通φ250×200×200" localSheetId="2">[13]附表2材料价格表!#REF!</definedName>
    <definedName name="三盘三通φ250×200×200" localSheetId="3">[14]附表2材料价格表!#REF!</definedName>
    <definedName name="三盘三通φ250×200×200">[15]附表2材料价格表!#REF!</definedName>
    <definedName name="三盘三通φ315×160×250" localSheetId="0">[13]附表2材料价格表!#REF!</definedName>
    <definedName name="三盘三通φ315×160×250" localSheetId="2">[13]附表2材料价格表!#REF!</definedName>
    <definedName name="三盘三通φ315×160×250" localSheetId="3">[14]附表2材料价格表!#REF!</definedName>
    <definedName name="三盘三通φ315×160×250">[15]附表2材料价格表!#REF!</definedName>
    <definedName name="三盘三通φ315×200×225" localSheetId="0">[13]附表2材料价格表!#REF!</definedName>
    <definedName name="三盘三通φ315×200×225" localSheetId="2">[13]附表2材料价格表!#REF!</definedName>
    <definedName name="三盘三通φ315×200×225" localSheetId="3">[14]附表2材料价格表!#REF!</definedName>
    <definedName name="三盘三通φ315×200×225">[15]附表2材料价格表!#REF!</definedName>
    <definedName name="三盘三通φ315×200×250" localSheetId="0">[13]附表2材料价格表!#REF!</definedName>
    <definedName name="三盘三通φ315×200×250" localSheetId="2">[13]附表2材料价格表!#REF!</definedName>
    <definedName name="三盘三通φ315×200×250" localSheetId="3">[14]附表2材料价格表!#REF!</definedName>
    <definedName name="三盘三通φ315×200×250">[15]附表2材料价格表!#REF!</definedName>
    <definedName name="三盘三通φ315×200×315" localSheetId="0">[13]附表2材料价格表!#REF!</definedName>
    <definedName name="三盘三通φ315×200×315" localSheetId="2">[13]附表2材料价格表!#REF!</definedName>
    <definedName name="三盘三通φ315×200×315" localSheetId="3">[14]附表2材料价格表!#REF!</definedName>
    <definedName name="三盘三通φ315×200×315">[15]附表2材料价格表!#REF!</definedName>
    <definedName name="三盘三通φ355×160×225" localSheetId="0">[13]附表2材料价格表!#REF!</definedName>
    <definedName name="三盘三通φ355×160×225" localSheetId="2">[13]附表2材料价格表!#REF!</definedName>
    <definedName name="三盘三通φ355×160×225" localSheetId="3">[14]附表2材料价格表!#REF!</definedName>
    <definedName name="三盘三通φ355×160×225">[15]附表2材料价格表!#REF!</definedName>
    <definedName name="三盘三通φ355×160×315" localSheetId="0">[13]附表2材料价格表!#REF!</definedName>
    <definedName name="三盘三通φ355×160×315" localSheetId="2">[13]附表2材料价格表!#REF!</definedName>
    <definedName name="三盘三通φ355×160×315" localSheetId="3">[14]附表2材料价格表!#REF!</definedName>
    <definedName name="三盘三通φ355×160×315">[15]附表2材料价格表!#REF!</definedName>
    <definedName name="三盘三通φ355×200×225" localSheetId="0">[13]附表2材料价格表!#REF!</definedName>
    <definedName name="三盘三通φ355×200×225" localSheetId="2">[13]附表2材料价格表!#REF!</definedName>
    <definedName name="三盘三通φ355×200×225" localSheetId="3">[14]附表2材料价格表!#REF!</definedName>
    <definedName name="三盘三通φ355×200×225">[15]附表2材料价格表!#REF!</definedName>
    <definedName name="三盘三通φ355×200×315" localSheetId="0">[13]附表2材料价格表!#REF!</definedName>
    <definedName name="三盘三通φ355×200×315" localSheetId="2">[13]附表2材料价格表!#REF!</definedName>
    <definedName name="三盘三通φ355×200×315" localSheetId="3">[14]附表2材料价格表!#REF!</definedName>
    <definedName name="三盘三通φ355×200×315">[15]附表2材料价格表!#REF!</definedName>
    <definedName name="三盘三通φ355×200×400" localSheetId="0">[13]附表2材料价格表!#REF!</definedName>
    <definedName name="三盘三通φ355×200×400" localSheetId="2">[13]附表2材料价格表!#REF!</definedName>
    <definedName name="三盘三通φ355×200×400" localSheetId="3">[14]附表2材料价格表!#REF!</definedName>
    <definedName name="三盘三通φ355×200×400">[15]附表2材料价格表!#REF!</definedName>
    <definedName name="三盘三通φ355×400×355" localSheetId="0">[13]附表2材料价格表!#REF!</definedName>
    <definedName name="三盘三通φ355×400×355" localSheetId="2">[13]附表2材料价格表!#REF!</definedName>
    <definedName name="三盘三通φ355×400×355" localSheetId="3">[14]附表2材料价格表!#REF!</definedName>
    <definedName name="三盘三通φ355×400×355">[15]附表2材料价格表!#REF!</definedName>
    <definedName name="三盘三通φ400×200×225" localSheetId="0">[13]附表2材料价格表!#REF!</definedName>
    <definedName name="三盘三通φ400×200×225" localSheetId="2">[13]附表2材料价格表!#REF!</definedName>
    <definedName name="三盘三通φ400×200×225" localSheetId="3">[14]附表2材料价格表!#REF!</definedName>
    <definedName name="三盘三通φ400×200×225">[15]附表2材料价格表!#REF!</definedName>
    <definedName name="三盘三通φ400×200×355" localSheetId="0">[13]附表2材料价格表!#REF!</definedName>
    <definedName name="三盘三通φ400×200×355" localSheetId="2">[13]附表2材料价格表!#REF!</definedName>
    <definedName name="三盘三通φ400×200×355" localSheetId="3">[14]附表2材料价格表!#REF!</definedName>
    <definedName name="三盘三通φ400×200×355">[15]附表2材料价格表!#REF!</definedName>
    <definedName name="三盘三通φ400×500×400" localSheetId="0">[13]附表2材料价格表!#REF!</definedName>
    <definedName name="三盘三通φ400×500×400" localSheetId="2">[13]附表2材料价格表!#REF!</definedName>
    <definedName name="三盘三通φ400×500×400" localSheetId="3">[14]附表2材料价格表!#REF!</definedName>
    <definedName name="三盘三通φ400×500×400">[15]附表2材料价格表!#REF!</definedName>
    <definedName name="三盘三通φ500×500×500" localSheetId="0">[13]附表2材料价格表!#REF!</definedName>
    <definedName name="三盘三通φ500×500×500" localSheetId="2">[13]附表2材料价格表!#REF!</definedName>
    <definedName name="三盘三通φ500×500×500" localSheetId="3">[14]附表2材料价格表!#REF!</definedName>
    <definedName name="三盘三通φ500×500×500">[15]附表2材料价格表!#REF!</definedName>
    <definedName name="三盘三通φ80×80×80" localSheetId="0">[13]附表2材料价格表!#REF!</definedName>
    <definedName name="三盘三通φ80×80×80" localSheetId="2">[13]附表2材料价格表!#REF!</definedName>
    <definedName name="三盘三通φ80×80×80" localSheetId="3">[14]附表2材料价格表!#REF!</definedName>
    <definedName name="三盘三通φ80×80×80">[15]附表2材料价格表!#REF!</definedName>
    <definedName name="三通11090" localSheetId="3">[19]附表2!#REF!</definedName>
    <definedName name="三通11090">[20]附表2!#REF!</definedName>
    <definedName name="三通16090" localSheetId="3">[19]附表2!#REF!</definedName>
    <definedName name="三通16090">[20]附表2!#REF!</definedName>
    <definedName name="三通20090" localSheetId="3">[19]附表2!#REF!</definedName>
    <definedName name="三通20090">[20]附表2!#REF!</definedName>
    <definedName name="三通25090" localSheetId="3">[19]附表2!#REF!</definedName>
    <definedName name="三通25090">[20]附表2!#REF!</definedName>
    <definedName name="三通90" localSheetId="3">[19]附表2!#REF!</definedName>
    <definedName name="三通90">[20]附表2!#REF!</definedName>
    <definedName name="三通φ160×180×160" localSheetId="0">[13]附表2材料价格表!#REF!</definedName>
    <definedName name="三通φ160×180×160" localSheetId="2">[13]附表2材料价格表!#REF!</definedName>
    <definedName name="三通φ160×180×160" localSheetId="3">[14]附表2材料价格表!#REF!</definedName>
    <definedName name="三通φ160×180×160">[15]附表2材料价格表!#REF!</definedName>
    <definedName name="三通φ180×180×160" localSheetId="0">[13]附表2材料价格表!#REF!</definedName>
    <definedName name="三通φ180×180×160" localSheetId="2">[13]附表2材料价格表!#REF!</definedName>
    <definedName name="三通φ180×180×160" localSheetId="3">[14]附表2材料价格表!#REF!</definedName>
    <definedName name="三通φ180×180×160">[15]附表2材料价格表!#REF!</definedName>
    <definedName name="三通φ180×180×90" localSheetId="0">[13]附表2材料价格表!#REF!</definedName>
    <definedName name="三通φ180×180×90" localSheetId="2">[13]附表2材料价格表!#REF!</definedName>
    <definedName name="三通φ180×180×90" localSheetId="3">[14]附表2材料价格表!#REF!</definedName>
    <definedName name="三通φ180×180×90">[15]附表2材料价格表!#REF!</definedName>
    <definedName name="沙枣" localSheetId="0">[51]附表2材料价格计算表!#REF!</definedName>
    <definedName name="沙枣" localSheetId="2">[51]附表2材料价格计算表!#REF!</definedName>
    <definedName name="沙枣" localSheetId="3">[52]附表2材料价格计算表!#REF!</definedName>
    <definedName name="沙枣">[54]附表2材料价格计算表!#REF!</definedName>
    <definedName name="砂" localSheetId="0">[51]附表2材料价格计算表!#REF!</definedName>
    <definedName name="砂" localSheetId="2">[51]附表2材料价格计算表!#REF!</definedName>
    <definedName name="砂" localSheetId="3">[126]材料费!$D$5</definedName>
    <definedName name="砂">[127]材料费!$D$5</definedName>
    <definedName name="砂浆" localSheetId="0">[13]附表5直接工程费单价表!#REF!</definedName>
    <definedName name="砂浆" localSheetId="2">[13]附表5直接工程费单价表!#REF!</definedName>
    <definedName name="砂浆" localSheetId="3">[14]附表5直接工程费单价表!#REF!</definedName>
    <definedName name="砂浆">[15]附表5直接工程费单价表!#REF!</definedName>
    <definedName name="砂浆7.5" localSheetId="0">[117]附表7砂浆配比表!$I$7</definedName>
    <definedName name="砂浆7.5" localSheetId="2">[117]附表7砂浆配比表!$I$7</definedName>
    <definedName name="砂浆7.5" localSheetId="24">[117]附表7砂浆配比表!$I$7</definedName>
    <definedName name="砂浆7.5" localSheetId="3">[118]附表7砂浆配比表!$I$7</definedName>
    <definedName name="砂浆7.5">[119]附表7砂浆配比表!$I$7</definedName>
    <definedName name="砂砾石" localSheetId="0">[55]主材!$M$8</definedName>
    <definedName name="砂砾石" localSheetId="2">[55]主材!$M$8</definedName>
    <definedName name="砂砾石" localSheetId="24">[55]主材!$M$8</definedName>
    <definedName name="砂砾石" localSheetId="3">[56]主材!$M$8</definedName>
    <definedName name="砂砾石">[57]主材!$M$8</definedName>
    <definedName name="砂砾石价差" localSheetId="0">[55]主材!$P$8</definedName>
    <definedName name="砂砾石价差" localSheetId="2">[55]主材!$P$8</definedName>
    <definedName name="砂砾石价差" localSheetId="24">[55]主材!$P$8</definedName>
    <definedName name="砂砾石价差" localSheetId="3">[56]主材!$P$8</definedName>
    <definedName name="砂砾石价差">[57]主材!$P$8</definedName>
    <definedName name="砂子材差" localSheetId="24">[107]材料预算价!$N$6</definedName>
    <definedName name="砂子材差">[108]材料预算价!$N$6</definedName>
    <definedName name="砂子定额价" localSheetId="24">[107]材料预算价!$M$6</definedName>
    <definedName name="砂子定额价">[108]材料预算价!$M$6</definedName>
    <definedName name="设备费南" localSheetId="0">'[94]表4设备费南 '!$N$37</definedName>
    <definedName name="设备费南" localSheetId="2">'[94]表4设备费南 '!$N$37</definedName>
    <definedName name="设备费南" localSheetId="24">'[94]表4设备费南 '!$N$37</definedName>
    <definedName name="设备费南" localSheetId="3">'[95]表4设备费南 '!$N$37</definedName>
    <definedName name="设备费南">'[96]表4设备费南 '!$N$37</definedName>
    <definedName name="设备购置费" localSheetId="0">#REF!</definedName>
    <definedName name="设备购置费" localSheetId="2">#REF!</definedName>
    <definedName name="设备购置费" localSheetId="24">#REF!</definedName>
    <definedName name="设备购置费" localSheetId="3">#REF!</definedName>
    <definedName name="设备购置费">#REF!</definedName>
    <definedName name="设计费" localSheetId="0">#REF!</definedName>
    <definedName name="设计费" localSheetId="2">#REF!</definedName>
    <definedName name="设计费" localSheetId="24">#REF!</definedName>
    <definedName name="设计费" localSheetId="3">#REF!</definedName>
    <definedName name="设计费">#REF!</definedName>
    <definedName name="伸缩节200" localSheetId="3">[19]附表2!#REF!</definedName>
    <definedName name="伸缩节200">[20]附表2!#REF!</definedName>
    <definedName name="生产安置平衡" localSheetId="0">#REF!</definedName>
    <definedName name="生产安置平衡" localSheetId="2">#REF!</definedName>
    <definedName name="生产安置平衡" localSheetId="24">#REF!</definedName>
    <definedName name="生产安置平衡" localSheetId="3">#REF!</definedName>
    <definedName name="生产安置平衡">#REF!</definedName>
    <definedName name="生产列11" localSheetId="3">#REF!</definedName>
    <definedName name="生产列11">#REF!</definedName>
    <definedName name="生产列2" localSheetId="3">#REF!</definedName>
    <definedName name="生产列2">#REF!</definedName>
    <definedName name="生产列20" localSheetId="3">#REF!</definedName>
    <definedName name="生产列20">#REF!</definedName>
    <definedName name="生产列5" localSheetId="3">#REF!</definedName>
    <definedName name="生产列5">#REF!</definedName>
    <definedName name="生产列6" localSheetId="3">#REF!</definedName>
    <definedName name="生产列6">#REF!</definedName>
    <definedName name="生产列7" localSheetId="3">#REF!</definedName>
    <definedName name="生产列7">#REF!</definedName>
    <definedName name="生产列8" localSheetId="3">#REF!</definedName>
    <definedName name="生产列8">#REF!</definedName>
    <definedName name="生产列9" localSheetId="3">#REF!</definedName>
    <definedName name="生产列9">#REF!</definedName>
    <definedName name="生产期" localSheetId="3">#REF!</definedName>
    <definedName name="生产期">#REF!</definedName>
    <definedName name="生产期11" localSheetId="3">#REF!</definedName>
    <definedName name="生产期11">#REF!</definedName>
    <definedName name="生产期2" localSheetId="3">#REF!</definedName>
    <definedName name="生产期2">#REF!</definedName>
    <definedName name="生产期20" localSheetId="3">#REF!</definedName>
    <definedName name="生产期20">#REF!</definedName>
    <definedName name="生产期5" localSheetId="3">#REF!</definedName>
    <definedName name="生产期5">#REF!</definedName>
    <definedName name="生产期6" localSheetId="3">#REF!</definedName>
    <definedName name="生产期6">#REF!</definedName>
    <definedName name="生产期7" localSheetId="3">#REF!</definedName>
    <definedName name="生产期7">#REF!</definedName>
    <definedName name="生产期8" localSheetId="3">#REF!</definedName>
    <definedName name="生产期8">#REF!</definedName>
    <definedName name="生产期9" localSheetId="3">#REF!</definedName>
    <definedName name="生产期9">#REF!</definedName>
    <definedName name="生石灰" localSheetId="0">[55]主材!#REF!</definedName>
    <definedName name="生石灰" localSheetId="2">[55]主材!#REF!</definedName>
    <definedName name="生石灰" localSheetId="3">[56]主材!#REF!</definedName>
    <definedName name="生石灰">[57]主材!#REF!</definedName>
    <definedName name="生石灰限价" localSheetId="0">[55]主材!#REF!</definedName>
    <definedName name="生石灰限价" localSheetId="2">[55]主材!#REF!</definedName>
    <definedName name="生石灰限价" localSheetId="3">[56]主材!#REF!</definedName>
    <definedName name="生石灰限价">[57]主材!#REF!</definedName>
    <definedName name="石灰" localSheetId="0">[55]次材!$D$46</definedName>
    <definedName name="石灰" localSheetId="2">[55]次材!$D$46</definedName>
    <definedName name="石灰" localSheetId="24">[55]次材!$D$46</definedName>
    <definedName name="石灰" localSheetId="3">[56]次材!$D$46</definedName>
    <definedName name="石灰">[57]次材!$D$46</definedName>
    <definedName name="石棉织布" localSheetId="0">[51]附表2材料价格计算表!#REF!</definedName>
    <definedName name="石棉织布" localSheetId="2">[51]附表2材料价格计算表!#REF!</definedName>
    <definedName name="石棉织布" localSheetId="3">[52]附表2材料价格计算表!#REF!</definedName>
    <definedName name="石棉织布">[54]附表2材料价格计算表!#REF!</definedName>
    <definedName name="石屑" localSheetId="0">[51]附表2材料价格计算表!#REF!</definedName>
    <definedName name="石屑" localSheetId="2">[51]附表2材料价格计算表!#REF!</definedName>
    <definedName name="石屑" localSheetId="3">[14]附表2材料价格表!#REF!</definedName>
    <definedName name="石屑">[15]附表2材料价格表!#REF!</definedName>
    <definedName name="石子材差" localSheetId="24">[107]材料预算价!$N$7</definedName>
    <definedName name="石子材差">[108]材料预算价!$N$7</definedName>
    <definedName name="石子定额价" localSheetId="24">[107]材料预算价!$M$7</definedName>
    <definedName name="石子定额价">[108]材料预算价!$M$7</definedName>
    <definedName name="世行项目预算" localSheetId="0">#REF!</definedName>
    <definedName name="世行项目预算" localSheetId="2">#REF!</definedName>
    <definedName name="世行项目预算" localSheetId="24">#REF!</definedName>
    <definedName name="世行项目预算" localSheetId="3">#REF!</definedName>
    <definedName name="世行项目预算">#REF!</definedName>
    <definedName name="是" hidden="1">{"'现金流量表（全部投资）'!$B$4:$P$23"}</definedName>
    <definedName name="是_1" hidden="1">{"'现金流量表（全部投资）'!$B$4:$P$23"}</definedName>
    <definedName name="手扶式拖拉机" localSheetId="0">[111]机械汇总!$K$20</definedName>
    <definedName name="手扶式拖拉机" localSheetId="2">[111]机械汇总!$K$20</definedName>
    <definedName name="手扶式拖拉机" localSheetId="24">[111]机械汇总!$K$20</definedName>
    <definedName name="手扶式拖拉机" localSheetId="3">[112]机械汇总!$K$20</definedName>
    <definedName name="手扶式拖拉机">[113]机械汇总!$K$20</definedName>
    <definedName name="手扶式拖拉机功率11KW" localSheetId="24">[107]台班单价!$C$24</definedName>
    <definedName name="手扶式拖拉机功率11KW">[108]台班单价!$C$24</definedName>
    <definedName name="竖管" localSheetId="0">[13]附表2材料价格表!#REF!</definedName>
    <definedName name="竖管" localSheetId="2">[13]附表2材料价格表!#REF!</definedName>
    <definedName name="竖管" localSheetId="3">[14]附表2材料价格表!#REF!</definedName>
    <definedName name="竖管">[15]附表2材料价格表!#REF!</definedName>
    <definedName name="竖管75" localSheetId="3">[19]附表2!#REF!</definedName>
    <definedName name="竖管75">[20]附表2!#REF!</definedName>
    <definedName name="竖管80_150" localSheetId="0">[13]附表2材料价格表!#REF!</definedName>
    <definedName name="竖管80_150" localSheetId="2">[13]附表2材料价格表!#REF!</definedName>
    <definedName name="竖管80_150" localSheetId="3">[14]附表2材料价格表!#REF!</definedName>
    <definedName name="竖管80_150">[15]附表2材料价格表!#REF!</definedName>
    <definedName name="数量" localSheetId="0">'[72]#REF'!$D$2</definedName>
    <definedName name="数量" localSheetId="2">'[72]#REF'!$D$2</definedName>
    <definedName name="数量" localSheetId="24">'[72]#REF'!$D$2</definedName>
    <definedName name="数量" localSheetId="3">'[84]#REF'!$D$2</definedName>
    <definedName name="数量">'[85]#REF'!$D$2</definedName>
    <definedName name="双" hidden="1">{"'现金流量表（全部投资）'!$B$4:$P$23"}</definedName>
    <definedName name="双_1" hidden="1">{"'现金流量表（全部投资）'!$B$4:$P$23"}</definedName>
    <definedName name="双承PVC塑管φ110×3.2×9000" localSheetId="0">[13]附表2材料价格表!#REF!</definedName>
    <definedName name="双承PVC塑管φ110×3.2×9000" localSheetId="2">[13]附表2材料价格表!#REF!</definedName>
    <definedName name="双承PVC塑管φ110×3.2×9000" localSheetId="3">[14]附表2材料价格表!#REF!</definedName>
    <definedName name="双承PVC塑管φ110×3.2×9000">[15]附表2材料价格表!#REF!</definedName>
    <definedName name="双承PVC塑管φ125×3.7×9000" localSheetId="0">[13]附表2材料价格表!#REF!</definedName>
    <definedName name="双承PVC塑管φ125×3.7×9000" localSheetId="2">[13]附表2材料价格表!#REF!</definedName>
    <definedName name="双承PVC塑管φ125×3.7×9000" localSheetId="3">[14]附表2材料价格表!#REF!</definedName>
    <definedName name="双承PVC塑管φ125×3.7×9000">[15]附表2材料价格表!#REF!</definedName>
    <definedName name="双承PVC塑管φ160×4.7×9000" localSheetId="0">[13]附表2材料价格表!#REF!</definedName>
    <definedName name="双承PVC塑管φ160×4.7×9000" localSheetId="2">[13]附表2材料价格表!#REF!</definedName>
    <definedName name="双承PVC塑管φ160×4.7×9000" localSheetId="3">[14]附表2材料价格表!#REF!</definedName>
    <definedName name="双承PVC塑管φ160×4.7×9000">[15]附表2材料价格表!#REF!</definedName>
    <definedName name="双承PVC塑管φ200×5.9×10000" localSheetId="0">[13]附表2材料价格表!#REF!</definedName>
    <definedName name="双承PVC塑管φ200×5.9×10000" localSheetId="2">[13]附表2材料价格表!#REF!</definedName>
    <definedName name="双承PVC塑管φ200×5.9×10000" localSheetId="3">[14]附表2材料价格表!#REF!</definedName>
    <definedName name="双承PVC塑管φ200×5.9×10000">[15]附表2材料价格表!#REF!</definedName>
    <definedName name="双承PVC塑管φ200×5.9×9000" localSheetId="0">[13]附表2材料价格表!#REF!</definedName>
    <definedName name="双承PVC塑管φ200×5.9×9000" localSheetId="2">[13]附表2材料价格表!#REF!</definedName>
    <definedName name="双承PVC塑管φ200×5.9×9000" localSheetId="3">[14]附表2材料价格表!#REF!</definedName>
    <definedName name="双承PVC塑管φ200×5.9×9000">[15]附表2材料价格表!#REF!</definedName>
    <definedName name="双承PVC塑管φ225×6.6×10000" localSheetId="0">[13]附表2材料价格表!#REF!</definedName>
    <definedName name="双承PVC塑管φ225×6.6×10000" localSheetId="2">[13]附表2材料价格表!#REF!</definedName>
    <definedName name="双承PVC塑管φ225×6.6×10000" localSheetId="3">[14]附表2材料价格表!#REF!</definedName>
    <definedName name="双承PVC塑管φ225×6.6×10000">[15]附表2材料价格表!#REF!</definedName>
    <definedName name="双承PVC塑管φ250×7.3×10000" localSheetId="0">[13]附表2材料价格表!#REF!</definedName>
    <definedName name="双承PVC塑管φ250×7.3×10000" localSheetId="2">[13]附表2材料价格表!#REF!</definedName>
    <definedName name="双承PVC塑管φ250×7.3×10000" localSheetId="3">[14]附表2材料价格表!#REF!</definedName>
    <definedName name="双承PVC塑管φ250×7.3×10000">[15]附表2材料价格表!#REF!</definedName>
    <definedName name="双承PVC塑管φ315×9.2×10000" localSheetId="0">[13]附表2材料价格表!#REF!</definedName>
    <definedName name="双承PVC塑管φ315×9.2×10000" localSheetId="2">[13]附表2材料价格表!#REF!</definedName>
    <definedName name="双承PVC塑管φ315×9.2×10000" localSheetId="3">[14]附表2材料价格表!#REF!</definedName>
    <definedName name="双承PVC塑管φ315×9.2×10000">[15]附表2材料价格表!#REF!</definedName>
    <definedName name="双承PVC塑管φ355×10.4×10000" localSheetId="0">[13]附表2材料价格表!#REF!</definedName>
    <definedName name="双承PVC塑管φ355×10.4×10000" localSheetId="2">[13]附表2材料价格表!#REF!</definedName>
    <definedName name="双承PVC塑管φ355×10.4×10000" localSheetId="3">[14]附表2材料价格表!#REF!</definedName>
    <definedName name="双承PVC塑管φ355×10.4×10000">[15]附表2材料价格表!#REF!</definedName>
    <definedName name="双承PVC塑管φ400×11.7×10000" localSheetId="0">[13]附表2材料价格表!#REF!</definedName>
    <definedName name="双承PVC塑管φ400×11.7×10000" localSheetId="2">[13]附表2材料价格表!#REF!</definedName>
    <definedName name="双承PVC塑管φ400×11.7×10000" localSheetId="3">[14]附表2材料价格表!#REF!</definedName>
    <definedName name="双承PVC塑管φ400×11.7×10000">[15]附表2材料价格表!#REF!</definedName>
    <definedName name="双承PVC塑管φ500×14.6×10000" localSheetId="0">[13]附表2材料价格表!#REF!</definedName>
    <definedName name="双承PVC塑管φ500×14.6×10000" localSheetId="2">[13]附表2材料价格表!#REF!</definedName>
    <definedName name="双承PVC塑管φ500×14.6×10000" localSheetId="3">[14]附表2材料价格表!#REF!</definedName>
    <definedName name="双承PVC塑管φ500×14.6×10000">[15]附表2材料价格表!#REF!</definedName>
    <definedName name="双承PVC塑管φ90×2.8×9000" localSheetId="0">[13]附表2材料价格表!#REF!</definedName>
    <definedName name="双承PVC塑管φ90×2.8×9000" localSheetId="2">[13]附表2材料价格表!#REF!</definedName>
    <definedName name="双承PVC塑管φ90×2.8×9000" localSheetId="3">[14]附表2材料价格表!#REF!</definedName>
    <definedName name="双承PVC塑管φ90×2.8×9000">[15]附表2材料价格表!#REF!</definedName>
    <definedName name="双法兰短管" localSheetId="0">[13]附表2材料价格表!#REF!</definedName>
    <definedName name="双法兰短管" localSheetId="2">[13]附表2材料价格表!#REF!</definedName>
    <definedName name="双法兰短管" localSheetId="3">[14]附表2材料价格表!#REF!</definedName>
    <definedName name="双法兰短管">[15]附表2材料价格表!#REF!</definedName>
    <definedName name="双法兰空气阀" localSheetId="0">[13]附表2材料价格表!#REF!</definedName>
    <definedName name="双法兰空气阀" localSheetId="2">[13]附表2材料价格表!#REF!</definedName>
    <definedName name="双法兰空气阀" localSheetId="3">[14]附表2材料价格表!#REF!</definedName>
    <definedName name="双法兰空气阀">[15]附表2材料价格表!#REF!</definedName>
    <definedName name="双胶轮车" localSheetId="0">[55]台班!$C$33</definedName>
    <definedName name="双胶轮车" localSheetId="2">[55]台班!$C$33</definedName>
    <definedName name="双胶轮车" localSheetId="24">[55]台班!$C$33</definedName>
    <definedName name="双胶轮车" localSheetId="3">[56]台班!$C$33</definedName>
    <definedName name="双胶轮车">[57]台班!$C$33</definedName>
    <definedName name="双轮胶车" localSheetId="0">[111]机械汇总!$K$74</definedName>
    <definedName name="双轮胶车" localSheetId="2">[111]机械汇总!$K$74</definedName>
    <definedName name="双轮胶车" localSheetId="24">[111]机械汇总!$K$74</definedName>
    <definedName name="双轮胶车" localSheetId="3">[112]机械汇总!$K$74</definedName>
    <definedName name="双轮胶车">[113]机械汇总!$K$74</definedName>
    <definedName name="双面刨床" localSheetId="0">[13]附表3机械台班!#REF!</definedName>
    <definedName name="双面刨床" localSheetId="2">[13]附表3机械台班!#REF!</definedName>
    <definedName name="双面刨床" localSheetId="3">[14]附表3机械台班!#REF!</definedName>
    <definedName name="双面刨床">[15]附表3机械台班!#REF!</definedName>
    <definedName name="双盘短管φ315×600" localSheetId="0">[13]附表2材料价格表!#REF!</definedName>
    <definedName name="双盘短管φ315×600" localSheetId="2">[13]附表2材料价格表!#REF!</definedName>
    <definedName name="双盘短管φ315×600" localSheetId="3">[14]附表2材料价格表!#REF!</definedName>
    <definedName name="双盘短管φ315×600">[15]附表2材料价格表!#REF!</definedName>
    <definedName name="双盘短管φ315×600、45" localSheetId="0">[13]附表2材料价格表!#REF!</definedName>
    <definedName name="双盘短管φ315×600、45" localSheetId="2">[13]附表2材料价格表!#REF!</definedName>
    <definedName name="双盘短管φ315×600、45" localSheetId="3">[14]附表2材料价格表!#REF!</definedName>
    <definedName name="双盘短管φ315×600、45">[15]附表2材料价格表!#REF!</definedName>
    <definedName name="双盘短管φ400×600" localSheetId="0">[13]附表2材料价格表!#REF!</definedName>
    <definedName name="双盘短管φ400×600" localSheetId="2">[13]附表2材料价格表!#REF!</definedName>
    <definedName name="双盘短管φ400×600" localSheetId="3">[14]附表2材料价格表!#REF!</definedName>
    <definedName name="双盘短管φ400×600">[15]附表2材料价格表!#REF!</definedName>
    <definedName name="双盘短管φ400×600、30" localSheetId="0">[13]附表2材料价格表!#REF!</definedName>
    <definedName name="双盘短管φ400×600、30" localSheetId="2">[13]附表2材料价格表!#REF!</definedName>
    <definedName name="双盘短管φ400×600、30" localSheetId="3">[14]附表2材料价格表!#REF!</definedName>
    <definedName name="双盘短管φ400×600、30">[15]附表2材料价格表!#REF!</definedName>
    <definedName name="双盘短管φ500×600" localSheetId="0">[13]附表2材料价格表!#REF!</definedName>
    <definedName name="双盘短管φ500×600" localSheetId="2">[13]附表2材料价格表!#REF!</definedName>
    <definedName name="双盘短管φ500×600" localSheetId="3">[14]附表2材料价格表!#REF!</definedName>
    <definedName name="双盘短管φ500×600">[15]附表2材料价格表!#REF!</definedName>
    <definedName name="双盘弯头φ200×200" localSheetId="0">[13]附表2材料价格表!#REF!</definedName>
    <definedName name="双盘弯头φ200×200" localSheetId="2">[13]附表2材料价格表!#REF!</definedName>
    <definedName name="双盘弯头φ200×200" localSheetId="3">[14]附表2材料价格表!#REF!</definedName>
    <definedName name="双盘弯头φ200×200">[15]附表2材料价格表!#REF!</definedName>
    <definedName name="双盘弯头φ225×160" localSheetId="0">[13]附表2材料价格表!#REF!</definedName>
    <definedName name="双盘弯头φ225×160" localSheetId="2">[13]附表2材料价格表!#REF!</definedName>
    <definedName name="双盘弯头φ225×160" localSheetId="3">[14]附表2材料价格表!#REF!</definedName>
    <definedName name="双盘弯头φ225×160">[15]附表2材料价格表!#REF!</definedName>
    <definedName name="双盘弯头φ225×200" localSheetId="0">[13]附表2材料价格表!#REF!</definedName>
    <definedName name="双盘弯头φ225×200" localSheetId="2">[13]附表2材料价格表!#REF!</definedName>
    <definedName name="双盘弯头φ225×200" localSheetId="3">[14]附表2材料价格表!#REF!</definedName>
    <definedName name="双盘弯头φ225×200">[15]附表2材料价格表!#REF!</definedName>
    <definedName name="双盘弯头φ250×160" localSheetId="0">[13]附表2材料价格表!#REF!</definedName>
    <definedName name="双盘弯头φ250×160" localSheetId="2">[13]附表2材料价格表!#REF!</definedName>
    <definedName name="双盘弯头φ250×160" localSheetId="3">[14]附表2材料价格表!#REF!</definedName>
    <definedName name="双盘弯头φ250×160">[15]附表2材料价格表!#REF!</definedName>
    <definedName name="双盘弯头φ250×200" localSheetId="0">[13]附表2材料价格表!#REF!</definedName>
    <definedName name="双盘弯头φ250×200" localSheetId="2">[13]附表2材料价格表!#REF!</definedName>
    <definedName name="双盘弯头φ250×200" localSheetId="3">[14]附表2材料价格表!#REF!</definedName>
    <definedName name="双盘弯头φ250×200">[15]附表2材料价格表!#REF!</definedName>
    <definedName name="双是" hidden="1">{"'现金流量表（全部投资）'!$B$4:$P$23"}</definedName>
    <definedName name="双是_1" hidden="1">{"'现金流量表（全部投资）'!$B$4:$P$23"}</definedName>
    <definedName name="水" localSheetId="0">[55]次材!$D$4</definedName>
    <definedName name="水" localSheetId="2">[55]次材!$D$4</definedName>
    <definedName name="水" localSheetId="24">[55]次材!$D$4</definedName>
    <definedName name="水" localSheetId="3">[56]次材!$D$4</definedName>
    <definedName name="水">[57]次材!$D$4</definedName>
    <definedName name="水泵机组250QJ100_270_15" localSheetId="0">[13]附表2材料价格表!#REF!</definedName>
    <definedName name="水泵机组250QJ100_270_15" localSheetId="2">[13]附表2材料价格表!#REF!</definedName>
    <definedName name="水泵机组250QJ100_270_15" localSheetId="3">[14]附表2材料价格表!#REF!</definedName>
    <definedName name="水泵机组250QJ100_270_15">[15]附表2材料价格表!#REF!</definedName>
    <definedName name="水泵机组250QJ80_320_16" localSheetId="0">[13]附表2材料价格表!#REF!</definedName>
    <definedName name="水泵机组250QJ80_320_16" localSheetId="2">[13]附表2材料价格表!#REF!</definedName>
    <definedName name="水泵机组250QJ80_320_16" localSheetId="3">[14]附表2材料价格表!#REF!</definedName>
    <definedName name="水泵机组250QJ80_320_16">[15]附表2材料价格表!#REF!</definedName>
    <definedName name="水泵机组IS80_50_250" localSheetId="0">[13]附表2材料价格表!#REF!</definedName>
    <definedName name="水泵机组IS80_50_250" localSheetId="2">[13]附表2材料价格表!#REF!</definedName>
    <definedName name="水泵机组IS80_50_250" localSheetId="3">[14]附表2材料价格表!#REF!</definedName>
    <definedName name="水泵机组IS80_50_250">[15]附表2材料价格表!#REF!</definedName>
    <definedName name="水表" localSheetId="0">[13]附表2材料价格表!#REF!</definedName>
    <definedName name="水表" localSheetId="2">[13]附表2材料价格表!#REF!</definedName>
    <definedName name="水表" localSheetId="3">[14]附表2材料价格表!#REF!</definedName>
    <definedName name="水表">[15]附表2材料价格表!#REF!</definedName>
    <definedName name="水措施费南" localSheetId="0">#REF!</definedName>
    <definedName name="水措施费南" localSheetId="2">#REF!</definedName>
    <definedName name="水措施费南" localSheetId="24">#REF!</definedName>
    <definedName name="水措施费南" localSheetId="3">#REF!</definedName>
    <definedName name="水措施费南">#REF!</definedName>
    <definedName name="水价" localSheetId="0">[111]材价汇!$D$17</definedName>
    <definedName name="水价" localSheetId="2">[111]材价汇!$D$17</definedName>
    <definedName name="水价" localSheetId="24">[111]材价汇!$D$17</definedName>
    <definedName name="水价" localSheetId="3">[112]材价汇!$D$17</definedName>
    <definedName name="水价">[113]材价汇!$D$17</definedName>
    <definedName name="水间接费南" localSheetId="0">#REF!</definedName>
    <definedName name="水间接费南" localSheetId="2">#REF!</definedName>
    <definedName name="水间接费南" localSheetId="24">#REF!</definedName>
    <definedName name="水间接费南" localSheetId="3">#REF!</definedName>
    <definedName name="水间接费南">#REF!</definedName>
    <definedName name="水力机械调差系数" localSheetId="0">#REF!</definedName>
    <definedName name="水力机械调差系数" localSheetId="2">#REF!</definedName>
    <definedName name="水力机械调差系数" localSheetId="24">#REF!</definedName>
    <definedName name="水力机械调差系数" localSheetId="3">#REF!</definedName>
    <definedName name="水力机械调差系数">#REF!</definedName>
    <definedName name="水利" localSheetId="0">#REF!</definedName>
    <definedName name="水利" localSheetId="2">#REF!</definedName>
    <definedName name="水利" localSheetId="24">#REF!</definedName>
    <definedName name="水利" localSheetId="3">#REF!</definedName>
    <definedName name="水利">#REF!</definedName>
    <definedName name="水泥" localSheetId="0">#REF!</definedName>
    <definedName name="水泥" localSheetId="2">#REF!</definedName>
    <definedName name="水泥" localSheetId="24">#REF!</definedName>
    <definedName name="水泥" localSheetId="3">#REF!</definedName>
    <definedName name="水泥">#REF!</definedName>
    <definedName name="水泥32.5" localSheetId="0">'[93]附表2 材料价格表'!#REF!</definedName>
    <definedName name="水泥32.5" localSheetId="2">'[93]附表2 材料价格表'!#REF!</definedName>
    <definedName name="水泥32.5" localSheetId="3">'[100]附表2 材料价格表'!#REF!</definedName>
    <definedName name="水泥32.5">'[101]附表2 材料价格表'!#REF!</definedName>
    <definedName name="水泥32.5R价差" localSheetId="0">[55]主材!$P$5</definedName>
    <definedName name="水泥32.5R价差" localSheetId="2">[55]主材!$P$5</definedName>
    <definedName name="水泥32.5R价差" localSheetId="24">[55]主材!$P$5</definedName>
    <definedName name="水泥32.5R价差" localSheetId="3">[56]主材!$P$5</definedName>
    <definedName name="水泥32.5R价差">[57]主材!$P$5</definedName>
    <definedName name="水泥32.5价差" localSheetId="0">[55]主材!$P$4</definedName>
    <definedName name="水泥32.5价差" localSheetId="2">[55]主材!$P$4</definedName>
    <definedName name="水泥32.5价差" localSheetId="24">[55]主材!$P$4</definedName>
    <definedName name="水泥32.5价差" localSheetId="3">[56]主材!$P$4</definedName>
    <definedName name="水泥32.5价差">[57]主材!$P$4</definedName>
    <definedName name="水泥325" localSheetId="0">#REF!</definedName>
    <definedName name="水泥325" localSheetId="2">#REF!</definedName>
    <definedName name="水泥325" localSheetId="24">#REF!</definedName>
    <definedName name="水泥325" localSheetId="3">#REF!</definedName>
    <definedName name="水泥325">#REF!</definedName>
    <definedName name="水泥42.5" localSheetId="0">'[133]附表2-1主材'!$L$5</definedName>
    <definedName name="水泥42.5" localSheetId="2">'[133]附表2-1主材'!$L$5</definedName>
    <definedName name="水泥42.5" localSheetId="24">'[66]附表2-1主材'!$L$5</definedName>
    <definedName name="水泥42.5" localSheetId="3">'[134]附表2-1主材'!$L$5</definedName>
    <definedName name="水泥42.5">'[135]附表2-1主材'!$L$5</definedName>
    <definedName name="水泥425" localSheetId="0">#REF!</definedName>
    <definedName name="水泥425" localSheetId="2">#REF!</definedName>
    <definedName name="水泥425" localSheetId="24">#REF!</definedName>
    <definedName name="水泥425" localSheetId="3">#REF!</definedName>
    <definedName name="水泥425">#REF!</definedName>
    <definedName name="水泥材差" localSheetId="24">[107]材料预算价!$N$5</definedName>
    <definedName name="水泥材差">[108]材料预算价!$N$5</definedName>
    <definedName name="水泥电杆￠190_12m" localSheetId="0">[13]附表2材料价格表!#REF!</definedName>
    <definedName name="水泥电杆￠190_12m" localSheetId="2">[13]附表2材料价格表!#REF!</definedName>
    <definedName name="水泥电杆￠190_12m" localSheetId="3">[14]附表2材料价格表!#REF!</definedName>
    <definedName name="水泥电杆￠190_12m">[15]附表2材料价格表!#REF!</definedName>
    <definedName name="水泥电杆79米" localSheetId="0">[51]附表2材料价格计算表!#REF!</definedName>
    <definedName name="水泥电杆79米" localSheetId="2">[51]附表2材料价格计算表!#REF!</definedName>
    <definedName name="水泥电杆79米" localSheetId="3">[78]附表2材料价格计算表!#REF!</definedName>
    <definedName name="水泥电杆79米">[53]附表2材料价格计算表!#REF!</definedName>
    <definedName name="水泥电杆911米" localSheetId="0">[51]附表2材料价格计算表!#REF!</definedName>
    <definedName name="水泥电杆911米" localSheetId="2">[51]附表2材料价格计算表!#REF!</definedName>
    <definedName name="水泥电杆911米" localSheetId="3">[78]附表2材料价格计算表!#REF!</definedName>
    <definedName name="水泥电杆911米">[53]附表2材料价格计算表!#REF!</definedName>
    <definedName name="水泥定额价" localSheetId="24">[107]材料预算价!$M$5</definedName>
    <definedName name="水泥定额价">[108]材料预算价!$M$5</definedName>
    <definedName name="水施工费" localSheetId="0">'[94]表3工程施工费南 '!$H$8</definedName>
    <definedName name="水施工费" localSheetId="2">'[94]表3工程施工费南 '!$H$8</definedName>
    <definedName name="水施工费" localSheetId="24">'[94]表3工程施工费南 '!$H$8</definedName>
    <definedName name="水施工费" localSheetId="3">'[95]表3工程施工费南 '!$H$8</definedName>
    <definedName name="水施工费">'[96]表3工程施工费南 '!$H$8</definedName>
    <definedName name="水直接工程费南" localSheetId="0">#REF!</definedName>
    <definedName name="水直接工程费南" localSheetId="2">#REF!</definedName>
    <definedName name="水直接工程费南" localSheetId="24">#REF!</definedName>
    <definedName name="水直接工程费南" localSheetId="3">#REF!</definedName>
    <definedName name="水直接工程费南">#REF!</definedName>
    <definedName name="税金" localSheetId="0">[55]Sheet3!$B$29</definedName>
    <definedName name="税金" localSheetId="2">[55]Sheet3!$B$29</definedName>
    <definedName name="税金" localSheetId="24">[55]Sheet3!$B$29</definedName>
    <definedName name="税金" localSheetId="3">[56]Sheet3!$B$29</definedName>
    <definedName name="税金">[57]Sheet3!$B$29</definedName>
    <definedName name="思想" localSheetId="0">#REF!</definedName>
    <definedName name="思想" localSheetId="2">#REF!</definedName>
    <definedName name="思想" localSheetId="24">#REF!</definedName>
    <definedName name="思想" localSheetId="3">#REF!</definedName>
    <definedName name="思想">#REF!</definedName>
    <definedName name="四盘四通φ315×200×400×355" localSheetId="0">[13]附表2材料价格表!#REF!</definedName>
    <definedName name="四盘四通φ315×200×400×355" localSheetId="2">[13]附表2材料价格表!#REF!</definedName>
    <definedName name="四盘四通φ315×200×400×355" localSheetId="3">[14]附表2材料价格表!#REF!</definedName>
    <definedName name="四盘四通φ315×200×400×355">[15]附表2材料价格表!#REF!</definedName>
    <definedName name="四盘四通φ400×355×355×200" localSheetId="0">[13]附表2材料价格表!#REF!</definedName>
    <definedName name="四盘四通φ400×355×355×200" localSheetId="2">[13]附表2材料价格表!#REF!</definedName>
    <definedName name="四盘四通φ400×355×355×200" localSheetId="3">[14]附表2材料价格表!#REF!</definedName>
    <definedName name="四盘四通φ400×355×355×200">[15]附表2材料价格表!#REF!</definedName>
    <definedName name="四盘四通φ400×500×200×400" localSheetId="0">[13]附表2材料价格表!#REF!</definedName>
    <definedName name="四盘四通φ400×500×200×400" localSheetId="2">[13]附表2材料价格表!#REF!</definedName>
    <definedName name="四盘四通φ400×500×200×400" localSheetId="3">[14]附表2材料价格表!#REF!</definedName>
    <definedName name="四盘四通φ400×500×200×400">[15]附表2材料价格表!#REF!</definedName>
    <definedName name="四通φ180×90×180×90" localSheetId="0">[13]附表2材料价格表!#REF!</definedName>
    <definedName name="四通φ180×90×180×90" localSheetId="2">[13]附表2材料价格表!#REF!</definedName>
    <definedName name="四通φ180×90×180×90" localSheetId="3">[14]附表2材料价格表!#REF!</definedName>
    <definedName name="四通φ180×90×180×90">[15]附表2材料价格表!#REF!</definedName>
    <definedName name="送审表" localSheetId="0" hidden="1">#REF!</definedName>
    <definedName name="送审表" localSheetId="2" hidden="1">#REF!</definedName>
    <definedName name="送审表" localSheetId="24" hidden="1">#REF!</definedName>
    <definedName name="送审表" localSheetId="3" hidden="1">#REF!</definedName>
    <definedName name="送审表" hidden="1">#REF!</definedName>
    <definedName name="俗人" localSheetId="3">#REF!</definedName>
    <definedName name="俗人">#REF!</definedName>
    <definedName name="速生杨" localSheetId="0">[55]次材!#REF!</definedName>
    <definedName name="速生杨" localSheetId="2">[55]次材!#REF!</definedName>
    <definedName name="速生杨" localSheetId="3">[19]附表2!#REF!</definedName>
    <definedName name="速生杨">[20]附表2!#REF!</definedName>
    <definedName name="塑料薄膜" localSheetId="0">[55]次材!$D$36</definedName>
    <definedName name="塑料薄膜" localSheetId="2">[55]次材!$D$36</definedName>
    <definedName name="塑料薄膜" localSheetId="24">[55]次材!$D$36</definedName>
    <definedName name="塑料薄膜" localSheetId="3">[56]次材!$D$36</definedName>
    <definedName name="塑料薄膜">[57]次材!$D$36</definedName>
    <definedName name="塑料软管" localSheetId="0">[51]附表2材料价格计算表!#REF!</definedName>
    <definedName name="塑料软管" localSheetId="2">[51]附表2材料价格计算表!#REF!</definedName>
    <definedName name="塑料软管" localSheetId="3">[52]附表2材料价格计算表!#REF!</definedName>
    <definedName name="塑料软管">[54]附表2材料价格计算表!#REF!</definedName>
    <definedName name="碎石" localSheetId="0">#REF!</definedName>
    <definedName name="碎石" localSheetId="2">#REF!</definedName>
    <definedName name="碎石" localSheetId="24">#REF!</definedName>
    <definedName name="碎石" localSheetId="3">#REF!</definedName>
    <definedName name="碎石">#REF!</definedName>
    <definedName name="碎石30mm" localSheetId="0">[13]附表2材料价格表!#REF!</definedName>
    <definedName name="碎石30mm" localSheetId="2">[13]附表2材料价格表!#REF!</definedName>
    <definedName name="碎石30mm" localSheetId="3">[14]附表2材料价格表!#REF!</definedName>
    <definedName name="碎石30mm">[15]附表2材料价格表!#REF!</definedName>
    <definedName name="碎石4" localSheetId="0">'[111]表3-1直接费预算表达式1'!$D$13</definedName>
    <definedName name="碎石4" localSheetId="2">'[111]表3-1直接费预算表达式1'!$D$13</definedName>
    <definedName name="碎石4" localSheetId="24">'[111]表3-1直接费预算表达式1'!$D$13</definedName>
    <definedName name="碎石4" localSheetId="3">'[112]表3-1直接费预算表达式1'!$D$13</definedName>
    <definedName name="碎石4">'[113]表3-1直接费预算表达式1'!$D$13</definedName>
    <definedName name="碎石40mm" localSheetId="0">[13]附表2材料价格表!#REF!</definedName>
    <definedName name="碎石40mm" localSheetId="2">[13]附表2材料价格表!#REF!</definedName>
    <definedName name="碎石40mm" localSheetId="3">[14]附表2材料价格表!#REF!</definedName>
    <definedName name="碎石40mm">[15]附表2材料价格表!#REF!</definedName>
    <definedName name="碎石50mm" localSheetId="0">[13]附表2材料价格表!#REF!</definedName>
    <definedName name="碎石50mm" localSheetId="2">[13]附表2材料价格表!#REF!</definedName>
    <definedName name="碎石50mm" localSheetId="3">[14]附表2材料价格表!#REF!</definedName>
    <definedName name="碎石50mm">[15]附表2材料价格表!#REF!</definedName>
    <definedName name="碎石价差" localSheetId="0">[55]主材!$P$10</definedName>
    <definedName name="碎石价差" localSheetId="2">[55]主材!$P$10</definedName>
    <definedName name="碎石价差" localSheetId="24">[55]主材!$P$10</definedName>
    <definedName name="碎石价差" localSheetId="3">[56]主材!$P$10</definedName>
    <definedName name="碎石价差">[57]主材!$P$10</definedName>
    <definedName name="碎石限价" localSheetId="0">[55]主材!$N$10</definedName>
    <definedName name="碎石限价" localSheetId="2">[55]主材!$N$10</definedName>
    <definedName name="碎石限价" localSheetId="24">[55]主材!$N$10</definedName>
    <definedName name="碎石限价" localSheetId="3">[56]主材!$N$10</definedName>
    <definedName name="碎石限价">[57]主材!$N$10</definedName>
    <definedName name="他" localSheetId="24">[82]人工工资!$K$8</definedName>
    <definedName name="他." localSheetId="24">[82]人工工资!$K$8</definedName>
    <definedName name="塔式起重机10" localSheetId="0">[55]台班!$C$34</definedName>
    <definedName name="塔式起重机10" localSheetId="2">[55]台班!$C$34</definedName>
    <definedName name="塔式起重机10" localSheetId="24">[55]台班!$C$34</definedName>
    <definedName name="塔式起重机10" localSheetId="3">[56]台班!$C$34</definedName>
    <definedName name="塔式起重机10">[57]台班!$C$34</definedName>
    <definedName name="塔式起重机10t" localSheetId="0">#REF!</definedName>
    <definedName name="塔式起重机10t" localSheetId="2">#REF!</definedName>
    <definedName name="塔式起重机10t" localSheetId="24">#REF!</definedName>
    <definedName name="塔式起重机10t" localSheetId="3">#REF!</definedName>
    <definedName name="塔式起重机10t">#REF!</definedName>
    <definedName name="塔式起重机25t" localSheetId="0">#REF!</definedName>
    <definedName name="塔式起重机25t" localSheetId="2">#REF!</definedName>
    <definedName name="塔式起重机25t" localSheetId="24">#REF!</definedName>
    <definedName name="塔式起重机25t" localSheetId="3">#REF!</definedName>
    <definedName name="塔式起重机25t">#REF!</definedName>
    <definedName name="塔式起重机6t" localSheetId="0">[13]附表3机械台班!#REF!</definedName>
    <definedName name="塔式起重机6t" localSheetId="2">[13]附表3机械台班!#REF!</definedName>
    <definedName name="塔式起重机6t" localSheetId="3">[14]附表3机械台班!#REF!</definedName>
    <definedName name="塔式起重机6t">[15]附表3机械台班!#REF!</definedName>
    <definedName name="摊铺机TX150" localSheetId="0">[13]附表3机械台班!#REF!</definedName>
    <definedName name="摊铺机TX150" localSheetId="2">[13]附表3机械台班!#REF!</definedName>
    <definedName name="摊铺机TX150" localSheetId="3">[14]附表3机械台班!#REF!</definedName>
    <definedName name="摊铺机TX150">[15]附表3机械台班!#REF!</definedName>
    <definedName name="田间道路工程" localSheetId="0">#REF!</definedName>
    <definedName name="田间道路工程" localSheetId="2">#REF!</definedName>
    <definedName name="田间道路工程" localSheetId="24">#REF!</definedName>
    <definedName name="田间道路工程" localSheetId="3">#REF!</definedName>
    <definedName name="田间道路工程">#REF!</definedName>
    <definedName name="铁垫块" localSheetId="0">[55]次材!$D$7</definedName>
    <definedName name="铁垫块" localSheetId="2">[55]次材!$D$7</definedName>
    <definedName name="铁垫块" localSheetId="24">[55]次材!$D$7</definedName>
    <definedName name="铁垫块" localSheetId="3">[56]次材!$D$7</definedName>
    <definedName name="铁垫块">[57]次材!$D$7</definedName>
    <definedName name="铁钉" localSheetId="0">[55]次材!$D$8</definedName>
    <definedName name="铁钉" localSheetId="2">[55]次材!$D$8</definedName>
    <definedName name="铁钉" localSheetId="24">[55]次材!$D$8</definedName>
    <definedName name="铁钉" localSheetId="3">[56]次材!$D$8</definedName>
    <definedName name="铁钉">[57]次材!$D$8</definedName>
    <definedName name="铁横担_∠63×6×1500" localSheetId="0">[13]附表2材料价格表!#REF!</definedName>
    <definedName name="铁横担_∠63×6×1500" localSheetId="2">[13]附表2材料价格表!#REF!</definedName>
    <definedName name="铁横担_∠63×6×1500" localSheetId="3">[14]附表2材料价格表!#REF!</definedName>
    <definedName name="铁横担_∠63×6×1500">[15]附表2材料价格表!#REF!</definedName>
    <definedName name="铁横担_∠8×8×1700" localSheetId="0">[13]附表2材料价格表!#REF!</definedName>
    <definedName name="铁横担_∠8×8×1700" localSheetId="2">[13]附表2材料价格表!#REF!</definedName>
    <definedName name="铁横担_∠8×8×1700" localSheetId="3">[14]附表2材料价格表!#REF!</definedName>
    <definedName name="铁横担_∠8×8×1700">[15]附表2材料价格表!#REF!</definedName>
    <definedName name="铁横担∠8×8×1700" localSheetId="0">[13]附表2材料价格表!#REF!</definedName>
    <definedName name="铁横担∠8×8×1700" localSheetId="2">[13]附表2材料价格表!#REF!</definedName>
    <definedName name="铁横担∠8×8×1700" localSheetId="3">[14]附表2材料价格表!#REF!</definedName>
    <definedName name="铁横担∠8×8×1700">[15]附表2材料价格表!#REF!</definedName>
    <definedName name="铁横担L6361500" localSheetId="0">[51]附表2材料价格计算表!#REF!</definedName>
    <definedName name="铁横担L6361500" localSheetId="2">[51]附表2材料价格计算表!#REF!</definedName>
    <definedName name="铁横担L6361500" localSheetId="3">[52]附表2材料价格计算表!#REF!</definedName>
    <definedName name="铁横担L6361500">[54]附表2材料价格计算表!#REF!</definedName>
    <definedName name="铁横担L636800" localSheetId="0">[51]附表2材料价格计算表!#REF!</definedName>
    <definedName name="铁横担L636800" localSheetId="2">[51]附表2材料价格计算表!#REF!</definedName>
    <definedName name="铁横担L636800" localSheetId="3">[52]附表2材料价格计算表!#REF!</definedName>
    <definedName name="铁横担L636800">[54]附表2材料价格计算表!#REF!</definedName>
    <definedName name="铁横担L8081700" localSheetId="0">[51]附表2材料价格计算表!#REF!</definedName>
    <definedName name="铁横担L8081700" localSheetId="2">[51]附表2材料价格计算表!#REF!</definedName>
    <definedName name="铁横担L8081700" localSheetId="3">[78]附表2材料价格计算表!#REF!</definedName>
    <definedName name="铁横担L8081700">[53]附表2材料价格计算表!#REF!</definedName>
    <definedName name="铁件" localSheetId="0">[55]次材!$D$9</definedName>
    <definedName name="铁件" localSheetId="2">[55]次材!$D$9</definedName>
    <definedName name="铁件" localSheetId="24">[55]次材!$D$9</definedName>
    <definedName name="铁件" localSheetId="3">[56]次材!$D$9</definedName>
    <definedName name="铁件">[57]次材!$D$9</definedName>
    <definedName name="铁六渠分水闸" localSheetId="0">#REF!</definedName>
    <definedName name="铁六渠分水闸" localSheetId="2">#REF!</definedName>
    <definedName name="铁六渠分水闸" localSheetId="24">#REF!</definedName>
    <definedName name="铁六渠分水闸" localSheetId="3">#REF!</definedName>
    <definedName name="铁六渠分水闸">#REF!</definedName>
    <definedName name="铁六渠节制闸" localSheetId="0">#REF!</definedName>
    <definedName name="铁六渠节制闸" localSheetId="2">#REF!</definedName>
    <definedName name="铁六渠节制闸" localSheetId="24">#REF!</definedName>
    <definedName name="铁六渠节制闸" localSheetId="3">#REF!</definedName>
    <definedName name="铁六渠节制闸">#REF!</definedName>
    <definedName name="铁六渠生产桥" localSheetId="0">#REF!</definedName>
    <definedName name="铁六渠生产桥" localSheetId="2">#REF!</definedName>
    <definedName name="铁六渠生产桥" localSheetId="24">#REF!</definedName>
    <definedName name="铁六渠生产桥" localSheetId="3">#REF!</definedName>
    <definedName name="铁六渠生产桥">#REF!</definedName>
    <definedName name="铁丝" localSheetId="0">[55]次材!$D$10</definedName>
    <definedName name="铁丝" localSheetId="2">[55]次材!$D$10</definedName>
    <definedName name="铁丝" localSheetId="24">[55]次材!$D$10</definedName>
    <definedName name="铁丝" localSheetId="3">[56]次材!$D$10</definedName>
    <definedName name="铁丝">[57]次材!$D$10</definedName>
    <definedName name="铁丝_综合" localSheetId="0">[13]附表2材料价格表!#REF!</definedName>
    <definedName name="铁丝_综合" localSheetId="2">[13]附表2材料价格表!#REF!</definedName>
    <definedName name="铁丝_综合" localSheetId="3">[14]附表2材料价格表!#REF!</definedName>
    <definedName name="铁丝_综合">[15]附表2材料价格表!#REF!</definedName>
    <definedName name="铁丝10" localSheetId="0">[13]附表2材料价格表!#REF!</definedName>
    <definedName name="铁丝10" localSheetId="2">[13]附表2材料价格表!#REF!</definedName>
    <definedName name="铁丝10" localSheetId="3">[14]附表2材料价格表!#REF!</definedName>
    <definedName name="铁丝10">[15]附表2材料价格表!#REF!</definedName>
    <definedName name="铁丝12" localSheetId="0">[13]附表2材料价格表!#REF!</definedName>
    <definedName name="铁丝12" localSheetId="2">[13]附表2材料价格表!#REF!</definedName>
    <definedName name="铁丝12" localSheetId="3">[14]附表2材料价格表!#REF!</definedName>
    <definedName name="铁丝12">[15]附表2材料价格表!#REF!</definedName>
    <definedName name="铁丝14" localSheetId="0">[13]附表2材料价格表!#REF!</definedName>
    <definedName name="铁丝14" localSheetId="2">[13]附表2材料价格表!#REF!</definedName>
    <definedName name="铁丝14" localSheetId="3">[14]附表2材料价格表!#REF!</definedName>
    <definedName name="铁丝14">[15]附表2材料价格表!#REF!</definedName>
    <definedName name="铁丝16" localSheetId="0">[13]附表2材料价格表!#REF!</definedName>
    <definedName name="铁丝16" localSheetId="2">[13]附表2材料价格表!#REF!</definedName>
    <definedName name="铁丝16" localSheetId="3">[14]附表2材料价格表!#REF!</definedName>
    <definedName name="铁丝16">[15]附表2材料价格表!#REF!</definedName>
    <definedName name="铁丝20" localSheetId="0">[13]附表2材料价格表!#REF!</definedName>
    <definedName name="铁丝20" localSheetId="2">[13]附表2材料价格表!#REF!</definedName>
    <definedName name="铁丝20" localSheetId="3">[14]附表2材料价格表!#REF!</definedName>
    <definedName name="铁丝20">[15]附表2材料价格表!#REF!</definedName>
    <definedName name="铁丝22" localSheetId="0">[13]附表2材料价格表!#REF!</definedName>
    <definedName name="铁丝22" localSheetId="2">[13]附表2材料价格表!#REF!</definedName>
    <definedName name="铁丝22" localSheetId="3">[14]附表2材料价格表!#REF!</definedName>
    <definedName name="铁丝22">[15]附表2材料价格表!#REF!</definedName>
    <definedName name="铁丝8" localSheetId="0">[13]附表2材料价格表!#REF!</definedName>
    <definedName name="铁丝8" localSheetId="2">[13]附表2材料价格表!#REF!</definedName>
    <definedName name="铁丝8" localSheetId="3">[14]附表2材料价格表!#REF!</definedName>
    <definedName name="铁丝8">[15]附表2材料价格表!#REF!</definedName>
    <definedName name="亭" localSheetId="3">#REF!</definedName>
    <definedName name="亭">#REF!</definedName>
    <definedName name="亭面" localSheetId="3">#REF!</definedName>
    <definedName name="亭面">#REF!</definedName>
    <definedName name="砼C10M2" localSheetId="0">'[111]表3-8'!$N$7</definedName>
    <definedName name="砼C10M2" localSheetId="2">'[111]表3-8'!$N$7</definedName>
    <definedName name="砼C10M2" localSheetId="24">'[111]表3-8'!$N$7</definedName>
    <definedName name="砼C10M2" localSheetId="3">'[112]表3-8'!$N$7</definedName>
    <definedName name="砼C10M2">'[113]表3-8'!$N$7</definedName>
    <definedName name="砼C15" localSheetId="0">[55]配合比!$O$5</definedName>
    <definedName name="砼C15" localSheetId="2">[55]配合比!$O$5</definedName>
    <definedName name="砼C15" localSheetId="24">[55]配合比!$O$5</definedName>
    <definedName name="砼C15" localSheetId="3">[56]配合比!$O$5</definedName>
    <definedName name="砼C15">[57]配合比!$O$5</definedName>
    <definedName name="砼C20" localSheetId="0">[55]配合比!$O$6</definedName>
    <definedName name="砼C20" localSheetId="2">[55]配合比!$O$6</definedName>
    <definedName name="砼C20" localSheetId="24">[55]配合比!$O$6</definedName>
    <definedName name="砼C20" localSheetId="3">[56]配合比!$O$6</definedName>
    <definedName name="砼C20">[57]配合比!$O$6</definedName>
    <definedName name="砼C20M2" localSheetId="0">'[111]表3-8'!$N$13</definedName>
    <definedName name="砼C20M2" localSheetId="2">'[111]表3-8'!$N$13</definedName>
    <definedName name="砼C20M2" localSheetId="24">'[111]表3-8'!$N$13</definedName>
    <definedName name="砼C20M2" localSheetId="3">'[112]表3-8'!$N$13</definedName>
    <definedName name="砼C20M2">'[113]表3-8'!$N$13</definedName>
    <definedName name="砼C20碎2" localSheetId="0">'[111]表3-8'!$N$9</definedName>
    <definedName name="砼C20碎2" localSheetId="2">'[111]表3-8'!$N$9</definedName>
    <definedName name="砼C20碎2" localSheetId="24">'[111]表3-8'!$N$9</definedName>
    <definedName name="砼C20碎2" localSheetId="3">'[112]表3-8'!$N$9</definedName>
    <definedName name="砼C20碎2">'[113]表3-8'!$N$9</definedName>
    <definedName name="砼C25" localSheetId="0">[55]配合比!$O$7</definedName>
    <definedName name="砼C25" localSheetId="2">[55]配合比!$O$7</definedName>
    <definedName name="砼C25" localSheetId="24">[55]配合比!$O$7</definedName>
    <definedName name="砼C25" localSheetId="3">[56]配合比!$O$7</definedName>
    <definedName name="砼C25">[57]配合比!$O$7</definedName>
    <definedName name="砼C25M2" localSheetId="0">'[111]表3-8'!$N$15</definedName>
    <definedName name="砼C25M2" localSheetId="2">'[111]表3-8'!$N$15</definedName>
    <definedName name="砼C25M2" localSheetId="24">'[111]表3-8'!$N$15</definedName>
    <definedName name="砼C25M2" localSheetId="3">'[112]表3-8'!$N$15</definedName>
    <definedName name="砼C25M2">'[113]表3-8'!$N$15</definedName>
    <definedName name="砼C30M2" localSheetId="0">'[111]表3-8'!$N$17</definedName>
    <definedName name="砼C30M2" localSheetId="2">'[111]表3-8'!$N$17</definedName>
    <definedName name="砼C30M2" localSheetId="24">'[111]表3-8'!$N$17</definedName>
    <definedName name="砼C30M2" localSheetId="3">'[112]表3-8'!$N$17</definedName>
    <definedName name="砼C30M2">'[113]表3-8'!$N$17</definedName>
    <definedName name="砼拌制" localSheetId="0">[55]单价分析表!$F$783</definedName>
    <definedName name="砼拌制" localSheetId="2">[55]单价分析表!$F$783</definedName>
    <definedName name="砼拌制" localSheetId="24">[55]单价分析表!$F$783</definedName>
    <definedName name="砼拌制" localSheetId="3">[56]单价分析表!$F$783</definedName>
    <definedName name="砼拌制">[57]单价分析表!$F$783</definedName>
    <definedName name="砼垂直运输" localSheetId="0">[119]单价分析表!$F$336</definedName>
    <definedName name="砼垂直运输" localSheetId="2">[119]单价分析表!$F$336</definedName>
    <definedName name="砼垂直运输" localSheetId="24">[119]单价分析表!$F$336</definedName>
    <definedName name="砼垂直运输" localSheetId="3">[149]单价分析表!$F$336</definedName>
    <definedName name="砼垂直运输">[150]单价分析表!$F$336</definedName>
    <definedName name="砼吊罐1" localSheetId="0">#REF!</definedName>
    <definedName name="砼吊罐1" localSheetId="2">#REF!</definedName>
    <definedName name="砼吊罐1" localSheetId="24">#REF!</definedName>
    <definedName name="砼吊罐1" localSheetId="3">#REF!</definedName>
    <definedName name="砼吊罐1">#REF!</definedName>
    <definedName name="砼管1000" localSheetId="0">'[93]附表2 材料价格表'!#REF!</definedName>
    <definedName name="砼管1000" localSheetId="2">'[93]附表2 材料价格表'!#REF!</definedName>
    <definedName name="砼管1000" localSheetId="3">'[109]附表2 材料价格表'!#REF!</definedName>
    <definedName name="砼管1000">'[110]附表2 材料价格表'!#REF!</definedName>
    <definedName name="砼管1500" localSheetId="0">'[93]附表2 材料价格表'!#REF!</definedName>
    <definedName name="砼管1500" localSheetId="2">'[93]附表2 材料价格表'!#REF!</definedName>
    <definedName name="砼管1500" localSheetId="3">'[109]附表2 材料价格表'!#REF!</definedName>
    <definedName name="砼管1500">'[110]附表2 材料价格表'!#REF!</definedName>
    <definedName name="砼搅拌机0.4" localSheetId="0">#REF!</definedName>
    <definedName name="砼搅拌机0.4" localSheetId="2">#REF!</definedName>
    <definedName name="砼搅拌机0.4" localSheetId="24">#REF!</definedName>
    <definedName name="砼搅拌机0.4" localSheetId="3">#REF!</definedName>
    <definedName name="砼搅拌机0.4">#REF!</definedName>
    <definedName name="砼水平运输" localSheetId="0">[119]单价分析表!$F$323</definedName>
    <definedName name="砼水平运输" localSheetId="2">[119]单价分析表!$F$323</definedName>
    <definedName name="砼水平运输" localSheetId="24">[119]单价分析表!$F$323</definedName>
    <definedName name="砼水平运输" localSheetId="3">[149]单价分析表!$F$323</definedName>
    <definedName name="砼水平运输">[150]单价分析表!$F$323</definedName>
    <definedName name="砼运输" localSheetId="0">[55]单价分析表!$F$793</definedName>
    <definedName name="砼运输" localSheetId="2">[55]单价分析表!$F$793</definedName>
    <definedName name="砼运输" localSheetId="24">[55]单价分析表!$F$793</definedName>
    <definedName name="砼运输" localSheetId="3">[56]单价分析表!$F$793</definedName>
    <definedName name="砼运输">[57]单价分析表!$F$793</definedName>
    <definedName name="铜电焊条" localSheetId="0">[13]附表2材料价格表!#REF!</definedName>
    <definedName name="铜电焊条" localSheetId="2">[13]附表2材料价格表!#REF!</definedName>
    <definedName name="铜电焊条" localSheetId="3">[14]附表2材料价格表!#REF!</definedName>
    <definedName name="铜电焊条">[15]附表2材料价格表!#REF!</definedName>
    <definedName name="土措" localSheetId="0">[55]Sheet3!$H$4</definedName>
    <definedName name="土措" localSheetId="2">[55]Sheet3!$H$4</definedName>
    <definedName name="土措" localSheetId="24">[55]Sheet3!$H$4</definedName>
    <definedName name="土措" localSheetId="3">[56]Sheet3!$H$4</definedName>
    <definedName name="土措">[57]Sheet3!$H$4</definedName>
    <definedName name="土措施费南" localSheetId="0">#REF!</definedName>
    <definedName name="土措施费南" localSheetId="2">#REF!</definedName>
    <definedName name="土措施费南" localSheetId="24">#REF!</definedName>
    <definedName name="土措施费南" localSheetId="3">#REF!</definedName>
    <definedName name="土措施费南">#REF!</definedName>
    <definedName name="土地平整" localSheetId="0">[91]表3工程施工费表!$I$8</definedName>
    <definedName name="土地平整" localSheetId="2">[91]表3工程施工费表!$I$8</definedName>
    <definedName name="土地平整" localSheetId="24">[91]表3工程施工费表!$I$8</definedName>
    <definedName name="土地平整" localSheetId="3">[92]表3工程施工费表!$I$8</definedName>
    <definedName name="土地平整">[93]表3工程施工费表!$I$8</definedName>
    <definedName name="土地平整工程" localSheetId="0">#REF!</definedName>
    <definedName name="土地平整工程" localSheetId="2">#REF!</definedName>
    <definedName name="土地平整工程" localSheetId="24">#REF!</definedName>
    <definedName name="土地平整工程" localSheetId="3">#REF!</definedName>
    <definedName name="土地平整工程">#REF!</definedName>
    <definedName name="土方" localSheetId="3">#REF!</definedName>
    <definedName name="土方">#REF!</definedName>
    <definedName name="土间" localSheetId="0">[55]Sheet3!$F$15</definedName>
    <definedName name="土间" localSheetId="2">[55]Sheet3!$F$15</definedName>
    <definedName name="土间" localSheetId="24">[55]Sheet3!$F$15</definedName>
    <definedName name="土间" localSheetId="3">[56]Sheet3!$F$15</definedName>
    <definedName name="土间">[57]Sheet3!$F$15</definedName>
    <definedName name="土间接费南" localSheetId="0">#REF!</definedName>
    <definedName name="土间接费南" localSheetId="2">#REF!</definedName>
    <definedName name="土间接费南" localSheetId="24">#REF!</definedName>
    <definedName name="土间接费南" localSheetId="3">#REF!</definedName>
    <definedName name="土间接费南">#REF!</definedName>
    <definedName name="土建单价" localSheetId="0">#REF!</definedName>
    <definedName name="土建单价" localSheetId="2">#REF!</definedName>
    <definedName name="土建单价" localSheetId="24">#REF!</definedName>
    <definedName name="土建单价" localSheetId="3">#REF!</definedName>
    <definedName name="土建单价">#REF!</definedName>
    <definedName name="土建费率" localSheetId="0">#REF!</definedName>
    <definedName name="土建费率" localSheetId="2">#REF!</definedName>
    <definedName name="土建费率" localSheetId="24">#REF!</definedName>
    <definedName name="土建费率" localSheetId="3">#REF!</definedName>
    <definedName name="土建费率">#REF!</definedName>
    <definedName name="土建工程量" localSheetId="0">#REF!</definedName>
    <definedName name="土建工程量" localSheetId="2">#REF!</definedName>
    <definedName name="土建工程量" localSheetId="24">#REF!</definedName>
    <definedName name="土建工程量" localSheetId="3">#REF!</definedName>
    <definedName name="土建工程量">#REF!</definedName>
    <definedName name="土施工费南" localSheetId="0">'[94]表3工程施工费南 '!$H$6</definedName>
    <definedName name="土施工费南" localSheetId="2">'[94]表3工程施工费南 '!$H$6</definedName>
    <definedName name="土施工费南" localSheetId="24">'[94]表3工程施工费南 '!$H$6</definedName>
    <definedName name="土施工费南" localSheetId="3">'[95]表3工程施工费南 '!$H$6</definedName>
    <definedName name="土施工费南">'[96]表3工程施工费南 '!$H$6</definedName>
    <definedName name="土直接工程费南" localSheetId="0">#REF!</definedName>
    <definedName name="土直接工程费南" localSheetId="2">#REF!</definedName>
    <definedName name="土直接工程费南" localSheetId="24">#REF!</definedName>
    <definedName name="土直接工程费南" localSheetId="3">#REF!</definedName>
    <definedName name="土直接工程费南">#REF!</definedName>
    <definedName name="推土机103kw" localSheetId="0">[13]附表3机械台班!#REF!</definedName>
    <definedName name="推土机103kw" localSheetId="2">[13]附表3机械台班!#REF!</definedName>
    <definedName name="推土机103kw" localSheetId="3">[14]附表3机械台班!#REF!</definedName>
    <definedName name="推土机103kw">[15]附表3机械台班!#REF!</definedName>
    <definedName name="推土机55kw" localSheetId="0">[13]附表3机械台班!#REF!</definedName>
    <definedName name="推土机55kw" localSheetId="2">[13]附表3机械台班!#REF!</definedName>
    <definedName name="推土机55kw" localSheetId="3">[14]附表3机械台班!#REF!</definedName>
    <definedName name="推土机55kw">[15]附表3机械台班!#REF!</definedName>
    <definedName name="推土机59" localSheetId="0">[55]台班!$C$9</definedName>
    <definedName name="推土机59" localSheetId="2">[55]台班!$C$9</definedName>
    <definedName name="推土机59" localSheetId="24">[55]台班!$C$9</definedName>
    <definedName name="推土机59" localSheetId="3">[56]台班!$C$9</definedName>
    <definedName name="推土机59">[57]台班!$C$9</definedName>
    <definedName name="推土机59kw" localSheetId="0">#REF!</definedName>
    <definedName name="推土机59kw" localSheetId="2">#REF!</definedName>
    <definedName name="推土机59kw" localSheetId="24">#REF!</definedName>
    <definedName name="推土机59kw" localSheetId="3">#REF!</definedName>
    <definedName name="推土机59kw">#REF!</definedName>
    <definedName name="推土机74" localSheetId="0">[55]台班!$C$10</definedName>
    <definedName name="推土机74" localSheetId="2">[55]台班!$C$10</definedName>
    <definedName name="推土机74" localSheetId="24">[55]台班!$C$10</definedName>
    <definedName name="推土机74" localSheetId="3">[56]台班!$C$10</definedName>
    <definedName name="推土机74">[57]台班!$C$10</definedName>
    <definedName name="推土机74kw" localSheetId="0">#REF!</definedName>
    <definedName name="推土机74kw" localSheetId="2">#REF!</definedName>
    <definedName name="推土机74kw" localSheetId="24">#REF!</definedName>
    <definedName name="推土机74kw" localSheetId="3">#REF!</definedName>
    <definedName name="推土机74kw">#REF!</definedName>
    <definedName name="推土机88kw" localSheetId="0">[13]附表3机械台班!#REF!</definedName>
    <definedName name="推土机88kw" localSheetId="2">[13]附表3机械台班!#REF!</definedName>
    <definedName name="推土机88kw" localSheetId="3">[14]附表3机械台班!#REF!</definedName>
    <definedName name="推土机88kw">[15]附表3机械台班!#REF!</definedName>
    <definedName name="推土机89kw" localSheetId="0">[13]附表3机械台班!#REF!</definedName>
    <definedName name="推土机89kw" localSheetId="2">[13]附表3机械台班!#REF!</definedName>
    <definedName name="推土机89kw" localSheetId="3">[14]附表3机械台班!#REF!</definedName>
    <definedName name="推土机89kw">[15]附表3机械台班!#REF!</definedName>
    <definedName name="推土机功率59kw" localSheetId="24">[107]台班单价!$C$22</definedName>
    <definedName name="推土机功率59kw">[108]台班单价!$C$22</definedName>
    <definedName name="推土机功率74KW" localSheetId="24">[107]台班单价!$C$23</definedName>
    <definedName name="推土机功率74KW">[108]台班单价!$C$23</definedName>
    <definedName name="退水" localSheetId="0">'[79]估算表-干沟、支干沟'!$M$10</definedName>
    <definedName name="退水" localSheetId="2">'[79]估算表-干沟、支干沟'!$M$10</definedName>
    <definedName name="退水" localSheetId="24">'[79]估算表-干沟、支干沟'!$M$10</definedName>
    <definedName name="退水" localSheetId="3">'[80]估算表-干沟、支干沟'!$M$10</definedName>
    <definedName name="退水">'[81]估算表-干沟、支干沟'!$M$10</definedName>
    <definedName name="拖拉机55kw" localSheetId="0">[13]附表3机械台班!#REF!</definedName>
    <definedName name="拖拉机55kw" localSheetId="2">[13]附表3机械台班!#REF!</definedName>
    <definedName name="拖拉机55kw" localSheetId="3">[14]附表3机械台班!#REF!</definedName>
    <definedName name="拖拉机55kw">[15]附表3机械台班!#REF!</definedName>
    <definedName name="拖拉机59" localSheetId="0">[55]台班!$C$64</definedName>
    <definedName name="拖拉机59" localSheetId="2">[55]台班!$C$64</definedName>
    <definedName name="拖拉机59" localSheetId="24">[55]台班!$C$64</definedName>
    <definedName name="拖拉机59" localSheetId="3">[56]台班!$C$64</definedName>
    <definedName name="拖拉机59">[57]台班!$C$64</definedName>
    <definedName name="拖拉机59KW" localSheetId="0">#REF!</definedName>
    <definedName name="拖拉机59KW" localSheetId="2">#REF!</definedName>
    <definedName name="拖拉机59KW" localSheetId="24">#REF!</definedName>
    <definedName name="拖拉机59KW" localSheetId="3">#REF!</definedName>
    <definedName name="拖拉机59KW">#REF!</definedName>
    <definedName name="拖拉机74kw" localSheetId="0">#REF!</definedName>
    <definedName name="拖拉机74kw" localSheetId="2">#REF!</definedName>
    <definedName name="拖拉机74kw" localSheetId="24">#REF!</definedName>
    <definedName name="拖拉机74kw" localSheetId="3">#REF!</definedName>
    <definedName name="拖拉机74kw">#REF!</definedName>
    <definedName name="拖拉机履带式功率59kw" localSheetId="0">[111]机械汇总!$K$16</definedName>
    <definedName name="拖拉机履带式功率59kw" localSheetId="2">[111]机械汇总!$K$16</definedName>
    <definedName name="拖拉机履带式功率59kw" localSheetId="24">[111]机械汇总!$K$16</definedName>
    <definedName name="拖拉机履带式功率59kw" localSheetId="3">[112]机械汇总!$K$16</definedName>
    <definedName name="拖拉机履带式功率59kw">[113]机械汇总!$K$16</definedName>
    <definedName name="拖拉机履带式功率74kw" localSheetId="0">[111]机械汇总!$K$18</definedName>
    <definedName name="拖拉机履带式功率74kw" localSheetId="2">[111]机械汇总!$K$18</definedName>
    <definedName name="拖拉机履带式功率74kw" localSheetId="24">[111]机械汇总!$K$18</definedName>
    <definedName name="拖拉机履带式功率74kw" localSheetId="3">[112]机械汇总!$K$18</definedName>
    <definedName name="拖拉机履带式功率74kw">[113]机械汇总!$K$18</definedName>
    <definedName name="挖掘机1.0油动" localSheetId="0">#REF!</definedName>
    <definedName name="挖掘机1.0油动" localSheetId="2">#REF!</definedName>
    <definedName name="挖掘机1.0油动" localSheetId="24">#REF!</definedName>
    <definedName name="挖掘机1.0油动" localSheetId="3">#REF!</definedName>
    <definedName name="挖掘机1.0油动">#REF!</definedName>
    <definedName name="挖掘机1m3" localSheetId="0">[13]附表3机械台班!#REF!</definedName>
    <definedName name="挖掘机1m3" localSheetId="2">[13]附表3机械台班!#REF!</definedName>
    <definedName name="挖掘机1m3" localSheetId="3">[14]附表3机械台班!#REF!</definedName>
    <definedName name="挖掘机1m3">[15]附表3机械台班!#REF!</definedName>
    <definedName name="蛙式打夯机2.8" localSheetId="0">[55]台班!$C$15</definedName>
    <definedName name="蛙式打夯机2.8" localSheetId="2">[55]台班!$C$15</definedName>
    <definedName name="蛙式打夯机2.8" localSheetId="24">[55]台班!$C$15</definedName>
    <definedName name="蛙式打夯机2.8" localSheetId="3">[56]台班!$C$15</definedName>
    <definedName name="蛙式打夯机2.8">[57]台班!$C$15</definedName>
    <definedName name="蛙式打夯机2.8k" localSheetId="0">[13]附表3机械台班!#REF!</definedName>
    <definedName name="蛙式打夯机2.8k" localSheetId="2">[13]附表3机械台班!#REF!</definedName>
    <definedName name="蛙式打夯机2.8k" localSheetId="3">[14]附表3机械台班!#REF!</definedName>
    <definedName name="蛙式打夯机2.8k">[15]附表3机械台班!#REF!</definedName>
    <definedName name="蛙式打夯机2.8KW" localSheetId="0">#REF!</definedName>
    <definedName name="蛙式打夯机2.8KW" localSheetId="2">#REF!</definedName>
    <definedName name="蛙式打夯机2.8KW" localSheetId="24">#REF!</definedName>
    <definedName name="蛙式打夯机2.8KW" localSheetId="3">#REF!</definedName>
    <definedName name="蛙式打夯机2.8KW">#REF!</definedName>
    <definedName name="蛙式打夯机功率2.8kw" localSheetId="0">[111]机械汇总!$K$30</definedName>
    <definedName name="蛙式打夯机功率2.8kw" localSheetId="2">[111]机械汇总!$K$30</definedName>
    <definedName name="蛙式打夯机功率2.8kw" localSheetId="24">[111]机械汇总!$K$30</definedName>
    <definedName name="蛙式打夯机功率2.8kw" localSheetId="3">[112]机械汇总!$K$30</definedName>
    <definedName name="蛙式打夯机功率2.8kw">[113]机械汇总!$K$30</definedName>
    <definedName name="外丝" localSheetId="24">'[21]附表2 材料价格表'!$L$115</definedName>
    <definedName name="外丝">'[22]附表2 材料价格表'!$L$115</definedName>
    <definedName name="弯头12590" localSheetId="3">[19]附表2!#REF!</definedName>
    <definedName name="弯头12590">[20]附表2!#REF!</definedName>
    <definedName name="弯头200" localSheetId="24">'[21]附表2 材料价格表'!$L$134</definedName>
    <definedName name="弯头200">'[22]附表2 材料价格表'!$L$134</definedName>
    <definedName name="弯头20045" localSheetId="3">[19]附表2!#REF!</definedName>
    <definedName name="弯头20045">[20]附表2!#REF!</definedName>
    <definedName name="弯头250" localSheetId="24">'[21]附表2 材料价格表'!$L$135</definedName>
    <definedName name="弯头250">'[22]附表2 材料价格表'!$L$135</definedName>
    <definedName name="弯头25090" localSheetId="3">[19]附表2!#REF!</definedName>
    <definedName name="弯头25090">[20]附表2!#REF!</definedName>
    <definedName name="弯头Dg120" localSheetId="0">[13]附表2材料价格表!#REF!</definedName>
    <definedName name="弯头Dg120" localSheetId="2">[13]附表2材料价格表!#REF!</definedName>
    <definedName name="弯头Dg120" localSheetId="3">[14]附表2材料价格表!#REF!</definedName>
    <definedName name="弯头Dg120">[15]附表2材料价格表!#REF!</definedName>
    <definedName name="弯头Dg160" localSheetId="0">[13]附表2材料价格表!#REF!</definedName>
    <definedName name="弯头Dg160" localSheetId="2">[13]附表2材料价格表!#REF!</definedName>
    <definedName name="弯头Dg160" localSheetId="3">[14]附表2材料价格表!#REF!</definedName>
    <definedName name="弯头Dg160">[15]附表2材料价格表!#REF!</definedName>
    <definedName name="弯头Dg180" localSheetId="0">[13]附表2材料价格表!#REF!</definedName>
    <definedName name="弯头Dg180" localSheetId="2">[13]附表2材料价格表!#REF!</definedName>
    <definedName name="弯头Dg180" localSheetId="3">[14]附表2材料价格表!#REF!</definedName>
    <definedName name="弯头Dg180">[15]附表2材料价格表!#REF!</definedName>
    <definedName name="弯头Dg90" localSheetId="0">[13]附表2材料价格表!#REF!</definedName>
    <definedName name="弯头Dg90" localSheetId="2">[13]附表2材料价格表!#REF!</definedName>
    <definedName name="弯头Dg90" localSheetId="3">[14]附表2材料价格表!#REF!</definedName>
    <definedName name="弯头Dg90">[15]附表2材料价格表!#REF!</definedName>
    <definedName name="弯头φ110" localSheetId="0">[13]附表2材料价格表!#REF!</definedName>
    <definedName name="弯头φ110" localSheetId="2">[13]附表2材料价格表!#REF!</definedName>
    <definedName name="弯头φ110" localSheetId="3">[14]附表2材料价格表!#REF!</definedName>
    <definedName name="弯头φ110">[15]附表2材料价格表!#REF!</definedName>
    <definedName name="弯头φ120_90度" localSheetId="0">[13]附表2材料价格表!#REF!</definedName>
    <definedName name="弯头φ120_90度" localSheetId="2">[13]附表2材料价格表!#REF!</definedName>
    <definedName name="弯头φ120_90度" localSheetId="3">[14]附表2材料价格表!#REF!</definedName>
    <definedName name="弯头φ120_90度">[15]附表2材料价格表!#REF!</definedName>
    <definedName name="弯头φ140_90度" localSheetId="0">[13]附表2材料价格表!#REF!</definedName>
    <definedName name="弯头φ140_90度" localSheetId="2">[13]附表2材料价格表!#REF!</definedName>
    <definedName name="弯头φ140_90度" localSheetId="3">[14]附表2材料价格表!#REF!</definedName>
    <definedName name="弯头φ140_90度">[15]附表2材料价格表!#REF!</definedName>
    <definedName name="弯头φ160" localSheetId="0">[13]附表2材料价格表!#REF!</definedName>
    <definedName name="弯头φ160" localSheetId="2">[13]附表2材料价格表!#REF!</definedName>
    <definedName name="弯头φ160" localSheetId="3">[14]附表2材料价格表!#REF!</definedName>
    <definedName name="弯头φ160">[15]附表2材料价格表!#REF!</definedName>
    <definedName name="弯头φ160_90度" localSheetId="0">[13]附表2材料价格表!#REF!</definedName>
    <definedName name="弯头φ160_90度" localSheetId="2">[13]附表2材料价格表!#REF!</definedName>
    <definedName name="弯头φ160_90度" localSheetId="3">[14]附表2材料价格表!#REF!</definedName>
    <definedName name="弯头φ160_90度">[15]附表2材料价格表!#REF!</definedName>
    <definedName name="弯头φ180" localSheetId="0">[13]附表2材料价格表!#REF!</definedName>
    <definedName name="弯头φ180" localSheetId="2">[13]附表2材料价格表!#REF!</definedName>
    <definedName name="弯头φ180" localSheetId="3">[14]附表2材料价格表!#REF!</definedName>
    <definedName name="弯头φ180">[15]附表2材料价格表!#REF!</definedName>
    <definedName name="弯头φ90" localSheetId="0">[13]附表2材料价格表!#REF!</definedName>
    <definedName name="弯头φ90" localSheetId="2">[13]附表2材料价格表!#REF!</definedName>
    <definedName name="弯头φ90" localSheetId="3">[14]附表2材料价格表!#REF!</definedName>
    <definedName name="弯头φ90">[15]附表2材料价格表!#REF!</definedName>
    <definedName name="碗头挂板W_7B" localSheetId="0">[13]附表2材料价格表!#REF!</definedName>
    <definedName name="碗头挂板W_7B" localSheetId="2">[13]附表2材料价格表!#REF!</definedName>
    <definedName name="碗头挂板W_7B" localSheetId="3">[14]附表2材料价格表!#REF!</definedName>
    <definedName name="碗头挂板W_7B">[15]附表2材料价格表!#REF!</definedName>
    <definedName name="万元" localSheetId="0">'[72]#REF'!$H$2</definedName>
    <definedName name="万元" localSheetId="2">'[72]#REF'!$H$2</definedName>
    <definedName name="万元" localSheetId="24">'[72]#REF'!$H$2</definedName>
    <definedName name="万元" localSheetId="3">'[84]#REF'!$H$2</definedName>
    <definedName name="万元">'[85]#REF'!$H$2</definedName>
    <definedName name="桅杆起重机10" localSheetId="0">[55]台班!$C$42</definedName>
    <definedName name="桅杆起重机10" localSheetId="2">[55]台班!$C$42</definedName>
    <definedName name="桅杆起重机10" localSheetId="24">[55]台班!$C$42</definedName>
    <definedName name="桅杆起重机10" localSheetId="3">[56]台班!$C$42</definedName>
    <definedName name="桅杆起重机10">[57]台班!$C$42</definedName>
    <definedName name="桅杆起重机10t" localSheetId="0">[111]机械汇总!$K$102</definedName>
    <definedName name="桅杆起重机10t" localSheetId="2">[111]机械汇总!$K$102</definedName>
    <definedName name="桅杆起重机10t" localSheetId="24">[111]机械汇总!$K$102</definedName>
    <definedName name="桅杆起重机10t" localSheetId="3">[112]机械汇总!$K$102</definedName>
    <definedName name="桅杆起重机10t">[113]机械汇总!$K$102</definedName>
    <definedName name="我" localSheetId="24">[82]人工工资!$K$8</definedName>
    <definedName name="我" localSheetId="3">#REF!</definedName>
    <definedName name="我">#REF!</definedName>
    <definedName name="西瓜滴灌" hidden="1">{"'现金流量表（全部投资）'!$B$4:$P$23"}</definedName>
    <definedName name="西瓜滴灌_1">{"'现金流量表（全部投资）'!$B$4:$P$23"}</definedName>
    <definedName name="系数1" localSheetId="0">#REF!</definedName>
    <definedName name="系数1" localSheetId="2">#REF!</definedName>
    <definedName name="系数1" localSheetId="24">#REF!</definedName>
    <definedName name="系数1" localSheetId="3">#REF!</definedName>
    <definedName name="系数1">#REF!</definedName>
    <definedName name="系数3" localSheetId="0">#REF!</definedName>
    <definedName name="系数3" localSheetId="2">#REF!</definedName>
    <definedName name="系数3" localSheetId="24">#REF!</definedName>
    <definedName name="系数3" localSheetId="3">#REF!</definedName>
    <definedName name="系数3">#REF!</definedName>
    <definedName name="细石砼C20" localSheetId="0">[55]配合比!$O$8</definedName>
    <definedName name="细石砼C20" localSheetId="2">[55]配合比!$O$8</definedName>
    <definedName name="细石砼C20" localSheetId="24">[55]配合比!$O$8</definedName>
    <definedName name="细石砼C20" localSheetId="3">[56]配合比!$O$8</definedName>
    <definedName name="细石砼C20">[57]配合比!$O$8</definedName>
    <definedName name="纤细估算" localSheetId="0" hidden="1">#REF!</definedName>
    <definedName name="纤细估算" localSheetId="2" hidden="1">#REF!</definedName>
    <definedName name="纤细估算" localSheetId="24" hidden="1">#REF!</definedName>
    <definedName name="纤细估算" localSheetId="3" hidden="1">#REF!</definedName>
    <definedName name="纤细估算" hidden="1">#REF!</definedName>
    <definedName name="现场安装" localSheetId="0">[119]基础参数值!$F$23</definedName>
    <definedName name="现场安装" localSheetId="2">[119]基础参数值!$F$23</definedName>
    <definedName name="现场安装" localSheetId="24">[119]基础参数值!$F$23</definedName>
    <definedName name="现场安装" localSheetId="3">[149]基础参数值!$F$23</definedName>
    <definedName name="现场安装">[150]基础参数值!$F$23</definedName>
    <definedName name="现场钢筋" localSheetId="0">[119]基础参数值!$F$19</definedName>
    <definedName name="现场钢筋" localSheetId="2">[119]基础参数值!$F$19</definedName>
    <definedName name="现场钢筋" localSheetId="24">[119]基础参数值!$F$19</definedName>
    <definedName name="现场钢筋" localSheetId="3">[149]基础参数值!$F$19</definedName>
    <definedName name="现场钢筋">[150]基础参数值!$F$19</definedName>
    <definedName name="现场其它" localSheetId="0">[119]基础参数值!$F$22</definedName>
    <definedName name="现场其它" localSheetId="2">[119]基础参数值!$F$22</definedName>
    <definedName name="现场其它" localSheetId="24">[119]基础参数值!$F$22</definedName>
    <definedName name="现场其它" localSheetId="3">[149]基础参数值!$F$22</definedName>
    <definedName name="现场其它">[150]基础参数值!$F$22</definedName>
    <definedName name="现场砌石" localSheetId="0">[119]基础参数值!$F$17</definedName>
    <definedName name="现场砌石" localSheetId="2">[119]基础参数值!$F$17</definedName>
    <definedName name="现场砌石" localSheetId="24">[119]基础参数值!$F$17</definedName>
    <definedName name="现场砌石" localSheetId="3">[149]基础参数值!$F$17</definedName>
    <definedName name="现场砌石">[150]基础参数值!$F$17</definedName>
    <definedName name="现场石方" localSheetId="24">[82]基础参数值!$F$16</definedName>
    <definedName name="现场疏浚" localSheetId="24">[82]基础参数值!$F$21</definedName>
    <definedName name="现场砼" localSheetId="0">[119]基础参数值!$F$18</definedName>
    <definedName name="现场砼" localSheetId="2">[119]基础参数值!$F$18</definedName>
    <definedName name="现场砼" localSheetId="24">[119]基础参数值!$F$18</definedName>
    <definedName name="现场砼" localSheetId="3">[149]基础参数值!$F$18</definedName>
    <definedName name="现场砼">[150]基础参数值!$F$18</definedName>
    <definedName name="现场土方" localSheetId="0">[119]基础参数值!$F$15</definedName>
    <definedName name="现场土方" localSheetId="2">[119]基础参数值!$F$15</definedName>
    <definedName name="现场土方" localSheetId="24">[119]基础参数值!$F$15</definedName>
    <definedName name="现场土方" localSheetId="3">[149]基础参数值!$F$15</definedName>
    <definedName name="现场土方">[150]基础参数值!$F$15</definedName>
    <definedName name="现场钻孔" localSheetId="0">[119]基础参数值!$F$20</definedName>
    <definedName name="现场钻孔" localSheetId="2">[119]基础参数值!$F$20</definedName>
    <definedName name="现场钻孔" localSheetId="24">[119]基础参数值!$F$20</definedName>
    <definedName name="现场钻孔" localSheetId="3">[149]基础参数值!$F$20</definedName>
    <definedName name="现场钻孔">[150]基础参数值!$F$20</definedName>
    <definedName name="线夹" localSheetId="0">[13]附表2材料价格表!#REF!</definedName>
    <definedName name="线夹" localSheetId="2">[13]附表2材料价格表!#REF!</definedName>
    <definedName name="线夹" localSheetId="3">[14]附表2材料价格表!#REF!</definedName>
    <definedName name="线夹">[15]附表2材料价格表!#REF!</definedName>
    <definedName name="橡胶绝缘线" localSheetId="0">[51]附表2材料价格计算表!#REF!</definedName>
    <definedName name="橡胶绝缘线" localSheetId="2">[51]附表2材料价格计算表!#REF!</definedName>
    <definedName name="橡胶绝缘线" localSheetId="3">[52]附表2材料价格计算表!#REF!</definedName>
    <definedName name="橡胶绝缘线">[54]附表2材料价格计算表!#REF!</definedName>
    <definedName name="橡胶石棉板" localSheetId="0">[13]附表2材料价格表!#REF!</definedName>
    <definedName name="橡胶石棉板" localSheetId="2">[13]附表2材料价格表!#REF!</definedName>
    <definedName name="橡胶石棉板" localSheetId="3">[14]附表2材料价格表!#REF!</definedName>
    <definedName name="橡胶石棉板">[15]附表2材料价格表!#REF!</definedName>
    <definedName name="橡胶止水带" localSheetId="0">[55]次材!$D$32</definedName>
    <definedName name="橡胶止水带" localSheetId="2">[55]次材!$D$32</definedName>
    <definedName name="橡胶止水带" localSheetId="24">[55]次材!$D$32</definedName>
    <definedName name="橡胶止水带" localSheetId="3">[56]次材!$D$32</definedName>
    <definedName name="橡胶止水带">[57]次材!$D$32</definedName>
    <definedName name="橡胶止水圈_1000" localSheetId="0">[13]附表2材料价格表!#REF!</definedName>
    <definedName name="橡胶止水圈_1000" localSheetId="2">[13]附表2材料价格表!#REF!</definedName>
    <definedName name="橡胶止水圈_1000" localSheetId="3">[14]附表2材料价格表!#REF!</definedName>
    <definedName name="橡胶止水圈_1000">[15]附表2材料价格表!#REF!</definedName>
    <definedName name="橡胶止水圈_600" localSheetId="0">[13]附表2材料价格表!#REF!</definedName>
    <definedName name="橡胶止水圈_600" localSheetId="2">[13]附表2材料价格表!#REF!</definedName>
    <definedName name="橡胶止水圈_600" localSheetId="3">[14]附表2材料价格表!#REF!</definedName>
    <definedName name="橡胶止水圈_600">[15]附表2材料价格表!#REF!</definedName>
    <definedName name="橡胶止水圈DN1000" localSheetId="0">[117]附表2材料价格计算表!$D$47</definedName>
    <definedName name="橡胶止水圈DN1000" localSheetId="2">[117]附表2材料价格计算表!$D$47</definedName>
    <definedName name="橡胶止水圈DN1000" localSheetId="24">[117]附表2材料价格计算表!$D$47</definedName>
    <definedName name="橡胶止水圈DN1000" localSheetId="3">[118]附表2材料价格计算表!$D$47</definedName>
    <definedName name="橡胶止水圈DN1000">[119]附表2材料价格计算表!$D$47</definedName>
    <definedName name="橡胶止水圈DN400" localSheetId="0">[111]材价汇!$D$44</definedName>
    <definedName name="橡胶止水圈DN400" localSheetId="2">[111]材价汇!$D$44</definedName>
    <definedName name="橡胶止水圈DN400" localSheetId="24">[111]材价汇!$D$44</definedName>
    <definedName name="橡胶止水圈DN400" localSheetId="3">[112]材价汇!$D$44</definedName>
    <definedName name="橡胶止水圈DN400">[113]材价汇!$D$44</definedName>
    <definedName name="橡胶止水圈DN500" localSheetId="0">[111]材价汇!$D$45</definedName>
    <definedName name="橡胶止水圈DN500" localSheetId="2">[111]材价汇!$D$45</definedName>
    <definedName name="橡胶止水圈DN500" localSheetId="24">[111]材价汇!$D$45</definedName>
    <definedName name="橡胶止水圈DN500" localSheetId="3">[112]材价汇!$D$45</definedName>
    <definedName name="橡胶止水圈DN500">[113]材价汇!$D$45</definedName>
    <definedName name="橡胶止水圈DN600" localSheetId="0">[51]附表2材料价格计算表!#REF!</definedName>
    <definedName name="橡胶止水圈DN600" localSheetId="2">[51]附表2材料价格计算表!#REF!</definedName>
    <definedName name="橡胶止水圈DN600" localSheetId="3">[52]附表2材料价格计算表!#REF!</definedName>
    <definedName name="橡胶止水圈DN600">[54]附表2材料价格计算表!#REF!</definedName>
    <definedName name="橡胶止水圈DN800" localSheetId="0">[111]材价汇!$D$46</definedName>
    <definedName name="橡胶止水圈DN800" localSheetId="2">[111]材价汇!$D$46</definedName>
    <definedName name="橡胶止水圈DN800" localSheetId="24">[111]材价汇!$D$46</definedName>
    <definedName name="橡胶止水圈DN800" localSheetId="3">[112]材价汇!$D$46</definedName>
    <definedName name="橡胶止水圈DN800">[113]材价汇!$D$46</definedName>
    <definedName name="橡皮绝缘线" localSheetId="0">[51]附表2材料价格计算表!#REF!</definedName>
    <definedName name="橡皮绝缘线" localSheetId="2">[51]附表2材料价格计算表!#REF!</definedName>
    <definedName name="橡皮绝缘线" localSheetId="3">[52]附表2材料价格计算表!#REF!</definedName>
    <definedName name="橡皮绝缘线">[54]附表2材料价格计算表!#REF!</definedName>
    <definedName name="小品" localSheetId="3">#REF!</definedName>
    <definedName name="小品">#REF!</definedName>
    <definedName name="小型挖掘机0.25" localSheetId="0">[55]台班!$C$19</definedName>
    <definedName name="小型挖掘机0.25" localSheetId="2">[55]台班!$C$19</definedName>
    <definedName name="小型挖掘机0.25" localSheetId="24">[55]台班!$C$19</definedName>
    <definedName name="小型挖掘机0.25" localSheetId="3">[56]台班!$C$19</definedName>
    <definedName name="小型挖掘机0.25">[57]台班!$C$19</definedName>
    <definedName name="楔形线夹_NX_2" localSheetId="0">[13]附表2材料价格表!#REF!</definedName>
    <definedName name="楔形线夹_NX_2" localSheetId="2">[13]附表2材料价格表!#REF!</definedName>
    <definedName name="楔形线夹_NX_2" localSheetId="3">[14]附表2材料价格表!#REF!</definedName>
    <definedName name="楔形线夹_NX_2">[15]附表2材料价格表!#REF!</definedName>
    <definedName name="楔形线夹NX_1" localSheetId="0">[13]附表2材料价格表!#REF!</definedName>
    <definedName name="楔形线夹NX_1" localSheetId="2">[13]附表2材料价格表!#REF!</definedName>
    <definedName name="楔形线夹NX_1" localSheetId="3">[14]附表2材料价格表!#REF!</definedName>
    <definedName name="楔形线夹NX_1">[15]附表2材料价格表!#REF!</definedName>
    <definedName name="楔形线夹NX_2" localSheetId="0">[13]附表2材料价格表!#REF!</definedName>
    <definedName name="楔形线夹NX_2" localSheetId="2">[13]附表2材料价格表!#REF!</definedName>
    <definedName name="楔形线夹NX_2" localSheetId="3">[14]附表2材料价格表!#REF!</definedName>
    <definedName name="楔形线夹NX_2">[15]附表2材料价格表!#REF!</definedName>
    <definedName name="楔型线夹NX2" localSheetId="0">[51]附表2材料价格计算表!#REF!</definedName>
    <definedName name="楔型线夹NX2" localSheetId="2">[51]附表2材料价格计算表!#REF!</definedName>
    <definedName name="楔型线夹NX2" localSheetId="3">[52]附表2材料价格计算表!#REF!</definedName>
    <definedName name="楔型线夹NX2">[54]附表2材料价格计算表!#REF!</definedName>
    <definedName name="泄水阀" localSheetId="0">[13]附表2材料价格表!#REF!</definedName>
    <definedName name="泄水阀" localSheetId="2">[13]附表2材料价格表!#REF!</definedName>
    <definedName name="泄水阀" localSheetId="3">[14]附表2材料价格表!#REF!</definedName>
    <definedName name="泄水阀">[15]附表2材料价格表!#REF!</definedName>
    <definedName name="泄水阀110" localSheetId="24">'[21]附表2 材料价格表'!$L$143</definedName>
    <definedName name="泄水阀110">'[22]附表2 材料价格表'!$L$143</definedName>
    <definedName name="泄水阀φ120" localSheetId="0">[13]附表2材料价格表!#REF!</definedName>
    <definedName name="泄水阀φ120" localSheetId="2">[13]附表2材料价格表!#REF!</definedName>
    <definedName name="泄水阀φ120" localSheetId="3">[14]附表2材料价格表!#REF!</definedName>
    <definedName name="泄水阀φ120">[15]附表2材料价格表!#REF!</definedName>
    <definedName name="泄水阀φ140" localSheetId="0">[13]附表2材料价格表!#REF!</definedName>
    <definedName name="泄水阀φ140" localSheetId="2">[13]附表2材料价格表!#REF!</definedName>
    <definedName name="泄水阀φ140" localSheetId="3">[14]附表2材料价格表!#REF!</definedName>
    <definedName name="泄水阀φ140">[15]附表2材料价格表!#REF!</definedName>
    <definedName name="泄水阀φ160" localSheetId="0">[13]附表2材料价格表!#REF!</definedName>
    <definedName name="泄水阀φ160" localSheetId="2">[13]附表2材料价格表!#REF!</definedName>
    <definedName name="泄水阀φ160" localSheetId="3">[14]附表2材料价格表!#REF!</definedName>
    <definedName name="泄水阀φ160">[15]附表2材料价格表!#REF!</definedName>
    <definedName name="新" localSheetId="3">#REF!</definedName>
    <definedName name="新">#REF!</definedName>
    <definedName name="新疆杨" localSheetId="0">[51]附表2材料价格计算表!#REF!</definedName>
    <definedName name="新疆杨" localSheetId="2">[51]附表2材料价格计算表!#REF!</definedName>
    <definedName name="新疆杨" localSheetId="3">[19]附表2!#REF!</definedName>
    <definedName name="新疆杨">[20]附表2!#REF!</definedName>
    <definedName name="新年" localSheetId="0">#REF!</definedName>
    <definedName name="新年" localSheetId="2">#REF!</definedName>
    <definedName name="新年" localSheetId="24">#REF!</definedName>
    <definedName name="新年" localSheetId="3">#REF!</definedName>
    <definedName name="新年">#REF!</definedName>
    <definedName name="型钢" localSheetId="0">[55]次材!$D$16</definedName>
    <definedName name="型钢" localSheetId="2">[55]次材!$D$16</definedName>
    <definedName name="型钢" localSheetId="24">[55]次材!$D$16</definedName>
    <definedName name="型钢" localSheetId="3">[56]次材!$D$16</definedName>
    <definedName name="型钢">[57]次材!$D$16</definedName>
    <definedName name="型钢剪断机13kw" localSheetId="0">[13]附表3机械台班!#REF!</definedName>
    <definedName name="型钢剪断机13kw" localSheetId="2">[13]附表3机械台班!#REF!</definedName>
    <definedName name="型钢剪断机13kw" localSheetId="3">[14]附表3机械台班!#REF!</definedName>
    <definedName name="型钢剪断机13kw">[15]附表3机械台班!#REF!</definedName>
    <definedName name="悬式瓷瓶XP_7" localSheetId="0">[13]附表2材料价格表!#REF!</definedName>
    <definedName name="悬式瓷瓶XP_7" localSheetId="2">[13]附表2材料价格表!#REF!</definedName>
    <definedName name="悬式瓷瓶XP_7" localSheetId="3">[14]附表2材料价格表!#REF!</definedName>
    <definedName name="悬式瓷瓶XP_7">[15]附表2材料价格表!#REF!</definedName>
    <definedName name="悬式绝缘子_X_4.5" localSheetId="0">[13]附表2材料价格表!#REF!</definedName>
    <definedName name="悬式绝缘子_X_4.5" localSheetId="2">[13]附表2材料价格表!#REF!</definedName>
    <definedName name="悬式绝缘子_X_4.5" localSheetId="3">[14]附表2材料价格表!#REF!</definedName>
    <definedName name="悬式绝缘子_X_4.5">[15]附表2材料价格表!#REF!</definedName>
    <definedName name="悬式绝缘子X_4.5" localSheetId="0">[13]附表2材料价格表!#REF!</definedName>
    <definedName name="悬式绝缘子X_4.5" localSheetId="2">[13]附表2材料价格表!#REF!</definedName>
    <definedName name="悬式绝缘子X_4.5" localSheetId="3">[14]附表2材料价格表!#REF!</definedName>
    <definedName name="悬式绝缘子X_4.5">[15]附表2材料价格表!#REF!</definedName>
    <definedName name="悬式绝缘子X4.5" localSheetId="0">[51]附表2材料价格计算表!#REF!</definedName>
    <definedName name="悬式绝缘子X4.5" localSheetId="2">[51]附表2材料价格计算表!#REF!</definedName>
    <definedName name="悬式绝缘子X4.5" localSheetId="3">[52]附表2材料价格计算表!#REF!</definedName>
    <definedName name="悬式绝缘子X4.5">[54]附表2材料价格计算表!#REF!</definedName>
    <definedName name="压力表" localSheetId="0">[13]附表2材料价格表!#REF!</definedName>
    <definedName name="压力表" localSheetId="2">[13]附表2材料价格表!#REF!</definedName>
    <definedName name="压力表" localSheetId="3">[14]附表2材料价格表!#REF!</definedName>
    <definedName name="压力表">[15]附表2材料价格表!#REF!</definedName>
    <definedName name="压力表0.6MPa" localSheetId="0">[13]附表2材料价格表!#REF!</definedName>
    <definedName name="压力表0.6MPa" localSheetId="2">[13]附表2材料价格表!#REF!</definedName>
    <definedName name="压力表0.6MPa" localSheetId="3">[14]附表2材料价格表!#REF!</definedName>
    <definedName name="压力表0.6MPa">[15]附表2材料价格表!#REF!</definedName>
    <definedName name="压力表弯管φ16" localSheetId="0">[13]附表2材料价格表!#REF!</definedName>
    <definedName name="压力表弯管φ16" localSheetId="2">[13]附表2材料价格表!#REF!</definedName>
    <definedName name="压力表弯管φ16" localSheetId="3">[14]附表2材料价格表!#REF!</definedName>
    <definedName name="压力表弯管φ16">[15]附表2材料价格表!#REF!</definedName>
    <definedName name="压力钢管" localSheetId="0">#REF!</definedName>
    <definedName name="压力钢管" localSheetId="2">#REF!</definedName>
    <definedName name="压力钢管" localSheetId="24">#REF!</definedName>
    <definedName name="压力钢管" localSheetId="3">#REF!</definedName>
    <definedName name="压力钢管">#REF!</definedName>
    <definedName name="压力钢管调差系数" localSheetId="0">#REF!</definedName>
    <definedName name="压力钢管调差系数" localSheetId="2">#REF!</definedName>
    <definedName name="压力钢管调差系数" localSheetId="24">#REF!</definedName>
    <definedName name="压力钢管调差系数" localSheetId="3">#REF!</definedName>
    <definedName name="压力钢管调差系数">#REF!</definedName>
    <definedName name="压路机内燃6" localSheetId="0">[55]台班!$C$12</definedName>
    <definedName name="压路机内燃6" localSheetId="2">[55]台班!$C$12</definedName>
    <definedName name="压路机内燃6" localSheetId="24">[55]台班!$C$12</definedName>
    <definedName name="压路机内燃6" localSheetId="3">[56]台班!$C$12</definedName>
    <definedName name="压路机内燃6">[57]台班!$C$12</definedName>
    <definedName name="羊脚碾5_7t" localSheetId="0">[13]附表3机械台班!#REF!</definedName>
    <definedName name="羊脚碾5_7t" localSheetId="2">[13]附表3机械台班!#REF!</definedName>
    <definedName name="羊脚碾5_7t" localSheetId="3">[14]附表3机械台班!#REF!</definedName>
    <definedName name="羊脚碾5_7t">[15]附表3机械台班!#REF!</definedName>
    <definedName name="羊脚碾7T" localSheetId="0">#REF!</definedName>
    <definedName name="羊脚碾7T" localSheetId="2">#REF!</definedName>
    <definedName name="羊脚碾7T" localSheetId="24">#REF!</definedName>
    <definedName name="羊脚碾7T" localSheetId="3">#REF!</definedName>
    <definedName name="羊脚碾7T">#REF!</definedName>
    <definedName name="羊脚碾8_12t" localSheetId="0">[13]附表3机械台班!#REF!</definedName>
    <definedName name="羊脚碾8_12t" localSheetId="2">[13]附表3机械台班!#REF!</definedName>
    <definedName name="羊脚碾8_12t" localSheetId="3">[14]附表3机械台班!#REF!</definedName>
    <definedName name="羊脚碾8_12t">[15]附表3机械台班!#REF!</definedName>
    <definedName name="阳文直通" localSheetId="24">'[21]附表2 材料价格表'!$L$116</definedName>
    <definedName name="阳文直通">'[22]附表2 材料价格表'!$L$116</definedName>
    <definedName name="杨树" localSheetId="0">[111]材价汇!$D$49</definedName>
    <definedName name="杨树" localSheetId="2">[111]材价汇!$D$49</definedName>
    <definedName name="杨树" localSheetId="24">[111]材价汇!$D$49</definedName>
    <definedName name="杨树" localSheetId="3">[112]材价汇!$D$49</definedName>
    <definedName name="杨树">[113]材价汇!$D$49</definedName>
    <definedName name="氧气" localSheetId="0">[55]次材!$D$20</definedName>
    <definedName name="氧气" localSheetId="2">[55]次材!$D$20</definedName>
    <definedName name="氧气" localSheetId="24">[55]次材!$D$20</definedName>
    <definedName name="氧气" localSheetId="3">[56]次材!$D$20</definedName>
    <definedName name="氧气">[57]次材!$D$20</definedName>
    <definedName name="摇臂钻床20" localSheetId="0">[55]台班!$C$55</definedName>
    <definedName name="摇臂钻床20" localSheetId="2">[55]台班!$C$55</definedName>
    <definedName name="摇臂钻床20" localSheetId="24">[55]台班!$C$55</definedName>
    <definedName name="摇臂钻床20" localSheetId="3">[56]台班!$C$55</definedName>
    <definedName name="摇臂钻床20">[57]台班!$C$55</definedName>
    <definedName name="摇臂钻床规格φ20m35mm" localSheetId="0">[111]机械汇总!$K$136</definedName>
    <definedName name="摇臂钻床规格φ20m35mm" localSheetId="2">[111]机械汇总!$K$136</definedName>
    <definedName name="摇臂钻床规格φ20m35mm" localSheetId="24">[111]机械汇总!$K$136</definedName>
    <definedName name="摇臂钻床规格φ20m35mm" localSheetId="3">[112]机械汇总!$K$136</definedName>
    <definedName name="摇臂钻床规格φ20m35mm">[113]机械汇总!$K$136</definedName>
    <definedName name="业主管理费" localSheetId="0">#REF!</definedName>
    <definedName name="业主管理费" localSheetId="2">#REF!</definedName>
    <definedName name="业主管理费" localSheetId="24">#REF!</definedName>
    <definedName name="业主管理费" localSheetId="3">#REF!</definedName>
    <definedName name="业主管理费">#REF!</definedName>
    <definedName name="业主管理费南" localSheetId="0">'[94]表5-4业主管理费南 '!$I$9</definedName>
    <definedName name="业主管理费南" localSheetId="2">'[94]表5-4业主管理费南 '!$I$9</definedName>
    <definedName name="业主管理费南" localSheetId="24">'[94]表5-4业主管理费南 '!$I$9</definedName>
    <definedName name="业主管理费南" localSheetId="3">'[95]表5-4业主管理费南 '!$I$9</definedName>
    <definedName name="业主管理费南">'[96]表5-4业主管理费南 '!$I$9</definedName>
    <definedName name="一" hidden="1">{"'现金流量表（全部投资）'!$B$4:$P$23"}</definedName>
    <definedName name="一_1">{"'现金流量表（全部投资）'!$B$4:$P$23"}</definedName>
    <definedName name="一般石方开挖风钻Ⅶ_工程" localSheetId="0">[121]新定额单价!#REF!</definedName>
    <definedName name="一般石方开挖风钻Ⅶ_工程" localSheetId="2">[121]新定额单价!#REF!</definedName>
    <definedName name="一般石方开挖风钻Ⅶ_工程" localSheetId="16">绿化定额!#REF!</definedName>
    <definedName name="一般石方开挖风钻Ⅶ_工程" localSheetId="3">[122]新定额单价!#REF!</definedName>
    <definedName name="一般石方开挖风钻Ⅶ_工程">新定额单价!#REF!</definedName>
    <definedName name="乙二胺" localSheetId="0">[13]附表2材料价格表!#REF!</definedName>
    <definedName name="乙二胺" localSheetId="2">[13]附表2材料价格表!#REF!</definedName>
    <definedName name="乙二胺" localSheetId="3">[14]附表2材料价格表!#REF!</definedName>
    <definedName name="乙二胺">[15]附表2材料价格表!#REF!</definedName>
    <definedName name="乙工">'[120]附表 1 人工单价'!$H$19</definedName>
    <definedName name="乙类" localSheetId="0">[123]附表1人工单价表!#REF!</definedName>
    <definedName name="乙类" localSheetId="2">[123]附表1人工单价表!#REF!</definedName>
    <definedName name="乙类工" localSheetId="0">[55]人工!$D$37</definedName>
    <definedName name="乙类工" localSheetId="2">[55]人工!$D$37</definedName>
    <definedName name="乙类工" localSheetId="24">[55]人工!$D$37</definedName>
    <definedName name="乙类工" localSheetId="3">[56]人工!$D$37</definedName>
    <definedName name="乙类工">[57]人工!$D$37</definedName>
    <definedName name="乙炔" localSheetId="0">[55]次材!$D$21</definedName>
    <definedName name="乙炔" localSheetId="2">[55]次材!$D$21</definedName>
    <definedName name="乙炔" localSheetId="24">[55]次材!$D$21</definedName>
    <definedName name="乙炔" localSheetId="3">[56]次材!$D$21</definedName>
    <definedName name="乙炔">[57]次材!$D$21</definedName>
    <definedName name="乙炔气" localSheetId="0">[111]材价汇!$D$36</definedName>
    <definedName name="乙炔气" localSheetId="2">[111]材价汇!$D$36</definedName>
    <definedName name="乙炔气" localSheetId="24">[111]材价汇!$D$36</definedName>
    <definedName name="乙炔气" localSheetId="3">[112]材价汇!$D$36</definedName>
    <definedName name="乙炔气">[113]材价汇!$D$36</definedName>
    <definedName name="异径接头160.110" localSheetId="24">'[21]附表2 材料价格表'!$L$120</definedName>
    <definedName name="异径接头160.110">'[22]附表2 材料价格表'!$L$120</definedName>
    <definedName name="异径接头250.160" localSheetId="24">'[21]附表2 材料价格表'!$L$124</definedName>
    <definedName name="异径接头250.160">'[22]附表2 材料价格表'!$L$124</definedName>
    <definedName name="异径三通250.160.250" localSheetId="24">'[21]附表2 材料价格表'!$L$131</definedName>
    <definedName name="异径三通250.160.250">'[22]附表2 材料价格表'!$L$131</definedName>
    <definedName name="溢流堰砼200__工程" localSheetId="0">[121]新定额单价!#REF!</definedName>
    <definedName name="溢流堰砼200__工程" localSheetId="2">[121]新定额单价!#REF!</definedName>
    <definedName name="溢流堰砼200__工程" localSheetId="16">绿化定额!#REF!</definedName>
    <definedName name="溢流堰砼200__工程" localSheetId="3">[122]新定额单价!#REF!</definedName>
    <definedName name="溢流堰砼200__工程">新定额单价!#REF!</definedName>
    <definedName name="油动0.5" localSheetId="0">[55]台班!$C$6</definedName>
    <definedName name="油动0.5" localSheetId="2">[55]台班!$C$6</definedName>
    <definedName name="油动0.5" localSheetId="24">[55]台班!$C$6</definedName>
    <definedName name="油动0.5" localSheetId="3">[56]台班!$C$6</definedName>
    <definedName name="油动0.5">[57]台班!$C$6</definedName>
    <definedName name="油动1" localSheetId="0">[55]台班!$C$7</definedName>
    <definedName name="油动1" localSheetId="2">[55]台班!$C$7</definedName>
    <definedName name="油动1" localSheetId="24">[55]台班!$C$7</definedName>
    <definedName name="油动1" localSheetId="3">[56]台班!$C$7</definedName>
    <definedName name="油动1">[57]台班!$C$7</definedName>
    <definedName name="油浸石棉盘根250℃" localSheetId="0">[51]附表2材料价格计算表!#REF!</definedName>
    <definedName name="油浸石棉盘根250℃" localSheetId="2">[51]附表2材料价格计算表!#REF!</definedName>
    <definedName name="油浸石棉盘根250℃" localSheetId="3">[52]附表2材料价格计算表!#REF!</definedName>
    <definedName name="油浸石棉盘根250℃">[54]附表2材料价格计算表!#REF!</definedName>
    <definedName name="油毛毡" localSheetId="0">[13]附表2材料价格表!#REF!</definedName>
    <definedName name="油毛毡" localSheetId="2">[13]附表2材料价格表!#REF!</definedName>
    <definedName name="油毛毡" localSheetId="3">[14]附表2材料价格表!#REF!</definedName>
    <definedName name="油毛毡">[15]附表2材料价格表!#REF!</definedName>
    <definedName name="油漆" localSheetId="0">[55]次材!$D$23</definedName>
    <definedName name="油漆" localSheetId="2">[55]次材!$D$23</definedName>
    <definedName name="油漆" localSheetId="24">[55]次材!$D$23</definedName>
    <definedName name="油漆" localSheetId="3">[56]次材!$D$23</definedName>
    <definedName name="油漆">[57]次材!$D$23</definedName>
    <definedName name="油毡" localSheetId="0">[142]附表3!$D$81</definedName>
    <definedName name="油毡" localSheetId="2">[142]附表3!$D$81</definedName>
    <definedName name="油毡" localSheetId="24">[116]附表3!$D$81</definedName>
    <definedName name="油毡" localSheetId="3">[142]附表3!$D$81</definedName>
    <definedName name="油毡">[143]附表3!$D$81</definedName>
    <definedName name="榆树" localSheetId="0">[55]主材!#REF!</definedName>
    <definedName name="榆树" localSheetId="2">[55]主材!#REF!</definedName>
    <definedName name="榆树" localSheetId="3">[56]主材!#REF!</definedName>
    <definedName name="榆树">[57]主材!#REF!</definedName>
    <definedName name="预埋铁件" localSheetId="0">[55]次材!$D$18</definedName>
    <definedName name="预埋铁件" localSheetId="2">[55]次材!$D$18</definedName>
    <definedName name="预埋铁件" localSheetId="24">[55]次材!$D$18</definedName>
    <definedName name="预埋铁件" localSheetId="3">[56]次材!$D$18</definedName>
    <definedName name="预埋铁件">[57]次材!$D$18</definedName>
    <definedName name="预制混凝土U40形渠槽安装" localSheetId="0">[55]单价分析表!#REF!</definedName>
    <definedName name="预制混凝土U40形渠槽安装" localSheetId="2">[55]单价分析表!#REF!</definedName>
    <definedName name="预制混凝土U40形渠槽安装" localSheetId="3">[56]单价分析表!#REF!</definedName>
    <definedName name="预制混凝土U40形渠槽安装">[57]单价分析表!#REF!</definedName>
    <definedName name="预制砼防护管" localSheetId="3">[19]附表2!#REF!</definedName>
    <definedName name="预制砼防护管">[20]附表2!#REF!</definedName>
    <definedName name="预制砼柱" localSheetId="0">[144]单位估价!#REF!</definedName>
    <definedName name="预制砼柱" localSheetId="2">[144]单位估价!#REF!</definedName>
    <definedName name="预制砼柱" localSheetId="3">[151]单位估价!#REF!</definedName>
    <definedName name="预制砼柱">[146]单位估价!#REF!</definedName>
    <definedName name="园林小品" localSheetId="3">#REF!</definedName>
    <definedName name="园林小品">#REF!</definedName>
    <definedName name="原木" localSheetId="0">#REF!</definedName>
    <definedName name="原木" localSheetId="2">#REF!</definedName>
    <definedName name="原木" localSheetId="24">#REF!</definedName>
    <definedName name="原木" localSheetId="3">#REF!</definedName>
    <definedName name="原木">#REF!</definedName>
    <definedName name="圆盘锯" localSheetId="0">[13]附表3机械台班!#REF!</definedName>
    <definedName name="圆盘锯" localSheetId="2">[13]附表3机械台班!#REF!</definedName>
    <definedName name="圆盘锯" localSheetId="3">[14]附表3机械台班!#REF!</definedName>
    <definedName name="圆盘锯">[15]附表3机械台班!#REF!</definedName>
    <definedName name="载重汽车10" localSheetId="0">[55]台班!$C$27</definedName>
    <definedName name="载重汽车10" localSheetId="2">[55]台班!$C$27</definedName>
    <definedName name="载重汽车10" localSheetId="24">[55]台班!$C$27</definedName>
    <definedName name="载重汽车10" localSheetId="3">[56]台班!$C$27</definedName>
    <definedName name="载重汽车10">[57]台班!$C$27</definedName>
    <definedName name="载重汽车10t" localSheetId="0">#REF!</definedName>
    <definedName name="载重汽车10t" localSheetId="2">#REF!</definedName>
    <definedName name="载重汽车10t" localSheetId="24">#REF!</definedName>
    <definedName name="载重汽车10t" localSheetId="3">#REF!</definedName>
    <definedName name="载重汽车10t">#REF!</definedName>
    <definedName name="载重汽车5" localSheetId="0">[55]台班!$C$25</definedName>
    <definedName name="载重汽车5" localSheetId="2">[55]台班!$C$25</definedName>
    <definedName name="载重汽车5" localSheetId="24">[55]台班!$C$25</definedName>
    <definedName name="载重汽车5" localSheetId="3">[56]台班!$C$25</definedName>
    <definedName name="载重汽车5">[57]台班!$C$25</definedName>
    <definedName name="载重汽车5t" localSheetId="0">#REF!</definedName>
    <definedName name="载重汽车5t" localSheetId="2">#REF!</definedName>
    <definedName name="载重汽车5t" localSheetId="24">#REF!</definedName>
    <definedName name="载重汽车5t" localSheetId="3">#REF!</definedName>
    <definedName name="载重汽车5t">#REF!</definedName>
    <definedName name="载重汽车5吨" localSheetId="0">[111]机械汇总!$K$60</definedName>
    <definedName name="载重汽车5吨" localSheetId="2">[111]机械汇总!$K$60</definedName>
    <definedName name="载重汽车5吨" localSheetId="24">[111]机械汇总!$K$60</definedName>
    <definedName name="载重汽车5吨" localSheetId="3">[112]机械汇总!$K$60</definedName>
    <definedName name="载重汽车5吨">[113]机械汇总!$K$60</definedName>
    <definedName name="增接口110.50.110" localSheetId="24">'[21]附表2 材料价格表'!$L$125</definedName>
    <definedName name="增接口110.50.110">'[22]附表2 材料价格表'!$L$125</definedName>
    <definedName name="增接口160.50.160" localSheetId="24">'[21]附表2 材料价格表'!$L$126</definedName>
    <definedName name="增接口160.50.160">'[22]附表2 材料价格表'!$L$126</definedName>
    <definedName name="闸墩21_21.9m接高200_砼" localSheetId="0">#REF!</definedName>
    <definedName name="闸墩21_21.9m接高200_砼" localSheetId="2">#REF!</definedName>
    <definedName name="闸墩21_21.9m接高200_砼" localSheetId="24">#REF!</definedName>
    <definedName name="闸墩21_21.9m接高200_砼" localSheetId="3">#REF!</definedName>
    <definedName name="闸墩21_21.9m接高200_砼">#REF!</definedName>
    <definedName name="闸阀" localSheetId="0">[13]附表2材料价格表!#REF!</definedName>
    <definedName name="闸阀" localSheetId="2">[13]附表2材料价格表!#REF!</definedName>
    <definedName name="闸阀" localSheetId="3">[14]附表2材料价格表!#REF!</definedName>
    <definedName name="闸阀">[15]附表2材料价格表!#REF!</definedName>
    <definedName name="闸阀100铸铁" localSheetId="24">'[21]附表2 材料价格表'!$L$108</definedName>
    <definedName name="闸阀100铸铁">'[22]附表2 材料价格表'!$L$108</definedName>
    <definedName name="闸阀110" localSheetId="0">[13]附表2材料价格表!#REF!</definedName>
    <definedName name="闸阀110" localSheetId="2">[13]附表2材料价格表!#REF!</definedName>
    <definedName name="闸阀110" localSheetId="3">[14]附表2材料价格表!#REF!</definedName>
    <definedName name="闸阀110">[15]附表2材料价格表!#REF!</definedName>
    <definedName name="闸阀160铸铁" localSheetId="24">'[21]附表2 材料价格表'!$L$138</definedName>
    <definedName name="闸阀160铸铁">'[22]附表2 材料价格表'!$L$138</definedName>
    <definedName name="闸阀250" localSheetId="3">[19]附表2!#REF!</definedName>
    <definedName name="闸阀250">[20]附表2!#REF!</definedName>
    <definedName name="闸阀250铸铁" localSheetId="24">'[21]附表2 材料价格表'!$L$136</definedName>
    <definedName name="闸阀250铸铁">'[22]附表2 材料价格表'!$L$136</definedName>
    <definedName name="闸阀90" localSheetId="3">[19]附表2!#REF!</definedName>
    <definedName name="闸阀90">[20]附表2!#REF!</definedName>
    <definedName name="闸阀Dg120" localSheetId="0">[13]附表2材料价格表!#REF!</definedName>
    <definedName name="闸阀Dg120" localSheetId="2">[13]附表2材料价格表!#REF!</definedName>
    <definedName name="闸阀Dg120" localSheetId="3">[14]附表2材料价格表!#REF!</definedName>
    <definedName name="闸阀Dg120">[15]附表2材料价格表!#REF!</definedName>
    <definedName name="闸阀Dg160" localSheetId="0">[13]附表2材料价格表!#REF!</definedName>
    <definedName name="闸阀Dg160" localSheetId="2">[13]附表2材料价格表!#REF!</definedName>
    <definedName name="闸阀Dg160" localSheetId="3">[14]附表2材料价格表!#REF!</definedName>
    <definedName name="闸阀Dg160">[15]附表2材料价格表!#REF!</definedName>
    <definedName name="闸阀Dg180" localSheetId="0">[13]附表2材料价格表!#REF!</definedName>
    <definedName name="闸阀Dg180" localSheetId="2">[13]附表2材料价格表!#REF!</definedName>
    <definedName name="闸阀Dg180" localSheetId="3">[14]附表2材料价格表!#REF!</definedName>
    <definedName name="闸阀Dg180">[15]附表2材料价格表!#REF!</definedName>
    <definedName name="闸阀Dg90" localSheetId="0">[13]附表2材料价格表!#REF!</definedName>
    <definedName name="闸阀Dg90" localSheetId="2">[13]附表2材料价格表!#REF!</definedName>
    <definedName name="闸阀Dg90" localSheetId="3">[14]附表2材料价格表!#REF!</definedName>
    <definedName name="闸阀Dg90">[15]附表2材料价格表!#REF!</definedName>
    <definedName name="闸阀φ120" localSheetId="0">[13]附表2材料价格表!#REF!</definedName>
    <definedName name="闸阀φ120" localSheetId="2">[13]附表2材料价格表!#REF!</definedName>
    <definedName name="闸阀φ120" localSheetId="3">[14]附表2材料价格表!#REF!</definedName>
    <definedName name="闸阀φ120">[15]附表2材料价格表!#REF!</definedName>
    <definedName name="闸阀φ140" localSheetId="0">[13]附表2材料价格表!#REF!</definedName>
    <definedName name="闸阀φ140" localSheetId="2">[13]附表2材料价格表!#REF!</definedName>
    <definedName name="闸阀φ140" localSheetId="3">[14]附表2材料价格表!#REF!</definedName>
    <definedName name="闸阀φ140">[15]附表2材料价格表!#REF!</definedName>
    <definedName name="闸阀φ160" localSheetId="0">[13]附表2材料价格表!#REF!</definedName>
    <definedName name="闸阀φ160" localSheetId="2">[13]附表2材料价格表!#REF!</definedName>
    <definedName name="闸阀φ160" localSheetId="3">[14]附表2材料价格表!#REF!</definedName>
    <definedName name="闸阀φ160">[15]附表2材料价格表!#REF!</definedName>
    <definedName name="闸阀φ180" localSheetId="0">[13]附表2材料价格表!#REF!</definedName>
    <definedName name="闸阀φ180" localSheetId="2">[13]附表2材料价格表!#REF!</definedName>
    <definedName name="闸阀φ180" localSheetId="3">[14]附表2材料价格表!#REF!</definedName>
    <definedName name="闸阀φ180">[15]附表2材料价格表!#REF!</definedName>
    <definedName name="闸阀φ200" localSheetId="0">[13]附表2材料价格表!#REF!</definedName>
    <definedName name="闸阀φ200" localSheetId="2">[13]附表2材料价格表!#REF!</definedName>
    <definedName name="闸阀φ200" localSheetId="3">[14]附表2材料价格表!#REF!</definedName>
    <definedName name="闸阀φ200">[15]附表2材料价格表!#REF!</definedName>
    <definedName name="闸阀φ225" localSheetId="0">[13]附表2材料价格表!#REF!</definedName>
    <definedName name="闸阀φ225" localSheetId="2">[13]附表2材料价格表!#REF!</definedName>
    <definedName name="闸阀φ225" localSheetId="3">[14]附表2材料价格表!#REF!</definedName>
    <definedName name="闸阀φ225">[15]附表2材料价格表!#REF!</definedName>
    <definedName name="闸阀φ250" localSheetId="0">[13]附表2材料价格表!#REF!</definedName>
    <definedName name="闸阀φ250" localSheetId="2">[13]附表2材料价格表!#REF!</definedName>
    <definedName name="闸阀φ250" localSheetId="3">[14]附表2材料价格表!#REF!</definedName>
    <definedName name="闸阀φ250">[15]附表2材料价格表!#REF!</definedName>
    <definedName name="闸阀φ315" localSheetId="0">[13]附表2材料价格表!#REF!</definedName>
    <definedName name="闸阀φ315" localSheetId="2">[13]附表2材料价格表!#REF!</definedName>
    <definedName name="闸阀φ315" localSheetId="3">[14]附表2材料价格表!#REF!</definedName>
    <definedName name="闸阀φ315">[15]附表2材料价格表!#REF!</definedName>
    <definedName name="闸阀φ355" localSheetId="0">[13]附表2材料价格表!#REF!</definedName>
    <definedName name="闸阀φ355" localSheetId="2">[13]附表2材料价格表!#REF!</definedName>
    <definedName name="闸阀φ355" localSheetId="3">[14]附表2材料价格表!#REF!</definedName>
    <definedName name="闸阀φ355">[15]附表2材料价格表!#REF!</definedName>
    <definedName name="闸阀φ400" localSheetId="0">[13]附表2材料价格表!#REF!</definedName>
    <definedName name="闸阀φ400" localSheetId="2">[13]附表2材料价格表!#REF!</definedName>
    <definedName name="闸阀φ400" localSheetId="3">[14]附表2材料价格表!#REF!</definedName>
    <definedName name="闸阀φ400">[15]附表2材料价格表!#REF!</definedName>
    <definedName name="闸阀φ80" localSheetId="0">[13]附表2材料价格表!#REF!</definedName>
    <definedName name="闸阀φ80" localSheetId="2">[13]附表2材料价格表!#REF!</definedName>
    <definedName name="闸阀φ80" localSheetId="3">[14]附表2材料价格表!#REF!</definedName>
    <definedName name="闸阀φ80">[15]附表2材料价格表!#REF!</definedName>
    <definedName name="闸阀φ90" localSheetId="0">[13]附表2材料价格表!#REF!</definedName>
    <definedName name="闸阀φ90" localSheetId="2">[13]附表2材料价格表!#REF!</definedName>
    <definedName name="闸阀φ90" localSheetId="3">[14]附表2材料价格表!#REF!</definedName>
    <definedName name="闸阀φ90">[15]附表2材料价格表!#REF!</definedName>
    <definedName name="闸门0.3">[21]设备!#REF!</definedName>
    <definedName name="闸门0.4">[21]设备!#REF!</definedName>
    <definedName name="闸门0.5">[21]设备!#REF!</definedName>
    <definedName name="闸门0.6">[21]设备!#REF!</definedName>
    <definedName name="炸药" localSheetId="0">#REF!</definedName>
    <definedName name="炸药" localSheetId="2">#REF!</definedName>
    <definedName name="炸药" localSheetId="24">#REF!</definedName>
    <definedName name="炸药" localSheetId="3">#REF!</definedName>
    <definedName name="炸药">#REF!</definedName>
    <definedName name="粘土" localSheetId="0">[13]附表2材料价格表!#REF!</definedName>
    <definedName name="粘土" localSheetId="2">[13]附表2材料价格表!#REF!</definedName>
    <definedName name="粘土" localSheetId="3">[14]附表2材料价格表!#REF!</definedName>
    <definedName name="粘土">[15]附表2材料价格表!#REF!</definedName>
    <definedName name="粘土球" localSheetId="0">[13]附表2材料价格表!#REF!</definedName>
    <definedName name="粘土球" localSheetId="2">[13]附表2材料价格表!#REF!</definedName>
    <definedName name="粘土球" localSheetId="3">[14]附表2材料价格表!#REF!</definedName>
    <definedName name="粘土球">[15]附表2材料价格表!#REF!</definedName>
    <definedName name="漳河柳" localSheetId="0">[55]次材!#REF!</definedName>
    <definedName name="漳河柳" localSheetId="2">[55]次材!#REF!</definedName>
    <definedName name="漳河柳" localSheetId="3">[56]次材!#REF!</definedName>
    <definedName name="漳河柳">[57]次材!#REF!</definedName>
    <definedName name="长">#N/A</definedName>
    <definedName name="针式瓶P_20T" localSheetId="0">[13]附表2材料价格表!#REF!</definedName>
    <definedName name="针式瓶P_20T" localSheetId="2">[13]附表2材料价格表!#REF!</definedName>
    <definedName name="针式瓶P_20T" localSheetId="3">[14]附表2材料价格表!#REF!</definedName>
    <definedName name="针式瓶P_20T">[15]附表2材料价格表!#REF!</definedName>
    <definedName name="振捣器插入式1.1kw" localSheetId="24">[107]台班单价!$C$33</definedName>
    <definedName name="振捣器插入式1.1kw">[108]台班单价!$C$33</definedName>
    <definedName name="振捣器插入式2.2" localSheetId="0">[55]台班!$C$21</definedName>
    <definedName name="振捣器插入式2.2" localSheetId="2">[55]台班!$C$21</definedName>
    <definedName name="振捣器插入式2.2" localSheetId="24">[55]台班!$C$21</definedName>
    <definedName name="振捣器插入式2.2" localSheetId="3">[56]台班!$C$21</definedName>
    <definedName name="振捣器插入式2.2">[57]台班!$C$21</definedName>
    <definedName name="振捣器平板式2.2" localSheetId="0">[55]台班!$C$22</definedName>
    <definedName name="振捣器平板式2.2" localSheetId="2">[55]台班!$C$22</definedName>
    <definedName name="振捣器平板式2.2" localSheetId="24">[55]台班!$C$22</definedName>
    <definedName name="振捣器平板式2.2" localSheetId="3">[56]台班!$C$22</definedName>
    <definedName name="振捣器平板式2.2">[57]台班!$C$22</definedName>
    <definedName name="正三通200" localSheetId="24">'[21]附表2 材料价格表'!$L$117</definedName>
    <definedName name="正三通200">'[22]附表2 材料价格表'!$L$117</definedName>
    <definedName name="正三通250" localSheetId="24">'[21]附表2 材料价格表'!$L$118</definedName>
    <definedName name="正三通250">'[22]附表2 材料价格表'!$L$118</definedName>
    <definedName name="支沟护坡" localSheetId="0">'[79]估算表 -支沟治理'!$M$8</definedName>
    <definedName name="支沟护坡" localSheetId="2">'[79]估算表 -支沟治理'!$M$8</definedName>
    <definedName name="支沟护坡" localSheetId="24">'[79]估算表 -支沟治理'!$M$8</definedName>
    <definedName name="支沟护坡" localSheetId="3">'[80]估算表 -支沟治理'!$M$8</definedName>
    <definedName name="支沟护坡">'[81]估算表 -支沟治理'!$M$8</definedName>
    <definedName name="支沟尾水" localSheetId="0">'[79]估算表 -支沟治理'!$M$9</definedName>
    <definedName name="支沟尾水" localSheetId="2">'[79]估算表 -支沟治理'!$M$9</definedName>
    <definedName name="支沟尾水" localSheetId="24">'[79]估算表 -支沟治理'!$M$9</definedName>
    <definedName name="支沟尾水" localSheetId="3">'[80]估算表 -支沟治理'!$M$9</definedName>
    <definedName name="支沟尾水">'[81]估算表 -支沟治理'!$M$9</definedName>
    <definedName name="支架φ33×1500" localSheetId="0">[13]附表2材料价格表!#REF!</definedName>
    <definedName name="支架φ33×1500" localSheetId="2">[13]附表2材料价格表!#REF!</definedName>
    <definedName name="支架φ33×1500" localSheetId="3">[14]附表2材料价格表!#REF!</definedName>
    <definedName name="支架φ33×1500">[15]附表2材料价格表!#REF!</definedName>
    <definedName name="直角挂板Z_7" localSheetId="0">[13]附表2材料价格表!#REF!</definedName>
    <definedName name="直角挂板Z_7" localSheetId="2">[13]附表2材料价格表!#REF!</definedName>
    <definedName name="直角挂板Z_7" localSheetId="3">[14]附表2材料价格表!#REF!</definedName>
    <definedName name="直角挂板Z_7">[15]附表2材料价格表!#REF!</definedName>
    <definedName name="直流电焊机30" localSheetId="0">#REF!</definedName>
    <definedName name="直流电焊机30" localSheetId="2">#REF!</definedName>
    <definedName name="直流电焊机30" localSheetId="24">#REF!</definedName>
    <definedName name="直流电焊机30" localSheetId="3">#REF!</definedName>
    <definedName name="直流电焊机30">#REF!</definedName>
    <definedName name="直流电焊机30kVA" localSheetId="0">[111]机械汇总!$K$120</definedName>
    <definedName name="直流电焊机30kVA" localSheetId="2">[111]机械汇总!$K$120</definedName>
    <definedName name="直流电焊机30kVA" localSheetId="24">[111]机械汇总!$K$120</definedName>
    <definedName name="直流电焊机30kVA" localSheetId="3">[112]机械汇总!$K$120</definedName>
    <definedName name="直流电焊机30kVA">[113]机械汇总!$K$120</definedName>
    <definedName name="直线341">#REF!</definedName>
    <definedName name="止回阀φ120" localSheetId="0">[13]附表2材料价格表!#REF!</definedName>
    <definedName name="止回阀φ120" localSheetId="2">[13]附表2材料价格表!#REF!</definedName>
    <definedName name="止回阀φ120" localSheetId="3">[14]附表2材料价格表!#REF!</definedName>
    <definedName name="止回阀φ120">[15]附表2材料价格表!#REF!</definedName>
    <definedName name="止回阀φ140" localSheetId="0">[13]附表2材料价格表!#REF!</definedName>
    <definedName name="止回阀φ140" localSheetId="2">[13]附表2材料价格表!#REF!</definedName>
    <definedName name="止回阀φ140" localSheetId="3">[14]附表2材料价格表!#REF!</definedName>
    <definedName name="止回阀φ140">[15]附表2材料价格表!#REF!</definedName>
    <definedName name="止回阀φ160" localSheetId="0">[13]附表2材料价格表!#REF!</definedName>
    <definedName name="止回阀φ160" localSheetId="2">[13]附表2材料价格表!#REF!</definedName>
    <definedName name="止回阀φ160" localSheetId="3">[14]附表2材料价格表!#REF!</definedName>
    <definedName name="止回阀φ160">[15]附表2材料价格表!#REF!</definedName>
    <definedName name="中">#N/A</definedName>
    <definedName name="中粗砂" localSheetId="0">#REF!</definedName>
    <definedName name="中粗砂" localSheetId="2">#REF!</definedName>
    <definedName name="中粗砂" localSheetId="24">#REF!</definedName>
    <definedName name="中粗砂" localSheetId="3">#REF!</definedName>
    <definedName name="中粗砂">#REF!</definedName>
    <definedName name="中心阳文三通90.2.90" localSheetId="24">'[21]附表2 材料价格表'!$L$114</definedName>
    <definedName name="中心阳文三通90.2.90">'[22]附表2 材料价格表'!$L$114</definedName>
    <definedName name="主1" localSheetId="0">#REF!</definedName>
    <definedName name="主1" localSheetId="2">#REF!</definedName>
    <definedName name="主1" localSheetId="24">#REF!</definedName>
    <definedName name="主1" localSheetId="3">#REF!</definedName>
    <definedName name="主1">#REF!</definedName>
    <definedName name="专用模板" localSheetId="0">[111]材价汇!$D$28</definedName>
    <definedName name="专用模板" localSheetId="2">[111]材价汇!$D$28</definedName>
    <definedName name="专用模板" localSheetId="24">[111]材价汇!$D$28</definedName>
    <definedName name="专用模板" localSheetId="3">[112]材价汇!$D$28</definedName>
    <definedName name="专用模板">[113]材价汇!$D$28</definedName>
    <definedName name="砖" localSheetId="0">[13]附表2材料价格表!#REF!</definedName>
    <definedName name="砖" localSheetId="2">[13]附表2材料价格表!#REF!</definedName>
    <definedName name="砖" localSheetId="3">[14]附表2材料价格表!#REF!</definedName>
    <definedName name="砖">[15]附表2材料价格表!#REF!</definedName>
    <definedName name="紫铜片厚15mm" localSheetId="0">[13]附表2材料价格表!#REF!</definedName>
    <definedName name="紫铜片厚15mm" localSheetId="2">[13]附表2材料价格表!#REF!</definedName>
    <definedName name="紫铜片厚15mm" localSheetId="3">[14]附表2材料价格表!#REF!</definedName>
    <definedName name="紫铜片厚15mm">[15]附表2材料价格表!#REF!</definedName>
    <definedName name="自卸汽车5" localSheetId="0">[55]台班!$C$29</definedName>
    <definedName name="自卸汽车5" localSheetId="2">[55]台班!$C$29</definedName>
    <definedName name="自卸汽车5" localSheetId="24">[55]台班!$C$29</definedName>
    <definedName name="自卸汽车5" localSheetId="3">[56]台班!$C$29</definedName>
    <definedName name="自卸汽车5">[57]台班!$C$29</definedName>
    <definedName name="自卸汽车5t" localSheetId="0">#REF!</definedName>
    <definedName name="自卸汽车5t" localSheetId="2">#REF!</definedName>
    <definedName name="自卸汽车5t" localSheetId="24">#REF!</definedName>
    <definedName name="自卸汽车5t" localSheetId="3">#REF!</definedName>
    <definedName name="自卸汽车5t">#REF!</definedName>
    <definedName name="自卸汽车8" localSheetId="0">[55]台班!$C$30</definedName>
    <definedName name="自卸汽车8" localSheetId="2">[55]台班!$C$30</definedName>
    <definedName name="自卸汽车8" localSheetId="24">[55]台班!$C$30</definedName>
    <definedName name="自卸汽车8" localSheetId="3">[56]台班!$C$30</definedName>
    <definedName name="自卸汽车8">[57]台班!$C$30</definedName>
    <definedName name="自卸汽车8t" localSheetId="0">[13]附表3机械台班!#REF!</definedName>
    <definedName name="自卸汽车8t" localSheetId="2">[13]附表3机械台班!#REF!</definedName>
    <definedName name="自卸汽车8t" localSheetId="3">[14]附表3机械台班!#REF!</definedName>
    <definedName name="自卸汽车8t">[15]附表3机械台班!#REF!</definedName>
    <definedName name="自行式平地机" localSheetId="0">[55]台班!$C$11</definedName>
    <definedName name="自行式平地机" localSheetId="2">[55]台班!$C$11</definedName>
    <definedName name="自行式平地机" localSheetId="24">[55]台班!$C$11</definedName>
    <definedName name="自行式平地机" localSheetId="3">[56]台班!$C$11</definedName>
    <definedName name="自行式平地机">[57]台班!$C$11</definedName>
    <definedName name="自行式平地机118kw" localSheetId="0">[111]机械汇总!$K$22</definedName>
    <definedName name="自行式平地机118kw" localSheetId="2">[111]机械汇总!$K$22</definedName>
    <definedName name="自行式平地机118kw" localSheetId="24">[111]机械汇总!$K$22</definedName>
    <definedName name="自行式平地机118kw" localSheetId="3">[112]机械汇总!$K$22</definedName>
    <definedName name="自行式平地机118kw">[113]机械汇总!$K$22</definedName>
    <definedName name="自行式平地机120kw以内" localSheetId="0">[13]附表3机械台班!#REF!</definedName>
    <definedName name="自行式平地机120kw以内" localSheetId="2">[13]附表3机械台班!#REF!</definedName>
    <definedName name="自行式平地机120kw以内" localSheetId="3">[14]附表3机械台班!#REF!</definedName>
    <definedName name="自行式平地机120kw以内">[15]附表3机械台班!#REF!</definedName>
    <definedName name="综合估算2" localSheetId="3">#REF!</definedName>
    <definedName name="综合估算2">#REF!</definedName>
    <definedName name="综合估算表" localSheetId="0">#REF!</definedName>
    <definedName name="综合估算表" localSheetId="2">#REF!</definedName>
    <definedName name="综合估算表" localSheetId="24">#REF!</definedName>
    <definedName name="综合估算表" localSheetId="3">#REF!</definedName>
    <definedName name="综合估算表">#REF!</definedName>
    <definedName name="总干渠石礼公路桥" localSheetId="0">#REF!</definedName>
    <definedName name="总干渠石礼公路桥" localSheetId="2">#REF!</definedName>
    <definedName name="总干渠石礼公路桥" localSheetId="24">#REF!</definedName>
    <definedName name="总干渠石礼公路桥" localSheetId="3">#REF!</definedName>
    <definedName name="总干渠石礼公路桥">#REF!</definedName>
    <definedName name="总投资" localSheetId="24">#REF!</definedName>
    <definedName name="总投资" localSheetId="3">#REF!</definedName>
    <definedName name="总投资">#REF!</definedName>
    <definedName name="总投资南" localSheetId="0">'[94]表2预算总表 南'!$C$9</definedName>
    <definedName name="总投资南" localSheetId="2">'[94]表2预算总表 南'!$C$9</definedName>
    <definedName name="总投资南" localSheetId="24">'[94]表2预算总表 南'!$C$9</definedName>
    <definedName name="总投资南" localSheetId="3">'[95]表2预算总表 南'!$C$9</definedName>
    <definedName name="总投资南">'[96]表2预算总表 南'!$C$9</definedName>
    <definedName name="组合钢模" localSheetId="0">#REF!</definedName>
    <definedName name="组合钢模" localSheetId="2">#REF!</definedName>
    <definedName name="组合钢模" localSheetId="24">#REF!</definedName>
    <definedName name="组合钢模" localSheetId="3">#REF!</definedName>
    <definedName name="组合钢模">#REF!</definedName>
    <definedName name="组合钢模板" localSheetId="0">[55]次材!$D$14</definedName>
    <definedName name="组合钢模板" localSheetId="2">[55]次材!$D$14</definedName>
    <definedName name="组合钢模板" localSheetId="24">[55]次材!$D$14</definedName>
    <definedName name="组合钢模板" localSheetId="3">[56]次材!$D$14</definedName>
    <definedName name="组合钢模板">[57]次材!$D$14</definedName>
    <definedName name="钻杆" localSheetId="0">[51]附表2材料价格计算表!#REF!</definedName>
    <definedName name="钻杆" localSheetId="2">[51]附表2材料价格计算表!#REF!</definedName>
    <definedName name="钻杆" localSheetId="3">[52]附表2材料价格计算表!#REF!</definedName>
    <definedName name="钻杆">[54]附表2材料价格计算表!#REF!</definedName>
    <definedName name="__PE20" localSheetId="7">[153]附表2!#REF!</definedName>
    <definedName name="__PE40" localSheetId="7">[153]附表2!#REF!</definedName>
    <definedName name="__PVC11008" localSheetId="7">[153]附表2!#REF!</definedName>
    <definedName name="__PVC16008" localSheetId="7">[153]附表2!#REF!</definedName>
    <definedName name="__PVC20008" localSheetId="7">[153]附表2!#REF!</definedName>
    <definedName name="__PVC25008" localSheetId="7">[153]附表2!#REF!</definedName>
    <definedName name="__PVC31508" localSheetId="7">[153]附表2!#REF!</definedName>
    <definedName name="__PVC9006" localSheetId="7">[153]附表2!#REF!</definedName>
    <definedName name="__PVC9008" localSheetId="7">[153]附表2!#REF!</definedName>
    <definedName name="_1_125涵洞" localSheetId="7">#REF!</definedName>
    <definedName name="_120度弯头φ120" localSheetId="7">[154]附表2材料价格表!#REF!</definedName>
    <definedName name="_120度弯头φ140" localSheetId="7">[154]附表2材料价格表!#REF!</definedName>
    <definedName name="_120度弯头φ160" localSheetId="7">[154]附表2材料价格表!#REF!</definedName>
    <definedName name="_1单元" localSheetId="7">#REF!</definedName>
    <definedName name="_2_分水闸" localSheetId="7">#REF!</definedName>
    <definedName name="_2_涵洞" localSheetId="7">#REF!</definedName>
    <definedName name="_2m3装载机" localSheetId="7">[154]附表3机械台班!#REF!</definedName>
    <definedName name="_2单元" localSheetId="7">#REF!</definedName>
    <definedName name="_3_涵洞" localSheetId="7">#REF!</definedName>
    <definedName name="_32.5水泥" localSheetId="7">[154]附表2材料价格表!#REF!</definedName>
    <definedName name="_Fill" localSheetId="7" hidden="1">[13]eqpmad2!#REF!</definedName>
    <definedName name="_PE20" localSheetId="7">[155]附表2!#REF!</definedName>
    <definedName name="_PE40" localSheetId="7">[155]附表2!#REF!</definedName>
    <definedName name="_PVC11008" localSheetId="7">[155]附表2!#REF!</definedName>
    <definedName name="_PVC16008" localSheetId="7">[155]附表2!#REF!</definedName>
    <definedName name="_PVC20008" localSheetId="7">[155]附表2!#REF!</definedName>
    <definedName name="_PVC25008" localSheetId="7">[155]附表2!#REF!</definedName>
    <definedName name="_PVC31508" localSheetId="7">[155]附表2!#REF!</definedName>
    <definedName name="_PVC9006" localSheetId="7">[155]附表2!#REF!</definedName>
    <definedName name="_PVC9008" localSheetId="7">[155]附表2!#REF!</definedName>
    <definedName name="￠160PVC管_0.6pa" localSheetId="7">[154]附表2材料价格表!#REF!</definedName>
    <definedName name="￠180PVC管_0.6pa" localSheetId="7">[154]附表2材料价格表!#REF!</definedName>
    <definedName name="￠90PVC管_0.6pa" localSheetId="7">[154]附表2材料价格表!#REF!</definedName>
    <definedName name="aa" localSheetId="7">#REF!</definedName>
    <definedName name="aiu_bottom" localSheetId="7">'[16]Financ. Overview'!#REF!</definedName>
    <definedName name="Database" localSheetId="7" hidden="1">#REF!</definedName>
    <definedName name="dj" localSheetId="7">'[156]5'!$F$1</definedName>
    <definedName name="FRC" localSheetId="7">[31]Main!$C$9</definedName>
    <definedName name="hj" localSheetId="7">[157]机电设备!hj</definedName>
    <definedName name="hostfee" localSheetId="7">'[16]Financ. Overview'!$H$12</definedName>
    <definedName name="hraiu_bottom" localSheetId="7">'[16]Financ. Overview'!#REF!</definedName>
    <definedName name="hvac" localSheetId="7">'[16]Financ. Overview'!#REF!</definedName>
    <definedName name="IS80_50_250" localSheetId="7">[154]附表2材料价格表!#REF!</definedName>
    <definedName name="kl" localSheetId="7">#REF!</definedName>
    <definedName name="LCountry" localSheetId="7">[158]数据字典!$Q$2:$Q$246</definedName>
    <definedName name="LGender" localSheetId="7">[159]数据字典!$L$2:$L$3</definedName>
    <definedName name="LPZone" localSheetId="7">[158]数据字典!$L$12:$L$42</definedName>
    <definedName name="M10浆砌砖基础" localSheetId="7">[161]附表4直接工程费单价表!#REF!</definedName>
    <definedName name="Module.Prix_SMC" localSheetId="7">[213]材料预算价格分析表!Module.Prix_SMC</definedName>
    <definedName name="OS" localSheetId="7">[160]Open!#REF!</definedName>
    <definedName name="pr_toolbox" localSheetId="7">[16]Toolbox!$A$3:$I$80</definedName>
    <definedName name="_xlnm.Print_Titles" localSheetId="7">建筑工程概算表!$1:$3</definedName>
    <definedName name="Print_titles1" localSheetId="7">[163]定额!$A$1:$IV$3</definedName>
    <definedName name="Prix_SMC" localSheetId="7">[213]材料预算价格分析表!Prix_SMC</definedName>
    <definedName name="PVC变径短管1.5寸" localSheetId="7">[154]附表2材料价格表!#REF!</definedName>
    <definedName name="PVC堵头φ40" localSheetId="7">[154]附表2材料价格表!#REF!</definedName>
    <definedName name="PVC活节φ1.5寸" localSheetId="7">[154]附表2材料价格表!#REF!</definedName>
    <definedName name="PVC连丝1.5寸" localSheetId="7">[154]附表2材料价格表!#REF!</definedName>
    <definedName name="PVC球阀1.5寸" localSheetId="7">[154]附表2材料价格表!#REF!</definedName>
    <definedName name="PVC三通φ16×16×16" localSheetId="7">[154]附表2材料价格表!#REF!</definedName>
    <definedName name="PVC三通φ40×1.5×40" localSheetId="7">[154]附表2材料价格表!#REF!</definedName>
    <definedName name="PVC塑管φ40" localSheetId="7">[154]附表2材料价格表!#REF!</definedName>
    <definedName name="PVC直通φ16" localSheetId="7">[154]附表2材料价格表!#REF!</definedName>
    <definedName name="q" localSheetId="7">#REF!</definedName>
    <definedName name="QJ30_240_12_200" localSheetId="7">[154]附表2材料价格表!#REF!</definedName>
    <definedName name="QJ50_120_12_250" localSheetId="7">[154]附表2材料价格表!#REF!</definedName>
    <definedName name="qw" localSheetId="7">[164]定额!$A$1:$IV$3</definedName>
    <definedName name="s_c_list" localSheetId="7">[165]Toolbox!$A$7:$H$969</definedName>
    <definedName name="SCG" localSheetId="7">'[162]G.1R-Shou COP Gf'!#REF!</definedName>
    <definedName name="sdlfee" localSheetId="7">'[16]Financ. Overview'!$H$13</definedName>
    <definedName name="solar_ratio" localSheetId="7">'[166]POWER ASSUMPTIONS'!$H$7</definedName>
    <definedName name="ss7fee" localSheetId="7">'[16]Financ. Overview'!$H$18</definedName>
    <definedName name="subsfee" localSheetId="7">'[16]Financ. Overview'!$H$14</definedName>
    <definedName name="text" localSheetId="7">#REF!</definedName>
    <definedName name="toolbox" localSheetId="7">[59]Toolbox!$C$5:$T$1578</definedName>
    <definedName name="UPVC管道Φ100" localSheetId="7">[161]附表2材料价格计算表!#REF!</definedName>
    <definedName name="UPVC管道Φ50" localSheetId="7">[161]附表2材料价格计算表!#REF!</definedName>
    <definedName name="UT线夹_NUT_2" localSheetId="7">[154]附表2材料价格表!#REF!</definedName>
    <definedName name="UT线夹NUT_2" localSheetId="7">[154]附表2材料价格表!#REF!</definedName>
    <definedName name="UT型线夹NUT_1" localSheetId="7">[154]附表2材料价格表!#REF!</definedName>
    <definedName name="UT型线夹NUT2" localSheetId="7">[161]附表2材料价格计算表!#REF!</definedName>
    <definedName name="U型抱箍U16_200" localSheetId="7">[154]附表2材料价格表!#REF!</definedName>
    <definedName name="U型挂环U_16" localSheetId="7">[154]附表2材料价格表!#REF!</definedName>
    <definedName name="U型挂环U_7" localSheetId="7">[154]附表2材料价格表!#REF!</definedName>
    <definedName name="V5.1Fee" localSheetId="7">'[16]Financ. Overview'!$H$15</definedName>
    <definedName name="w" localSheetId="7">#REF!</definedName>
    <definedName name="we" localSheetId="7">[164]材料表!$E$1:$E$65536,[164]材料表!$J$1:$L$65536</definedName>
    <definedName name="x" localSheetId="7">#REF!</definedName>
    <definedName name="z" localSheetId="7">#REF!</definedName>
    <definedName name="Z_D416CCE0_90DA_11D2_8B33_444553540000_.wvu.Cols" localSheetId="7">[163]材料表!$E$1:$E$65536,[163]材料表!$J$1:$L$65536</definedName>
    <definedName name="Z_D416CCE0_90DA_11D2_8B33_444553540000_.wvu.PrintTitles" localSheetId="7">#REF!</definedName>
    <definedName name="Z_E7D01C20_B8FC_11D1_9E4F_B5D6E120E308_.wvu.Cols" localSheetId="7">[163]材料表!$E$1:$E$65536,[163]材料表!$J$1:$L$65536</definedName>
    <definedName name="Z_E7D01C20_B8FC_11D1_9E4F_B5D6E120E308_.wvu.PrintTitles" localSheetId="7">#REF!</definedName>
    <definedName name="Z32_Cost_red" localSheetId="7">'[16]Financ. Overview'!#REF!</definedName>
    <definedName name="φ10PVC管" localSheetId="7">[154]附表2材料价格表!#REF!</definedName>
    <definedName name="φ225沉淀管" localSheetId="7">[154]附表2材料价格表!#REF!</definedName>
    <definedName name="φ225滤水管" localSheetId="7">[154]附表2材料价格表!#REF!</definedName>
    <definedName name="φ310铸铁管" localSheetId="7">[154]附表2材料价格表!#REF!</definedName>
    <definedName name="φ350铸铁管" localSheetId="7">[154]附表2材料价格表!#REF!</definedName>
    <definedName name="安全阀Dg120" localSheetId="7">[154]附表2材料价格表!#REF!</definedName>
    <definedName name="安全阀Dg90" localSheetId="7">[154]附表2材料价格表!#REF!</definedName>
    <definedName name="安装" localSheetId="7">#REF!</definedName>
    <definedName name="安装单价" localSheetId="7">#REF!</definedName>
    <definedName name="安装工程机械系数" localSheetId="7">#REF!</definedName>
    <definedName name="安装工程量" localSheetId="7">#REF!</definedName>
    <definedName name="按" localSheetId="7">#REF!</definedName>
    <definedName name="柏树" localSheetId="7">[154]附表2材料价格表!#REF!</definedName>
    <definedName name="板枋材" localSheetId="7">#REF!</definedName>
    <definedName name="板枋材kg" localSheetId="7">[167]次要材料预算价格!#REF!</definedName>
    <definedName name="板枋材m3" localSheetId="7">[167]次要材料预算价格!#REF!</definedName>
    <definedName name="备" localSheetId="7">'[62]#REF'!$I$2</definedName>
    <definedName name="苯板" localSheetId="7">[161]附表2材料价格计算表!#REF!</definedName>
    <definedName name="避雷器HY5WS_17_50" localSheetId="7">[154]附表2材料价格表!#REF!</definedName>
    <definedName name="编" localSheetId="7">'[62]#REF'!$A$2</definedName>
    <definedName name="扁钢" localSheetId="7">[154]附表2材料价格表!#REF!</definedName>
    <definedName name="变电构架安装__离心杆构架独" localSheetId="7">[168]定额!#REF!</definedName>
    <definedName name="变电构架安装离心杆构架" localSheetId="7">[169]定额!#REF!</definedName>
    <definedName name="变径11090" localSheetId="7">[153]附表2!#REF!</definedName>
    <definedName name="变径160110" localSheetId="7">[153]附表2!#REF!</definedName>
    <definedName name="变径16090" localSheetId="7">[153]附表2!#REF!</definedName>
    <definedName name="变径200125" localSheetId="7">[153]附表2!#REF!</definedName>
    <definedName name="变径200160" localSheetId="7">[153]附表2!#REF!</definedName>
    <definedName name="变径250125" localSheetId="7">[153]附表2!#REF!</definedName>
    <definedName name="变径250200" localSheetId="7">[153]附表2!#REF!</definedName>
    <definedName name="变径250300" localSheetId="7">[153]附表2!#REF!</definedName>
    <definedName name="变径315200" localSheetId="7">[153]附表2!#REF!</definedName>
    <definedName name="变径315250" localSheetId="7">[153]附表2!#REF!</definedName>
    <definedName name="变径三通Dg180×90" localSheetId="7">[154]附表2材料价格表!#REF!</definedName>
    <definedName name="变径三通φ110×80×90" localSheetId="7">[154]附表2材料价格表!#REF!</definedName>
    <definedName name="变径三通φ125×80×110" localSheetId="7">[154]附表2材料价格表!#REF!</definedName>
    <definedName name="变径三通φ160×80×110" localSheetId="7">[154]附表2材料价格表!#REF!</definedName>
    <definedName name="变径三通φ160×80×125" localSheetId="7">[154]附表2材料价格表!#REF!</definedName>
    <definedName name="变径三通φ200×80×160" localSheetId="7">[154]附表2材料价格表!#REF!</definedName>
    <definedName name="变频机组8.5kvA" localSheetId="7">[154]附表3机械台班!#REF!</definedName>
    <definedName name="变频振捣器4.5kw" localSheetId="7">#REF!</definedName>
    <definedName name="变压器160KVA" localSheetId="7">[154]附表2材料价格表!#REF!</definedName>
    <definedName name="变压器80KVA" localSheetId="7">[154]附表2材料价格表!#REF!</definedName>
    <definedName name="变压器油" localSheetId="7">[161]附表2材料价格计算表!#REF!</definedName>
    <definedName name="标准砖" localSheetId="7">[167]次要材料预算价格!#REF!</definedName>
    <definedName name="并沟线夹_BJ_2" localSheetId="7">[154]附表2材料价格表!#REF!</definedName>
    <definedName name="并沟线夹1635mm" localSheetId="7">[161]附表2材料价格计算表!#REF!</definedName>
    <definedName name="并沟线夹BJ_2" localSheetId="7">[154]附表2材料价格表!#REF!</definedName>
    <definedName name="并沟线夹JB2" localSheetId="7">[161]附表2材料价格计算表!#REF!</definedName>
    <definedName name="玻璃" localSheetId="7">[154]附表2材料价格表!#REF!</definedName>
    <definedName name="补充" localSheetId="7">[153]附表4单价!#REF!</definedName>
    <definedName name="不可预见费" localSheetId="7">#REF!</definedName>
    <definedName name="不可预见费南" localSheetId="7">'[170]表6不可预见费南 '!$H$10</definedName>
    <definedName name="材" localSheetId="7">[154]附表5直接工程费单价表!#REF!</definedName>
    <definedName name="材10001" localSheetId="7">[154]附表5直接工程费单价表!#REF!</definedName>
    <definedName name="材100017" localSheetId="7">[161]附表4直接工程费单价表!#REF!</definedName>
    <definedName name="材10002" localSheetId="7">[154]附表5直接工程费单价表!#REF!</definedName>
    <definedName name="材100023" localSheetId="7">[161]附表4直接工程费单价表!#REF!</definedName>
    <definedName name="材10003" localSheetId="7">[154]附表5直接工程费单价表!#REF!</definedName>
    <definedName name="材100049" localSheetId="7">[161]附表4直接工程费单价表!#REF!</definedName>
    <definedName name="材10008" localSheetId="7">[154]附表5直接工程费单价表!#REF!</definedName>
    <definedName name="材10019" localSheetId="7">[154]附表5直接工程费单价表!#REF!</definedName>
    <definedName name="材10020" localSheetId="7">[154]附表5直接工程费单价表!#REF!</definedName>
    <definedName name="材10021" localSheetId="7">[154]附表5直接工程费单价表!#REF!</definedName>
    <definedName name="材10045" localSheetId="7">[154]附表5直接工程费单价表!#REF!</definedName>
    <definedName name="材10047" localSheetId="7">[154]附表5直接工程费单价表!#REF!</definedName>
    <definedName name="材10049" localSheetId="7">[154]附表5直接工程费单价表!#REF!</definedName>
    <definedName name="材10052" localSheetId="7">[154]附表5直接工程费单价表!#REF!</definedName>
    <definedName name="材10054" localSheetId="7">[154]附表5直接工程费单价表!#REF!</definedName>
    <definedName name="材10056" localSheetId="7">[154]附表5直接工程费单价表!#REF!</definedName>
    <definedName name="材10066" localSheetId="7">[154]附表5直接工程费单价表!#REF!</definedName>
    <definedName name="材10071" localSheetId="7">[154]附表5直接工程费单价表!#REF!</definedName>
    <definedName name="材10075" localSheetId="7">[154]附表5直接工程费单价表!#REF!</definedName>
    <definedName name="材10090" localSheetId="7">[154]附表5直接工程费单价表!#REF!</definedName>
    <definedName name="材10095" localSheetId="7">[154]附表5直接工程费单价表!#REF!</definedName>
    <definedName name="材10114" localSheetId="7">[154]附表5直接工程费单价表!#REF!</definedName>
    <definedName name="材10116" localSheetId="7">[154]附表5直接工程费单价表!#REF!</definedName>
    <definedName name="材10118" localSheetId="7">[154]附表5直接工程费单价表!#REF!</definedName>
    <definedName name="材10204" localSheetId="7">[154]附表5直接工程费单价表!#REF!</definedName>
    <definedName name="材10269" localSheetId="7">[154]附表5直接工程费单价表!#REF!</definedName>
    <definedName name="材10270" localSheetId="7">[154]附表5直接工程费单价表!#REF!</definedName>
    <definedName name="材10271" localSheetId="7">[154]附表5直接工程费单价表!#REF!</definedName>
    <definedName name="材10272" localSheetId="7">[154]附表5直接工程费单价表!#REF!</definedName>
    <definedName name="材10273" localSheetId="7">[154]附表5直接工程费单价表!#REF!</definedName>
    <definedName name="材10275" localSheetId="7">[154]附表5直接工程费单价表!#REF!</definedName>
    <definedName name="材10277" localSheetId="7">[154]附表5直接工程费单价表!#REF!</definedName>
    <definedName name="材10278" localSheetId="7">[154]附表5直接工程费单价表!#REF!</definedName>
    <definedName name="材10279" localSheetId="7">[154]附表5直接工程费单价表!#REF!</definedName>
    <definedName name="材10279A" localSheetId="7">[154]附表5直接工程费单价表!#REF!</definedName>
    <definedName name="材10280" localSheetId="7">[154]附表5直接工程费单价表!#REF!</definedName>
    <definedName name="材10280A" localSheetId="7">[154]附表5直接工程费单价表!#REF!</definedName>
    <definedName name="材10281" localSheetId="7">[154]附表5直接工程费单价表!#REF!</definedName>
    <definedName name="材10281A" localSheetId="7">[154]附表5直接工程费单价表!#REF!</definedName>
    <definedName name="材10282" localSheetId="7">[154]附表5直接工程费单价表!#REF!</definedName>
    <definedName name="材10282A" localSheetId="7">[154]附表5直接工程费单价表!#REF!</definedName>
    <definedName name="材10283" localSheetId="7">[154]附表5直接工程费单价表!#REF!</definedName>
    <definedName name="材10283A" localSheetId="7">[154]附表5直接工程费单价表!#REF!</definedName>
    <definedName name="材10309" localSheetId="7">[154]附表5直接工程费单价表!#REF!</definedName>
    <definedName name="材10310" localSheetId="7">[154]附表5直接工程费单价表!#REF!</definedName>
    <definedName name="材10311" localSheetId="7">[154]附表5直接工程费单价表!#REF!</definedName>
    <definedName name="材10339" localSheetId="7">[154]附表5直接工程费单价表!#REF!</definedName>
    <definedName name="材10345" localSheetId="7">[154]附表5直接工程费单价表!#REF!</definedName>
    <definedName name="材10360" localSheetId="7">[154]附表5直接工程费单价表!#REF!</definedName>
    <definedName name="材10361" localSheetId="7">[154]附表5直接工程费单价表!#REF!</definedName>
    <definedName name="材10365" localSheetId="7">[154]附表5直接工程费单价表!#REF!</definedName>
    <definedName name="材10366" localSheetId="7">[154]附表5直接工程费单价表!#REF!</definedName>
    <definedName name="材10367" localSheetId="7">[154]附表5直接工程费单价表!#REF!</definedName>
    <definedName name="材10464" localSheetId="7">[154]附表5直接工程费单价表!#REF!</definedName>
    <definedName name="材10465" localSheetId="7">[154]附表5直接工程费单价表!#REF!</definedName>
    <definedName name="材10469" localSheetId="7">[154]附表5直接工程费单价表!#REF!</definedName>
    <definedName name="材10469A" localSheetId="7">[154]附表5直接工程费单价表!#REF!</definedName>
    <definedName name="材10473" localSheetId="7">[154]附表5直接工程费单价表!#REF!</definedName>
    <definedName name="材10474" localSheetId="7">[154]附表5直接工程费单价表!#REF!</definedName>
    <definedName name="材12001" localSheetId="7">[154]附表5直接工程费单价表!#REF!</definedName>
    <definedName name="材12074" localSheetId="7">[154]附表5直接工程费单价表!#REF!</definedName>
    <definedName name="材12075" localSheetId="7">[154]附表5直接工程费单价表!#REF!</definedName>
    <definedName name="材2_19_3" localSheetId="7">[154]附表5直接工程费单价表!#REF!</definedName>
    <definedName name="材2_19_4" localSheetId="7">[154]附表5直接工程费单价表!#REF!</definedName>
    <definedName name="材20484" localSheetId="7">[154]附表5直接工程费单价表!#REF!</definedName>
    <definedName name="材20485" localSheetId="7">[154]附表5直接工程费单价表!#REF!</definedName>
    <definedName name="材20488" localSheetId="7">[154]附表5直接工程费单价表!#REF!</definedName>
    <definedName name="材30001" localSheetId="7">[154]附表5直接工程费单价表!#REF!</definedName>
    <definedName name="材30002" localSheetId="7">[154]附表5直接工程费单价表!#REF!</definedName>
    <definedName name="材30016" localSheetId="7">[154]附表5直接工程费单价表!#REF!</definedName>
    <definedName name="材30019" localSheetId="7">[154]附表5直接工程费单价表!#REF!</definedName>
    <definedName name="材30020" localSheetId="7">[154]附表5直接工程费单价表!#REF!</definedName>
    <definedName name="材30021" localSheetId="7">[154]附表5直接工程费单价表!#REF!</definedName>
    <definedName name="材30022" localSheetId="7">[154]附表5直接工程费单价表!#REF!</definedName>
    <definedName name="材30023" localSheetId="7">[154]附表5直接工程费单价表!#REF!</definedName>
    <definedName name="材30024" localSheetId="7">[154]附表5直接工程费单价表!#REF!</definedName>
    <definedName name="材30025" localSheetId="7">[154]附表5直接工程费单价表!#REF!</definedName>
    <definedName name="材30027" localSheetId="7">[154]附表5直接工程费单价表!#REF!</definedName>
    <definedName name="材30028" localSheetId="7">[154]附表5直接工程费单价表!#REF!</definedName>
    <definedName name="材30038" localSheetId="7">[154]附表5直接工程费单价表!#REF!</definedName>
    <definedName name="材30048" localSheetId="7">[154]附表5直接工程费单价表!#REF!</definedName>
    <definedName name="材30048、30051" localSheetId="7">[154]附表5直接工程费单价表!#REF!</definedName>
    <definedName name="材30049" localSheetId="7">[154]附表5直接工程费单价表!#REF!</definedName>
    <definedName name="材30064" localSheetId="7">[161]附表4直接工程费单价表!#REF!</definedName>
    <definedName name="材30067" localSheetId="7">[161]附表4直接工程费单价表!#REF!</definedName>
    <definedName name="材40004" localSheetId="7">[161]附表4直接工程费单价表!#REF!</definedName>
    <definedName name="材40006" localSheetId="7">[171]直接工程费!$F$192</definedName>
    <definedName name="材40006b" localSheetId="7">[161]附表4直接工程费单价表!#REF!</definedName>
    <definedName name="材40006细石" localSheetId="7">[161]附表4直接工程费单价表!#REF!</definedName>
    <definedName name="材40030" localSheetId="7">[161]附表4直接工程费单价表!#REF!</definedName>
    <definedName name="材40031" localSheetId="7">[154]附表5直接工程费单价表!#REF!</definedName>
    <definedName name="材4003115" localSheetId="7">[161]附表4直接工程费单价表!#REF!</definedName>
    <definedName name="材40041b" localSheetId="7">[161]附表4直接工程费单价表!#REF!</definedName>
    <definedName name="材40056" localSheetId="7">[161]附表4直接工程费单价表!#REF!</definedName>
    <definedName name="材40058" localSheetId="7">[154]附表5直接工程费单价表!#REF!</definedName>
    <definedName name="材40058A" localSheetId="7">[154]附表5直接工程费单价表!#REF!</definedName>
    <definedName name="材40061" localSheetId="7">[154]附表5直接工程费单价表!#REF!</definedName>
    <definedName name="材40062" localSheetId="7">[154]附表5直接工程费单价表!#REF!</definedName>
    <definedName name="材40063" localSheetId="7">[161]附表4直接工程费单价表!#REF!</definedName>
    <definedName name="材40064" localSheetId="7">[161]附表4直接工程费单价表!#REF!</definedName>
    <definedName name="材40067" localSheetId="7">[154]附表5直接工程费单价表!#REF!</definedName>
    <definedName name="材40067A" localSheetId="7">[154]附表5直接工程费单价表!#REF!</definedName>
    <definedName name="材40068" localSheetId="7">[154]附表5直接工程费单价表!#REF!</definedName>
    <definedName name="材40069" localSheetId="7">[154]附表5直接工程费单价表!#REF!</definedName>
    <definedName name="材40070" localSheetId="7">[154]附表5直接工程费单价表!#REF!</definedName>
    <definedName name="材40072" localSheetId="7">[154]附表5直接工程费单价表!#REF!</definedName>
    <definedName name="材40073" localSheetId="7">[161]附表4直接工程费单价表!#REF!</definedName>
    <definedName name="材40074" localSheetId="7">[154]附表5直接工程费单价表!#REF!</definedName>
    <definedName name="材40075" localSheetId="7">[154]附表5直接工程费单价表!#REF!</definedName>
    <definedName name="材40076" localSheetId="7">[154]附表5直接工程费单价表!#REF!</definedName>
    <definedName name="材4007620" localSheetId="7">[161]附表4直接工程费单价表!#REF!</definedName>
    <definedName name="材40077" localSheetId="7">[161]附表4直接工程费单价表!#REF!</definedName>
    <definedName name="材40079" localSheetId="7">[154]附表5直接工程费单价表!#REF!</definedName>
    <definedName name="材40090" localSheetId="7">[154]附表5直接工程费单价表!#REF!</definedName>
    <definedName name="材40096" localSheetId="7">[154]附表5直接工程费单价表!#REF!</definedName>
    <definedName name="材40101" localSheetId="7">[154]附表5直接工程费单价表!#REF!</definedName>
    <definedName name="材40101A" localSheetId="7">[154]附表5直接工程费单价表!#REF!</definedName>
    <definedName name="材40101B" localSheetId="7">[154]附表5直接工程费单价表!#REF!</definedName>
    <definedName name="材40109" localSheetId="7">[154]附表5直接工程费单价表!#REF!</definedName>
    <definedName name="材40110" localSheetId="7">[154]附表5直接工程费单价表!#REF!</definedName>
    <definedName name="材40111" localSheetId="7">[154]附表5直接工程费单价表!#REF!</definedName>
    <definedName name="材40112" localSheetId="7">[154]附表5直接工程费单价表!#REF!</definedName>
    <definedName name="材40113" localSheetId="7">[154]附表5直接工程费单价表!#REF!</definedName>
    <definedName name="材40114" localSheetId="7">[154]附表5直接工程费单价表!#REF!</definedName>
    <definedName name="材40115" localSheetId="7">[154]附表5直接工程费单价表!#REF!</definedName>
    <definedName name="材40116" localSheetId="7">[154]附表5直接工程费单价表!#REF!</definedName>
    <definedName name="材40117" localSheetId="7">[154]附表5直接工程费单价表!#REF!</definedName>
    <definedName name="材40118" localSheetId="7">[154]附表5直接工程费单价表!#REF!</definedName>
    <definedName name="材40120" localSheetId="7">[154]附表5直接工程费单价表!#REF!</definedName>
    <definedName name="材40124" localSheetId="7">[154]附表5直接工程费单价表!#REF!</definedName>
    <definedName name="材40125" localSheetId="7">[154]附表5直接工程费单价表!#REF!</definedName>
    <definedName name="材40133" localSheetId="7">[161]附表4直接工程费单价表!#REF!</definedName>
    <definedName name="材40134" localSheetId="7">[154]附表5直接工程费单价表!#REF!</definedName>
    <definedName name="材40143" localSheetId="7">[154]附表5直接工程费单价表!#REF!</definedName>
    <definedName name="材40203" localSheetId="7">[161]附表4直接工程费单价表!#REF!</definedName>
    <definedName name="材40210" localSheetId="7">[161]附表4直接工程费单价表!#REF!</definedName>
    <definedName name="材40214苯" localSheetId="7">[161]附表4直接工程费单价表!#REF!</definedName>
    <definedName name="材40224" localSheetId="7">[154]附表5直接工程费单价表!#REF!</definedName>
    <definedName name="材40260" localSheetId="7">[154]附表5直接工程费单价表!#REF!</definedName>
    <definedName name="材40263" localSheetId="7">[154]附表5直接工程费单价表!#REF!</definedName>
    <definedName name="材40271" localSheetId="7">[154]附表5直接工程费单价表!#REF!</definedName>
    <definedName name="材40286" localSheetId="7">[154]附表5直接工程费单价表!#REF!</definedName>
    <definedName name="材40287" localSheetId="7">[154]附表5直接工程费单价表!#REF!</definedName>
    <definedName name="材40288" localSheetId="7">[154]附表5直接工程费单价表!#REF!</definedName>
    <definedName name="材40289" localSheetId="7">[154]附表5直接工程费单价表!#REF!</definedName>
    <definedName name="材40289A" localSheetId="7">[154]附表5直接工程费单价表!#REF!</definedName>
    <definedName name="材40306" localSheetId="7">[154]附表5直接工程费单价表!#REF!</definedName>
    <definedName name="材40306A" localSheetId="7">[154]附表5直接工程费单价表!#REF!</definedName>
    <definedName name="材40306B" localSheetId="7">[154]附表5直接工程费单价表!#REF!</definedName>
    <definedName name="材50003" localSheetId="7">[154]附表5直接工程费单价表!#REF!</definedName>
    <definedName name="材50004" localSheetId="7">[154]附表5直接工程费单价表!#REF!</definedName>
    <definedName name="材50005" localSheetId="7">[154]附表5直接工程费单价表!#REF!</definedName>
    <definedName name="材50006" localSheetId="7">[154]附表5直接工程费单价表!#REF!</definedName>
    <definedName name="材50014" localSheetId="7">[172]附表4工程费单价表!#REF!</definedName>
    <definedName name="材50045" localSheetId="7">[154]附表5直接工程费单价表!#REF!</definedName>
    <definedName name="材50046" localSheetId="7">[154]附表5直接工程费单价表!#REF!</definedName>
    <definedName name="材50049" localSheetId="7">[154]附表5直接工程费单价表!#REF!</definedName>
    <definedName name="材50050" localSheetId="7">[154]附表5直接工程费单价表!#REF!</definedName>
    <definedName name="材50064" localSheetId="7">[161]附表4直接工程费单价表!#REF!</definedName>
    <definedName name="材50067" localSheetId="7">[161]附表4直接工程费单价表!#REF!</definedName>
    <definedName name="材50113" localSheetId="7">[172]附表4工程费单价表!#REF!</definedName>
    <definedName name="材70007" localSheetId="7">[161]附表4直接工程费单价表!#REF!</definedName>
    <definedName name="材70013" localSheetId="7">[161]附表4直接工程费单价表!#REF!</definedName>
    <definedName name="材70014" localSheetId="7">[161]附表4直接工程费单价表!#REF!</definedName>
    <definedName name="材70070" localSheetId="7">[161]附表4直接工程费单价表!#REF!</definedName>
    <definedName name="材70105" localSheetId="7">[161]附表4直接工程费单价表!#REF!</definedName>
    <definedName name="材70106" localSheetId="7">[161]附表4直接工程费单价表!#REF!</definedName>
    <definedName name="材70125" localSheetId="7">[161]附表4直接工程费单价表!#REF!</definedName>
    <definedName name="材70194" localSheetId="7">[154]附表5直接工程费单价表!#REF!</definedName>
    <definedName name="材70195" localSheetId="7">[154]附表5直接工程费单价表!#REF!</definedName>
    <definedName name="材70196" localSheetId="7">[154]附表5直接工程费单价表!#REF!</definedName>
    <definedName name="材80023加8002410" localSheetId="7">[161]附表4直接工程费单价表!#REF!</definedName>
    <definedName name="材80033" localSheetId="7">[161]附表4直接工程费单价表!#REF!</definedName>
    <definedName name="材80034" localSheetId="7">[161]附表4直接工程费单价表!#REF!</definedName>
    <definedName name="材90013" localSheetId="7">[161]附表4直接工程费单价表!#REF!</definedName>
    <definedName name="材90014" localSheetId="7">[154]附表5直接工程费单价表!#REF!</definedName>
    <definedName name="材90017" localSheetId="7">[154]附表5直接工程费单价表!#REF!</definedName>
    <definedName name="材90017A" localSheetId="7">[154]附表5直接工程费单价表!#REF!</definedName>
    <definedName name="材90085" localSheetId="7">[154]附表5直接工程费单价表!#REF!</definedName>
    <definedName name="材90086" localSheetId="7">[154]附表5直接工程费单价表!#REF!</definedName>
    <definedName name="材90087" localSheetId="7">[154]附表5直接工程费单价表!#REF!</definedName>
    <definedName name="材90087A" localSheetId="7">[154]附表5直接工程费单价表!#REF!</definedName>
    <definedName name="材90136" localSheetId="7">[154]附表5直接工程费单价表!#REF!</definedName>
    <definedName name="材90147" localSheetId="7">[154]附表5直接工程费单价表!#REF!</definedName>
    <definedName name="材90189" localSheetId="7">[154]附表5直接工程费单价表!#REF!</definedName>
    <definedName name="材补1" localSheetId="7">[154]附表5直接工程费单价表!#REF!</definedName>
    <definedName name="材补1A" localSheetId="7">[154]附表5直接工程费单价表!#REF!</definedName>
    <definedName name="材补2" localSheetId="7">[154]附表5直接工程费单价表!#REF!</definedName>
    <definedName name="材补3" localSheetId="7">[154]附表5直接工程费单价表!#REF!</definedName>
    <definedName name="材补4" localSheetId="7">[154]附表5直接工程费单价表!#REF!</definedName>
    <definedName name="材补5" localSheetId="7">[154]附表5直接工程费单价表!#REF!</definedName>
    <definedName name="材参60432" localSheetId="7">[154]附表5直接工程费单价表!#REF!</definedName>
    <definedName name="材建11_25换" localSheetId="7">[154]附表5直接工程费单价表!#REF!</definedName>
    <definedName name="材建4_10换" localSheetId="7">[154]附表5直接工程费单价表!#REF!</definedName>
    <definedName name="材井" localSheetId="7">#REF!</definedName>
    <definedName name="材料差价" localSheetId="7">'[173]#REF'!$C$2</definedName>
    <definedName name="槽钢" localSheetId="7">[161]附表2材料价格计算表!#REF!</definedName>
    <definedName name="插入式振捣器2.2kw" localSheetId="7">#REF!</definedName>
    <definedName name="插入式振动器1.1kw" localSheetId="7">[154]附表3机械台班!#REF!</definedName>
    <definedName name="插入式振动器1.5kw" localSheetId="7">[154]附表3机械台班!#REF!</definedName>
    <definedName name="插入式振动器2.2kw" localSheetId="7">[174]附表3机械!$K$56</definedName>
    <definedName name="插座φ33" localSheetId="7">[154]附表2材料价格表!#REF!</definedName>
    <definedName name="拆迁补偿费" localSheetId="7">#REF!</definedName>
    <definedName name="柴油" localSheetId="7">#REF!</definedName>
    <definedName name="铲运机2.75m3" localSheetId="7">[154]附表3机械台班!#REF!</definedName>
    <definedName name="承插式三通" localSheetId="7">[153]附表2!#REF!</definedName>
    <definedName name="冲击钻机CZ_22型" localSheetId="7">[154]附表3机械台班!#REF!</definedName>
    <definedName name="瓷横担_S210" localSheetId="7">[154]附表2材料价格表!#REF!</definedName>
    <definedName name="瓷横担S210" localSheetId="7">[154]附表2材料价格表!#REF!</definedName>
    <definedName name="瓷横担S210Z" localSheetId="7">[161]附表2材料价格计算表!#REF!</definedName>
    <definedName name="瓷瓶" localSheetId="7">[154]附表2材料价格表!#REF!</definedName>
    <definedName name="刺槐" localSheetId="7">[153]附表2!#REF!</definedName>
    <definedName name="粗砂" localSheetId="7">[154]附表2材料价格表!#REF!</definedName>
    <definedName name="单" localSheetId="7">'[62]#REF'!$E$2</definedName>
    <definedName name="单10245c" localSheetId="7">[172]附表4工程费单价表!#REF!</definedName>
    <definedName name="单承PVC塑管φ110×3.2×9000" localSheetId="7">[154]附表2材料价格表!#REF!</definedName>
    <definedName name="单承PVC塑管φ125×3.7×9000" localSheetId="7">[154]附表2材料价格表!#REF!</definedName>
    <definedName name="单承PVC塑管φ160×4.7×9000" localSheetId="7">[154]附表2材料价格表!#REF!</definedName>
    <definedName name="单承PVC塑管φ200×5.9×10000" localSheetId="7">[154]附表2材料价格表!#REF!</definedName>
    <definedName name="单承PVC塑管φ200×5.9×9000" localSheetId="7">[154]附表2材料价格表!#REF!</definedName>
    <definedName name="单承PVC塑管φ225×6.6×10000" localSheetId="7">[154]附表2材料价格表!#REF!</definedName>
    <definedName name="单承PVC塑管φ250×7.3×10000" localSheetId="7">[154]附表2材料价格表!#REF!</definedName>
    <definedName name="单承PVC塑管φ315×9.2×10000" localSheetId="7">[154]附表2材料价格表!#REF!</definedName>
    <definedName name="单承PVC塑管φ355×10.4×10000" localSheetId="7">[154]附表2材料价格表!#REF!</definedName>
    <definedName name="单承PVC塑管φ400×11.7×10000" localSheetId="7">[154]附表2材料价格表!#REF!</definedName>
    <definedName name="单承PVC塑管φ500×14.6×10000" localSheetId="7">[154]附表2材料价格表!#REF!</definedName>
    <definedName name="单承PVC塑管φ90×2.8×9000" localSheetId="7">[154]附表2材料价格表!#REF!</definedName>
    <definedName name="单斗挖掘机油动斗容0.5m3" localSheetId="7">[80]机械汇总!$K$6</definedName>
    <definedName name="单价" localSheetId="7">[154]附表5直接工程费单价表!#REF!</definedName>
    <definedName name="单盘插头" localSheetId="7">[154]附表2材料价格表!#REF!</definedName>
    <definedName name="单盘插头110" localSheetId="7">[154]附表2材料价格表!#REF!</definedName>
    <definedName name="单盘插头φ160" localSheetId="7">[154]附表2材料价格表!#REF!</definedName>
    <definedName name="单盘插头φ200" localSheetId="7">[154]附表2材料价格表!#REF!</definedName>
    <definedName name="单盘插头φ225" localSheetId="7">[154]附表2材料价格表!#REF!</definedName>
    <definedName name="单盘插头φ250" localSheetId="7">[154]附表2材料价格表!#REF!</definedName>
    <definedName name="单盘插头φ315" localSheetId="7">[154]附表2材料价格表!#REF!</definedName>
    <definedName name="单盘插头φ355" localSheetId="7">[154]附表2材料价格表!#REF!</definedName>
    <definedName name="单盘插头φ400" localSheetId="7">[154]附表2材料价格表!#REF!</definedName>
    <definedName name="单盘插头φ500" localSheetId="7">[154]附表2材料价格表!#REF!</definedName>
    <definedName name="单盘铝承头φ76" localSheetId="7">[154]附表2材料价格表!#REF!</definedName>
    <definedName name="单盘三通φ110×80×110" localSheetId="7">[154]附表2材料价格表!#REF!</definedName>
    <definedName name="单盘三通φ125×80×125" localSheetId="7">[154]附表2材料价格表!#REF!</definedName>
    <definedName name="单盘三通φ160×80×160" localSheetId="7">[154]附表2材料价格表!#REF!</definedName>
    <definedName name="单盘三通φ200×80×200" localSheetId="7">[154]附表2材料价格表!#REF!</definedName>
    <definedName name="单位" localSheetId="7">'[62]#REF'!$C$2</definedName>
    <definedName name="挡浸沟涵洞" localSheetId="7">#REF!</definedName>
    <definedName name="导火线" localSheetId="7">#REF!</definedName>
    <definedName name="导线" localSheetId="7">[154]附表2材料价格表!#REF!</definedName>
    <definedName name="导线_BLX_16" localSheetId="7">[154]附表2材料价格表!#REF!</definedName>
    <definedName name="导线_LGJ" localSheetId="7">[154]附表2材料价格表!#REF!</definedName>
    <definedName name="导线BLGJ" localSheetId="7">[161]附表2材料价格计算表!#REF!</definedName>
    <definedName name="导线BLX_16" localSheetId="7">[154]附表2材料价格表!#REF!</definedName>
    <definedName name="导线BLX16" localSheetId="7">[161]附表2材料价格计算表!#REF!</definedName>
    <definedName name="导线L_G_J" localSheetId="7">[154]附表2材料价格表!#REF!</definedName>
    <definedName name="导线LGJ" localSheetId="7">[154]附表2材料价格表!#REF!</definedName>
    <definedName name="导线LGJ_1" localSheetId="7">[154]附表2材料价格表!#REF!</definedName>
    <definedName name="导线LGJ1" localSheetId="7">[154]附表2材料价格表!#REF!</definedName>
    <definedName name="道路工程" localSheetId="7">[175]表3工程施工费表!$I$10</definedName>
    <definedName name="道路影响投资" localSheetId="7">#REF!</definedName>
    <definedName name="的" localSheetId="7">#REF!</definedName>
    <definedName name="滴灌带φ16" localSheetId="7">[154]附表2材料价格表!#REF!</definedName>
    <definedName name="滴头" localSheetId="7">[153]附表2!#REF!</definedName>
    <definedName name="电" localSheetId="7">#REF!</definedName>
    <definedName name="电动葫芦3t" localSheetId="7">[154]附表3机械台班!#REF!</definedName>
    <definedName name="电杆" localSheetId="7">[154]附表2材料价格表!#REF!</definedName>
    <definedName name="电杆_10m" localSheetId="7">[154]附表2材料价格表!#REF!</definedName>
    <definedName name="电焊机25kvA" localSheetId="7">[154]附表3机械台班!#REF!</definedName>
    <definedName name="电焊机30KVA" localSheetId="7">[154]附表3机械台班!#REF!</definedName>
    <definedName name="电焊机交流30kVA" localSheetId="7">[174]附表3机械!$K$120</definedName>
    <definedName name="电焊条" localSheetId="7">#REF!</definedName>
    <definedName name="电焊条结32" localSheetId="7">[161]附表2材料价格计算表!#REF!</definedName>
    <definedName name="电气设备调差系数" localSheetId="7">#REF!</definedName>
    <definedName name="电石" localSheetId="7">#REF!</definedName>
    <definedName name="跌落开关RW11_200_10" localSheetId="7">[154]附表2材料价格表!#REF!</definedName>
    <definedName name="定额编号_1213" localSheetId="7">#REF!</definedName>
    <definedName name="定额编号_2154" localSheetId="7">#REF!</definedName>
    <definedName name="定额编号_3007" localSheetId="7">#REF!</definedName>
    <definedName name="定额编号_4067" localSheetId="7">#REF!</definedName>
    <definedName name="定额编号_4069" localSheetId="7">#REF!</definedName>
    <definedName name="定额编号_6091" localSheetId="7">#REF!</definedName>
    <definedName name="定额编号_6093" localSheetId="7">#REF!</definedName>
    <definedName name="定额编号_8020" localSheetId="7">#REF!</definedName>
    <definedName name="定额编号_8243" localSheetId="7">#REF!</definedName>
    <definedName name="堵头φ76" localSheetId="7">[154]附表2材料价格表!#REF!</definedName>
    <definedName name="镀锌扁钢" localSheetId="7">[161]附表2材料价格计算表!#REF!</definedName>
    <definedName name="镀锌钢管" localSheetId="7">#REF!</definedName>
    <definedName name="镀锌钢绞拉线GJ_50" localSheetId="7">[154]附表2材料价格表!#REF!</definedName>
    <definedName name="镀锌钢绞线GL35" localSheetId="7">[161]附表2材料价格计算表!#REF!</definedName>
    <definedName name="镀锌钢绞线GL50" localSheetId="7">[161]附表2材料价格计算表!#REF!</definedName>
    <definedName name="镀锌铁皮0.35" localSheetId="7">[167]次要材料预算价格!#REF!</definedName>
    <definedName name="镀锌铁丝8" localSheetId="7">[154]附表2材料价格表!#REF!</definedName>
    <definedName name="对焊机150型" localSheetId="7">[154]附表3机械台班!#REF!</definedName>
    <definedName name="对焊机电弧150kvA" localSheetId="7">#REF!</definedName>
    <definedName name="镦" localSheetId="7">[176]材料费!$D$6</definedName>
    <definedName name="多" localSheetId="7">[177]单价表!#REF!</definedName>
    <definedName name="多眼拉板_60_6_300" localSheetId="7">[154]附表2材料价格表!#REF!</definedName>
    <definedName name="多眼拉板_60_6_350" localSheetId="7">[154]附表2材料价格表!#REF!</definedName>
    <definedName name="二丁脂" localSheetId="7">[154]附表2材料价格表!#REF!</definedName>
    <definedName name="二合抱箍抱1_190" localSheetId="7">[154]附表2材料价格表!#REF!</definedName>
    <definedName name="二合抱箍抱2_200" localSheetId="7">[154]附表2材料价格表!#REF!</definedName>
    <definedName name="阀兰阀体" localSheetId="7">[154]附表2材料价格表!#REF!</definedName>
    <definedName name="阀兰阀体80" localSheetId="7">[154]附表2材料价格表!#REF!</definedName>
    <definedName name="阀门φ120" localSheetId="7">[154]附表2材料价格表!#REF!</definedName>
    <definedName name="阀门φ90" localSheetId="7">[154]附表2材料价格表!#REF!</definedName>
    <definedName name="法兰螺栓" localSheetId="7">[154]附表2材料价格表!#REF!</definedName>
    <definedName name="法兰盘φ120" localSheetId="7">[154]附表2材料价格表!#REF!</definedName>
    <definedName name="法兰盘φ90" localSheetId="7">[154]附表2材料价格表!#REF!</definedName>
    <definedName name="放空管φ150×1500" localSheetId="7">[154]附表2材料价格表!#REF!</definedName>
    <definedName name="风" localSheetId="7">#REF!</definedName>
    <definedName name="风砂水枪" localSheetId="7">[178]附表3机械台班计算表!$K$36</definedName>
    <definedName name="风水枪" localSheetId="7">[154]附表3机械台班!#REF!</definedName>
    <definedName name="封井泥球" localSheetId="7">[154]附表2材料价格表!#REF!</definedName>
    <definedName name="浮力塞" localSheetId="7">[154]附表2材料价格表!#REF!</definedName>
    <definedName name="复合土工膜" localSheetId="7">[154]附表2材料价格表!#REF!</definedName>
    <definedName name="杆顶帽_帽_11" localSheetId="7">[154]附表2材料价格表!#REF!</definedName>
    <definedName name="杆顶帽_帽_3" localSheetId="7">[154]附表2材料价格表!#REF!</definedName>
    <definedName name="钢板" localSheetId="7">[154]附表2材料价格表!#REF!</definedName>
    <definedName name="钢板4mm" localSheetId="7">[154]附表2材料价格表!#REF!</definedName>
    <definedName name="钢材" localSheetId="7">[154]附表2材料价格表!#REF!</definedName>
    <definedName name="钢垫板" localSheetId="7">[161]附表2材料价格计算表!#REF!</definedName>
    <definedName name="钢管" localSheetId="7">[154]附表2材料价格表!#REF!</definedName>
    <definedName name="钢管200" localSheetId="7">[153]附表2!#REF!</definedName>
    <definedName name="钢管250" localSheetId="7">[153]附表2!#REF!</definedName>
    <definedName name="钢管300" localSheetId="7">[153]附表2!#REF!</definedName>
    <definedName name="钢管φ120" localSheetId="7">[154]附表2材料价格表!#REF!</definedName>
    <definedName name="钢管φ140" localSheetId="7">[154]附表2材料价格表!#REF!</definedName>
    <definedName name="钢管φ160" localSheetId="7">[154]附表2材料价格表!#REF!</definedName>
    <definedName name="钢绞拉线GJ_35" localSheetId="7">[154]附表2材料价格表!#REF!</definedName>
    <definedName name="钢绞线GJ_25" localSheetId="7">[154]附表2材料价格表!#REF!</definedName>
    <definedName name="钢绞线GJ_35" localSheetId="7">[154]附表2材料价格表!#REF!</definedName>
    <definedName name="钢绞线GJ_35kg" localSheetId="7">[154]附表2材料价格表!#REF!</definedName>
    <definedName name="钢筋" localSheetId="7">#REF!</definedName>
    <definedName name="钢筋1" localSheetId="7">[179]材料调差!$L$5</definedName>
    <definedName name="钢筋10上" localSheetId="7">'[96]附表2-1主材'!$L$7</definedName>
    <definedName name="钢筋10下" localSheetId="7">'[96]附表2-1主材'!$L$6</definedName>
    <definedName name="钢筋10以内" localSheetId="7">[154]附表2材料价格表!#REF!</definedName>
    <definedName name="钢筋10以外" localSheetId="7">[154]附表2材料价格表!#REF!</definedName>
    <definedName name="钢筋φ12" localSheetId="7">[154]附表2材料价格表!#REF!</definedName>
    <definedName name="钢筋φ16" localSheetId="7">[154]附表2材料价格表!#REF!</definedName>
    <definedName name="钢筋φ8" localSheetId="7">[154]附表2材料价格表!#REF!</definedName>
    <definedName name="钢筋切断机10kw" localSheetId="7">#REF!</definedName>
    <definedName name="钢筋切断机20kw" localSheetId="7">[154]附表3机械台班!#REF!</definedName>
    <definedName name="钢筋调直机14kw" localSheetId="7">#REF!</definedName>
    <definedName name="钢筋砼C20管" localSheetId="7">[154]附表2材料价格表!#REF!</definedName>
    <definedName name="钢筋砼C20管_DN600" localSheetId="7">[154]附表2材料价格表!#REF!</definedName>
    <definedName name="钢筋砼管1000" localSheetId="7">[167]次要材料预算价格!#REF!</definedName>
    <definedName name="钢筋砼管300" localSheetId="7">[167]次要材料预算价格!#REF!</definedName>
    <definedName name="钢筋砼管400" localSheetId="7">[167]次要材料预算价格!#REF!</definedName>
    <definedName name="钢筋砼管500" localSheetId="7">[167]次要材料预算价格!#REF!</definedName>
    <definedName name="钢筋砼管600" localSheetId="7">[167]次要材料预算价格!#REF!</definedName>
    <definedName name="钢筋砼管800" localSheetId="7">[167]次要材料预算价格!#REF!</definedName>
    <definedName name="钢筋砼管C25Φ1000" localSheetId="7">[80]材价汇!$D$43</definedName>
    <definedName name="钢筋砼管C25Φ400" localSheetId="7">[80]材价汇!$D$40</definedName>
    <definedName name="钢筋砼管C25Φ500" localSheetId="7">[80]材价汇!$D$41</definedName>
    <definedName name="钢筋砼管C25Φ600" localSheetId="7">[161]附表2材料价格计算表!#REF!</definedName>
    <definedName name="钢筋砼管C25Φ800" localSheetId="7">[80]材价汇!$D$42</definedName>
    <definedName name="钢筋弯曲机40mm" localSheetId="7">#REF!</definedName>
    <definedName name="钢筋弯曲机φ6_40" localSheetId="7">[154]附表3机械台班!#REF!</definedName>
    <definedName name="钢模板" localSheetId="7">[154]附表2材料价格表!#REF!</definedName>
    <definedName name="钢芯铝绞线LGJ_50_8" localSheetId="7">[154]附表2材料价格表!#REF!</definedName>
    <definedName name="给水栓" localSheetId="7">[154]附表2材料价格表!#REF!</definedName>
    <definedName name="给水栓三通Dg160×60" localSheetId="7">[154]附表2材料价格表!#REF!</definedName>
    <definedName name="给水栓三通Dg180×60" localSheetId="7">[154]附表2材料价格表!#REF!</definedName>
    <definedName name="给水栓三通Dg90×60" localSheetId="7">[154]附表2材料价格表!#REF!</definedName>
    <definedName name="工" localSheetId="7">#REF!</definedName>
    <definedName name="工100002" localSheetId="7">[153]附表4单价!#REF!</definedName>
    <definedName name="工10015" localSheetId="7">[180]单价宁夏新!$F$1980</definedName>
    <definedName name="工10017" localSheetId="7">[161]附表4直接工程费单价表!#REF!</definedName>
    <definedName name="工10020" localSheetId="7">[153]附表4单价!$F$60</definedName>
    <definedName name="工10029" localSheetId="7">[153]附表4单价!$F$74</definedName>
    <definedName name="工10042" localSheetId="7">[161]附表4直接工程费单价表!#REF!</definedName>
    <definedName name="工10043" localSheetId="7">[161]附表4直接工程费单价表!#REF!</definedName>
    <definedName name="工10203" localSheetId="7">[161]附表4直接工程费单价表!$F$46</definedName>
    <definedName name="工10269" localSheetId="7">[161]附表4直接工程费单价表!#REF!</definedName>
    <definedName name="工10302" localSheetId="7">[153]附表4单价!$F$110</definedName>
    <definedName name="工10305" localSheetId="7">[153]附表4单价!$F$144</definedName>
    <definedName name="工10333" localSheetId="7">[161]附表4直接工程费单价表!#REF!</definedName>
    <definedName name="工10334" localSheetId="7">[153]附表4单价!$F$196</definedName>
    <definedName name="工10344" localSheetId="7">[161]附表4直接工程费单价表!#REF!</definedName>
    <definedName name="工10345" localSheetId="7">[161]附表4直接工程费单价表!$F$83</definedName>
    <definedName name="工10364" localSheetId="7">[153]附表4单价!$F$256</definedName>
    <definedName name="工30003" localSheetId="7">[161]附表4直接工程费单价表!$F$100</definedName>
    <definedName name="工30017" localSheetId="7">[153]附表4单价!$F$337</definedName>
    <definedName name="工30018" localSheetId="7">[153]附表4单价!$F$359</definedName>
    <definedName name="工30019" localSheetId="7">[153]附表4单价!$F$379</definedName>
    <definedName name="工30019b" localSheetId="7">[161]附表4直接工程费单价表!$F$172</definedName>
    <definedName name="工30020" localSheetId="7">[153]附表4单价!$F$400</definedName>
    <definedName name="工30021" localSheetId="7">[153]附表4单价!$F$421</definedName>
    <definedName name="工30021b" localSheetId="7">[161]附表4直接工程费单价表!$F$226</definedName>
    <definedName name="工30028" localSheetId="7">[161]附表4直接工程费单价表!#REF!</definedName>
    <definedName name="工30058" localSheetId="7">[153]附表4单价!$F$730</definedName>
    <definedName name="工30064" localSheetId="7">[161]附表4直接工程费单价表!#REF!</definedName>
    <definedName name="工30065" localSheetId="7">[153]附表4单价!$F$1560</definedName>
    <definedName name="工30066" localSheetId="7">[161]附表4直接工程费单价表!$F$278</definedName>
    <definedName name="工3007" localSheetId="7">[180]单价宁夏新!$F$1953</definedName>
    <definedName name="工40004" localSheetId="7">[161]附表4直接工程费单价表!#REF!</definedName>
    <definedName name="工40006" localSheetId="7">[161]附表4直接工程费单价表!$F$311</definedName>
    <definedName name="工40006b" localSheetId="7">[161]附表4直接工程费单价表!#REF!</definedName>
    <definedName name="工40006d" localSheetId="7">[153]附表4单价!$F$492</definedName>
    <definedName name="工40006细石" localSheetId="7">[161]附表4直接工程费单价表!#REF!</definedName>
    <definedName name="工40023b" localSheetId="7">[153]附表4单价!$F$607</definedName>
    <definedName name="工40030" localSheetId="7">[161]附表4直接工程费单价表!#REF!</definedName>
    <definedName name="工40031a" localSheetId="7">[161]附表4直接工程费单价表!#REF!</definedName>
    <definedName name="工40041a" localSheetId="7">[161]附表4直接工程费单价表!$F$408</definedName>
    <definedName name="工40041b" localSheetId="7">[161]附表4直接工程费单价表!#REF!</definedName>
    <definedName name="工40056" localSheetId="7">[153]附表4单价!#REF!</definedName>
    <definedName name="工40056a" localSheetId="7">[153]附表4单价!#REF!</definedName>
    <definedName name="工40066" localSheetId="7">[153]附表4单价!$F$776</definedName>
    <definedName name="工40073" localSheetId="7">[161]附表4直接工程费单价表!#REF!</definedName>
    <definedName name="工40076" localSheetId="7">[161]附表4直接工程费单价表!#REF!</definedName>
    <definedName name="工40076d" localSheetId="7">[153]附表4单价!$F$842</definedName>
    <definedName name="工40077" localSheetId="7">[161]附表4直接工程费单价表!#REF!</definedName>
    <definedName name="工40079" localSheetId="7">[161]附表4直接工程费单价表!$F$565</definedName>
    <definedName name="工40115" localSheetId="7">[153]附表4单价!$F$989</definedName>
    <definedName name="工40116" localSheetId="7">[161]附表4直接工程费单价表!$F$629</definedName>
    <definedName name="工40123" localSheetId="7">[153]附表4单价!$F$1012</definedName>
    <definedName name="工40124" localSheetId="7">[153]附表4单价!$F$1040</definedName>
    <definedName name="工40136" localSheetId="7">[153]附表4单价!$F$1096</definedName>
    <definedName name="工40139" localSheetId="7">[153]附表4单价!$F$1129</definedName>
    <definedName name="工40159" localSheetId="7">[153]附表4单价!$F$1174</definedName>
    <definedName name="工40172" localSheetId="7">[153]附表4单价!#REF!</definedName>
    <definedName name="工40190" localSheetId="7">[153]附表4单价!#REF!</definedName>
    <definedName name="工40192" localSheetId="7">[161]附表4直接工程费单价表!#REF!</definedName>
    <definedName name="工40199" localSheetId="7">[153]附表4单价!#REF!</definedName>
    <definedName name="工40203" localSheetId="7">[161]附表4直接工程费单价表!#REF!</definedName>
    <definedName name="工40211" localSheetId="7">[161]附表4直接工程费单价表!$F$853</definedName>
    <definedName name="工40211补" localSheetId="7">[153]附表4单价!#REF!</definedName>
    <definedName name="工40215" localSheetId="7">[161]附表4直接工程费单价表!$F$900</definedName>
    <definedName name="工40215补" localSheetId="7">[153]附表4单价!$F$1222</definedName>
    <definedName name="工40216" localSheetId="7">[153]附表4单价!$F$2138</definedName>
    <definedName name="工40218" localSheetId="7">[153]附表4单价!$F$2192</definedName>
    <definedName name="工40220" localSheetId="7">[153]附表4单价!$F$2220</definedName>
    <definedName name="工40226" localSheetId="7">[153]附表4单价!$F$2240</definedName>
    <definedName name="工40231" localSheetId="7">[153]附表4单价!$F$2291</definedName>
    <definedName name="工40233" localSheetId="7">[153]附表4单价!$F$2337</definedName>
    <definedName name="工40235" localSheetId="7">[153]附表4单价!$F$2360</definedName>
    <definedName name="工4124a" localSheetId="7">[180]单价宁夏新!$F$2201</definedName>
    <definedName name="工50060" localSheetId="7">[153]附表4单价!#REF!</definedName>
    <definedName name="工50061" localSheetId="7">[153]附表4单价!#REF!</definedName>
    <definedName name="工50062" localSheetId="7">[153]附表4单价!#REF!</definedName>
    <definedName name="工50064" localSheetId="7">[161]附表4直接工程费单价表!#REF!</definedName>
    <definedName name="工50067" localSheetId="7">[161]附表4直接工程费单价表!#REF!</definedName>
    <definedName name="工50079改1" localSheetId="7">[153]附表4单价!#REF!</definedName>
    <definedName name="工50079改2" localSheetId="7">[153]附表4单价!#REF!</definedName>
    <definedName name="工50079改3" localSheetId="7">[153]附表4单价!#REF!</definedName>
    <definedName name="工50079改4" localSheetId="7">[153]附表4单价!#REF!</definedName>
    <definedName name="工50079改5" localSheetId="7">[153]附表4单价!#REF!</definedName>
    <definedName name="工50079改6" localSheetId="7">[153]附表4单价!#REF!</definedName>
    <definedName name="工50079改7" localSheetId="7">[153]附表4单价!#REF!</definedName>
    <definedName name="工50079改8" localSheetId="7">[153]附表4单价!#REF!</definedName>
    <definedName name="工50079改9" localSheetId="7">[153]附表4单价!#REF!</definedName>
    <definedName name="工50110a" localSheetId="7">[153]附表4单价!#REF!</definedName>
    <definedName name="工50111" localSheetId="7">[153]附表4单价!$F$1367</definedName>
    <definedName name="工50112" localSheetId="7">[153]附表4单价!#REF!</definedName>
    <definedName name="工50113" localSheetId="7">[153]附表4单价!#REF!</definedName>
    <definedName name="工70001" localSheetId="7">[153]附表4单价!$F$1502</definedName>
    <definedName name="工70007" localSheetId="7">[161]附表4直接工程费单价表!#REF!</definedName>
    <definedName name="工70014" localSheetId="7">[161]附表4直接工程费单价表!#REF!</definedName>
    <definedName name="工70046" localSheetId="7">[153]附表4单价!#REF!</definedName>
    <definedName name="工70048" localSheetId="7">[153]附表4单价!#REF!</definedName>
    <definedName name="工80014a" localSheetId="7">[153]附表4单价!#REF!</definedName>
    <definedName name="工80014b" localSheetId="7">[153]附表4单价!#REF!</definedName>
    <definedName name="工80015" localSheetId="7">[153]附表4单价!$F$1282</definedName>
    <definedName name="工80015加80016" localSheetId="7">[161]附表4直接工程费单价表!#REF!</definedName>
    <definedName name="工80015加800166" localSheetId="7">[161]附表4直接工程费单价表!$F$1067</definedName>
    <definedName name="工80015减80016" localSheetId="7">[161]附表4直接工程费单价表!#REF!</definedName>
    <definedName name="工80023" localSheetId="7">[161]附表4直接工程费单价表!$F$1089</definedName>
    <definedName name="工80023a" localSheetId="7">[153]附表4单价!$F$1336</definedName>
    <definedName name="工90001" localSheetId="7">[153]附表4单价!#REF!</definedName>
    <definedName name="工90001a" localSheetId="7">[153]附表4单价!#REF!</definedName>
    <definedName name="工90001b" localSheetId="7">[161]附表4直接工程费单价表!$F$1125</definedName>
    <definedName name="工90001c" localSheetId="7">[161]附表4直接工程费单价表!#REF!</definedName>
    <definedName name="工90013" localSheetId="7">[161]附表4直接工程费单价表!#REF!</definedName>
    <definedName name="工9001c" localSheetId="7">[161]附表4直接工程费单价表!#REF!</definedName>
    <definedName name="工程监理费" localSheetId="7">#REF!</definedName>
    <definedName name="工程监理费南" localSheetId="7">'[170]表5-2工程监理费南'!$E$10</definedName>
    <definedName name="工程胶" localSheetId="7">[154]附表2材料价格表!#REF!</definedName>
    <definedName name="工程量清单" localSheetId="7">#REF!</definedName>
    <definedName name="工程量调整系数" localSheetId="7">#REF!</definedName>
    <definedName name="工程施工费" localSheetId="7">#REF!</definedName>
    <definedName name="工程施工费工" localSheetId="7">[80]表2预算汇总表!$H$338</definedName>
    <definedName name="工程施工费南" localSheetId="7">'[170]表3工程施工费南 '!$H$515</definedName>
    <definedName name="工土地平整" localSheetId="7">[161]表3工程施工费用!#REF!</definedName>
    <definedName name="沟槽石方开挖_______________工程" localSheetId="7">#REF!</definedName>
    <definedName name="关键" localSheetId="7">#REF!</definedName>
    <definedName name="管件" localSheetId="7">[154]附表2材料价格表!#REF!</definedName>
    <definedName name="管件φ120" localSheetId="7">[154]附表2材料价格表!#REF!</definedName>
    <definedName name="管件φ90" localSheetId="7">[154]附表2材料价格表!#REF!</definedName>
    <definedName name="灌排工程" localSheetId="7">#REF!</definedName>
    <definedName name="灌渠影响投资" localSheetId="7">#REF!</definedName>
    <definedName name="光轮压路机12_15t" localSheetId="7">[154]附表3机械台班!#REF!</definedName>
    <definedName name="光轮压路机6_8t" localSheetId="7">[154]附表3机械台班!#REF!</definedName>
    <definedName name="光轮压路机8_10t" localSheetId="7">[154]附表3机械台班!#REF!</definedName>
    <definedName name="国槐" localSheetId="7">[161]附表2材料价格计算表!#REF!</definedName>
    <definedName name="好" localSheetId="7">#REF!</definedName>
    <definedName name="好入" localSheetId="7">#REF!</definedName>
    <definedName name="合计" localSheetId="7">'[62]#REF'!$G$2</definedName>
    <definedName name="合金钻头" localSheetId="7">#REF!</definedName>
    <definedName name="合作杨" localSheetId="7">[80]材价汇!$D$48</definedName>
    <definedName name="黑龙沟涵洞_含60米渠道" localSheetId="7">#REF!</definedName>
    <definedName name="环氧树脂" localSheetId="7">[154]附表2材料价格表!#REF!</definedName>
    <definedName name="黄油" localSheetId="7">[154]附表2材料价格表!#REF!</definedName>
    <definedName name="灰浆搅拌机" localSheetId="7">[154]附表3机械台班!#REF!</definedName>
    <definedName name="恢复认得" localSheetId="7">#REF!,#REF!</definedName>
    <definedName name="汇率" localSheetId="7">#REF!</definedName>
    <definedName name="汇总" localSheetId="7">#REF!</definedName>
    <definedName name="汇总表" localSheetId="7">#REF!</definedName>
    <definedName name="混凝土拌制" localSheetId="7">[181]单位估价!#REF!</definedName>
    <definedName name="混凝土拌制1" localSheetId="7">[181]单位估价!#REF!</definedName>
    <definedName name="混凝土泵" localSheetId="7">[154]附表3机械台班!#REF!</definedName>
    <definedName name="混凝土垂直运输" localSheetId="7">[181]单位估价!#REF!</definedName>
    <definedName name="混凝土底盘" localSheetId="7">[154]附表2材料价格表!#REF!</definedName>
    <definedName name="混凝土底盘800×800×800" localSheetId="7">[154]附表2材料价格表!#REF!</definedName>
    <definedName name="混凝土底盘800800180" localSheetId="7">[161]附表2材料价格计算表!#REF!</definedName>
    <definedName name="混凝土拉盘LP6" localSheetId="7">[161]附表2材料价格计算表!#REF!</definedName>
    <definedName name="混凝土拉线盘LP8" localSheetId="7">[161]附表2材料价格计算表!#REF!</definedName>
    <definedName name="混凝土水平运输" localSheetId="7">[181]单位估价!#REF!</definedName>
    <definedName name="混凝土运输" localSheetId="7">[154]附表5直接工程费单价表!#REF!</definedName>
    <definedName name="混凝土柱" localSheetId="7">[154]附表2材料价格表!#REF!</definedName>
    <definedName name="机" localSheetId="7">[154]附表5直接工程费单价表!#REF!</definedName>
    <definedName name="机1_23_1" localSheetId="7">[154]附表5直接工程费单价表!#REF!</definedName>
    <definedName name="机100017" localSheetId="7">[161]附表4直接工程费单价表!#REF!</definedName>
    <definedName name="机100023" localSheetId="7">[161]附表4直接工程费单价表!#REF!</definedName>
    <definedName name="机100049" localSheetId="7">[161]附表4直接工程费单价表!#REF!</definedName>
    <definedName name="机10043" localSheetId="7">[161]附表4直接工程费单价表!#REF!</definedName>
    <definedName name="机10204" localSheetId="7">[154]附表5直接工程费单价表!#REF!</definedName>
    <definedName name="机10269" localSheetId="7">[154]附表5直接工程费单价表!#REF!</definedName>
    <definedName name="机10270" localSheetId="7">[154]附表5直接工程费单价表!#REF!</definedName>
    <definedName name="机10271" localSheetId="7">[154]附表5直接工程费单价表!#REF!</definedName>
    <definedName name="机10272" localSheetId="7">[154]附表5直接工程费单价表!#REF!</definedName>
    <definedName name="机10273" localSheetId="7">[154]附表5直接工程费单价表!#REF!</definedName>
    <definedName name="机10275" localSheetId="7">[154]附表5直接工程费单价表!#REF!</definedName>
    <definedName name="机10277" localSheetId="7">[154]附表5直接工程费单价表!#REF!</definedName>
    <definedName name="机10278" localSheetId="7">[154]附表5直接工程费单价表!#REF!</definedName>
    <definedName name="机10279" localSheetId="7">[154]附表5直接工程费单价表!#REF!</definedName>
    <definedName name="机10279A" localSheetId="7">[154]附表5直接工程费单价表!#REF!</definedName>
    <definedName name="机10280" localSheetId="7">[154]附表5直接工程费单价表!#REF!</definedName>
    <definedName name="机10280A" localSheetId="7">[154]附表5直接工程费单价表!#REF!</definedName>
    <definedName name="机10281" localSheetId="7">[154]附表5直接工程费单价表!#REF!</definedName>
    <definedName name="机10281A" localSheetId="7">[154]附表5直接工程费单价表!#REF!</definedName>
    <definedName name="机10282" localSheetId="7">[154]附表5直接工程费单价表!#REF!</definedName>
    <definedName name="机10282A" localSheetId="7">[154]附表5直接工程费单价表!#REF!</definedName>
    <definedName name="机10283" localSheetId="7">[154]附表5直接工程费单价表!#REF!</definedName>
    <definedName name="机10283A" localSheetId="7">[154]附表5直接工程费单价表!#REF!</definedName>
    <definedName name="机10305" localSheetId="7">[172]附表4工程费单价表!#REF!</definedName>
    <definedName name="机10306" localSheetId="7">[161]附表4直接工程费单价表!#REF!</definedName>
    <definedName name="机10309" localSheetId="7">[154]附表5直接工程费单价表!#REF!</definedName>
    <definedName name="机10310" localSheetId="7">[154]附表5直接工程费单价表!#REF!</definedName>
    <definedName name="机10311" localSheetId="7">[154]附表5直接工程费单价表!#REF!</definedName>
    <definedName name="机10315" localSheetId="7">[172]附表4工程费单价表!#REF!</definedName>
    <definedName name="机10332" localSheetId="7">0</definedName>
    <definedName name="机10333" localSheetId="7">[161]附表4直接工程费单价表!#REF!</definedName>
    <definedName name="机10334" localSheetId="7">[154]附表5直接工程费单价表!#REF!</definedName>
    <definedName name="机10339" localSheetId="7">[154]附表5直接工程费单价表!#REF!</definedName>
    <definedName name="机10344" localSheetId="7">[161]附表4直接工程费单价表!#REF!</definedName>
    <definedName name="机10345" localSheetId="7">[154]附表5直接工程费单价表!#REF!</definedName>
    <definedName name="机10360" localSheetId="7">[154]附表5直接工程费单价表!#REF!</definedName>
    <definedName name="机10361" localSheetId="7">[154]附表5直接工程费单价表!#REF!</definedName>
    <definedName name="机10365" localSheetId="7">[154]附表5直接工程费单价表!#REF!</definedName>
    <definedName name="机10366" localSheetId="7">[154]附表5直接工程费单价表!#REF!</definedName>
    <definedName name="机10367" localSheetId="7">[154]附表5直接工程费单价表!#REF!</definedName>
    <definedName name="机10465" localSheetId="7">[154]附表5直接工程费单价表!#REF!</definedName>
    <definedName name="机10469" localSheetId="7">[154]附表5直接工程费单价表!#REF!</definedName>
    <definedName name="机10469A" localSheetId="7">[154]附表5直接工程费单价表!#REF!</definedName>
    <definedName name="机10473" localSheetId="7">[154]附表5直接工程费单价表!#REF!</definedName>
    <definedName name="机10474" localSheetId="7">[154]附表5直接工程费单价表!#REF!</definedName>
    <definedName name="机12001" localSheetId="7">[154]附表5直接工程费单价表!#REF!</definedName>
    <definedName name="机12074" localSheetId="7">[154]附表5直接工程费单价表!#REF!</definedName>
    <definedName name="机12075" localSheetId="7">[154]附表5直接工程费单价表!#REF!</definedName>
    <definedName name="机2_19_3" localSheetId="7">[154]附表5直接工程费单价表!#REF!</definedName>
    <definedName name="机2_19_4" localSheetId="7">[154]附表5直接工程费单价表!#REF!</definedName>
    <definedName name="机20484" localSheetId="7">[154]附表5直接工程费单价表!#REF!</definedName>
    <definedName name="机20485" localSheetId="7">[154]附表5直接工程费单价表!#REF!</definedName>
    <definedName name="机20488" localSheetId="7">[154]附表5直接工程费单价表!#REF!</definedName>
    <definedName name="机30016" localSheetId="7">[154]附表5直接工程费单价表!#REF!</definedName>
    <definedName name="机30019" localSheetId="7">[154]附表5直接工程费单价表!#REF!</definedName>
    <definedName name="机30020" localSheetId="7">[154]附表5直接工程费单价表!#REF!</definedName>
    <definedName name="机30021" localSheetId="7">[154]附表5直接工程费单价表!#REF!</definedName>
    <definedName name="机30022" localSheetId="7">[154]附表5直接工程费单价表!#REF!</definedName>
    <definedName name="机30023" localSheetId="7">[154]附表5直接工程费单价表!#REF!</definedName>
    <definedName name="机30025" localSheetId="7">[154]附表5直接工程费单价表!#REF!</definedName>
    <definedName name="机30027" localSheetId="7">[154]附表5直接工程费单价表!#REF!</definedName>
    <definedName name="机30048" localSheetId="7">[154]附表5直接工程费单价表!#REF!</definedName>
    <definedName name="机30048、30051" localSheetId="7">[154]附表5直接工程费单价表!#REF!</definedName>
    <definedName name="机30049" localSheetId="7">[154]附表5直接工程费单价表!#REF!</definedName>
    <definedName name="机40004" localSheetId="7">[161]附表4直接工程费单价表!#REF!</definedName>
    <definedName name="机40006" localSheetId="7">[171]直接工程费!$F$203</definedName>
    <definedName name="机40006b" localSheetId="7">[161]附表4直接工程费单价表!#REF!</definedName>
    <definedName name="机40006细石" localSheetId="7">[161]附表4直接工程费单价表!#REF!</definedName>
    <definedName name="机40030" localSheetId="7">[161]附表4直接工程费单价表!#REF!</definedName>
    <definedName name="机40031" localSheetId="7">[154]附表5直接工程费单价表!#REF!</definedName>
    <definedName name="机4003115" localSheetId="7">[161]附表4直接工程费单价表!#REF!</definedName>
    <definedName name="机40031C15" localSheetId="7">[161]附表4直接工程费单价表!#REF!</definedName>
    <definedName name="机40041b" localSheetId="7">[161]附表4直接工程费单价表!#REF!</definedName>
    <definedName name="机40056" localSheetId="7">[153]附表4单价!#REF!</definedName>
    <definedName name="机40058" localSheetId="7">[154]附表5直接工程费单价表!#REF!</definedName>
    <definedName name="机40058A" localSheetId="7">[154]附表5直接工程费单价表!#REF!</definedName>
    <definedName name="机40061" localSheetId="7">[154]附表5直接工程费单价表!#REF!</definedName>
    <definedName name="机40062" localSheetId="7">[154]附表5直接工程费单价表!#REF!</definedName>
    <definedName name="机40063" localSheetId="7">[161]附表4直接工程费单价表!#REF!</definedName>
    <definedName name="机40064" localSheetId="7">[161]附表4直接工程费单价表!#REF!</definedName>
    <definedName name="机40067" localSheetId="7">[154]附表5直接工程费单价表!#REF!</definedName>
    <definedName name="机40067A" localSheetId="7">[154]附表5直接工程费单价表!#REF!</definedName>
    <definedName name="机40068" localSheetId="7">[154]附表5直接工程费单价表!#REF!</definedName>
    <definedName name="机40069" localSheetId="7">[154]附表5直接工程费单价表!#REF!</definedName>
    <definedName name="机40070" localSheetId="7">[154]附表5直接工程费单价表!#REF!</definedName>
    <definedName name="机40072" localSheetId="7">[154]附表5直接工程费单价表!#REF!</definedName>
    <definedName name="机40073" localSheetId="7">[161]附表4直接工程费单价表!#REF!</definedName>
    <definedName name="机40074" localSheetId="7">[154]附表5直接工程费单价表!#REF!</definedName>
    <definedName name="机40075" localSheetId="7">[154]附表5直接工程费单价表!#REF!</definedName>
    <definedName name="机40076" localSheetId="7">[154]附表5直接工程费单价表!#REF!</definedName>
    <definedName name="机4007620" localSheetId="7">[161]附表4直接工程费单价表!#REF!</definedName>
    <definedName name="机40077" localSheetId="7">[161]附表4直接工程费单价表!#REF!</definedName>
    <definedName name="机40079" localSheetId="7">[154]附表5直接工程费单价表!#REF!</definedName>
    <definedName name="机40090" localSheetId="7">[154]附表5直接工程费单价表!#REF!</definedName>
    <definedName name="机40096" localSheetId="7">[154]附表5直接工程费单价表!#REF!</definedName>
    <definedName name="机40101" localSheetId="7">[154]附表5直接工程费单价表!#REF!</definedName>
    <definedName name="机40101A" localSheetId="7">[154]附表5直接工程费单价表!#REF!</definedName>
    <definedName name="机40101B" localSheetId="7">[154]附表5直接工程费单价表!#REF!</definedName>
    <definedName name="机40109" localSheetId="7">[154]附表5直接工程费单价表!#REF!</definedName>
    <definedName name="机40110" localSheetId="7">[154]附表5直接工程费单价表!#REF!</definedName>
    <definedName name="机40111" localSheetId="7">[154]附表5直接工程费单价表!#REF!</definedName>
    <definedName name="机40112" localSheetId="7">[154]附表5直接工程费单价表!#REF!</definedName>
    <definedName name="机40113" localSheetId="7">[154]附表5直接工程费单价表!#REF!</definedName>
    <definedName name="机40114" localSheetId="7">[154]附表5直接工程费单价表!#REF!</definedName>
    <definedName name="机40115" localSheetId="7">[154]附表5直接工程费单价表!#REF!</definedName>
    <definedName name="机40116" localSheetId="7">0</definedName>
    <definedName name="机40120" localSheetId="7">[154]附表5直接工程费单价表!#REF!</definedName>
    <definedName name="机40124" localSheetId="7">[154]附表5直接工程费单价表!#REF!</definedName>
    <definedName name="机40125" localSheetId="7">[154]附表5直接工程费单价表!#REF!</definedName>
    <definedName name="机40133" localSheetId="7">[161]附表4直接工程费单价表!#REF!</definedName>
    <definedName name="机40134" localSheetId="7">[154]附表5直接工程费单价表!#REF!</definedName>
    <definedName name="机40143" localSheetId="7">[154]附表5直接工程费单价表!#REF!</definedName>
    <definedName name="机40192" localSheetId="7">[161]附表4直接工程费单价表!#REF!</definedName>
    <definedName name="机40203" localSheetId="7">[161]附表4直接工程费单价表!#REF!</definedName>
    <definedName name="机40214苯" localSheetId="7">[161]附表4直接工程费单价表!#REF!</definedName>
    <definedName name="机40224" localSheetId="7">[154]附表5直接工程费单价表!#REF!</definedName>
    <definedName name="机40260" localSheetId="7">[154]附表5直接工程费单价表!#REF!</definedName>
    <definedName name="机40286" localSheetId="7">[154]附表5直接工程费单价表!#REF!</definedName>
    <definedName name="机40287" localSheetId="7">[154]附表5直接工程费单价表!#REF!</definedName>
    <definedName name="机40288" localSheetId="7">[154]附表5直接工程费单价表!#REF!</definedName>
    <definedName name="机40289" localSheetId="7">[154]附表5直接工程费单价表!#REF!</definedName>
    <definedName name="机40289A" localSheetId="7">[154]附表5直接工程费单价表!#REF!</definedName>
    <definedName name="机40306" localSheetId="7">[154]附表5直接工程费单价表!#REF!</definedName>
    <definedName name="机40306A" localSheetId="7">[154]附表5直接工程费单价表!#REF!</definedName>
    <definedName name="机40306B" localSheetId="7">[154]附表5直接工程费单价表!#REF!</definedName>
    <definedName name="机50003" localSheetId="7">[154]附表5直接工程费单价表!#REF!</definedName>
    <definedName name="机50004" localSheetId="7">[154]附表5直接工程费单价表!#REF!</definedName>
    <definedName name="机50005" localSheetId="7">[154]附表5直接工程费单价表!#REF!</definedName>
    <definedName name="机50006" localSheetId="7">[154]附表5直接工程费单价表!#REF!</definedName>
    <definedName name="机50014" localSheetId="7">[172]附表4工程费单价表!#REF!</definedName>
    <definedName name="机50045" localSheetId="7">[154]附表5直接工程费单价表!#REF!</definedName>
    <definedName name="机50046" localSheetId="7">[154]附表5直接工程费单价表!#REF!</definedName>
    <definedName name="机50049" localSheetId="7">[154]附表5直接工程费单价表!#REF!</definedName>
    <definedName name="机50050" localSheetId="7">[154]附表5直接工程费单价表!#REF!</definedName>
    <definedName name="机50113" localSheetId="7">[172]附表4工程费单价表!#REF!</definedName>
    <definedName name="机70007" localSheetId="7">[161]附表4直接工程费单价表!#REF!</definedName>
    <definedName name="机70013" localSheetId="7">[161]附表4直接工程费单价表!#REF!</definedName>
    <definedName name="机70014" localSheetId="7">[161]附表4直接工程费单价表!#REF!</definedName>
    <definedName name="机70070" localSheetId="7">[161]附表4直接工程费单价表!#REF!</definedName>
    <definedName name="机70105" localSheetId="7">[161]附表4直接工程费单价表!#REF!</definedName>
    <definedName name="机70106" localSheetId="7">[161]附表4直接工程费单价表!#REF!</definedName>
    <definedName name="机70125" localSheetId="7">[161]附表4直接工程费单价表!#REF!</definedName>
    <definedName name="机70194" localSheetId="7">[154]附表5直接工程费单价表!#REF!</definedName>
    <definedName name="机70195" localSheetId="7">[154]附表5直接工程费单价表!#REF!</definedName>
    <definedName name="机70196" localSheetId="7">[154]附表5直接工程费单价表!#REF!</definedName>
    <definedName name="机80015" localSheetId="7">[161]附表4直接工程费单价表!#REF!</definedName>
    <definedName name="机80015加800162" localSheetId="7">[161]附表4直接工程费单价表!#REF!</definedName>
    <definedName name="机80015减80016" localSheetId="7">[161]附表4直接工程费单价表!#REF!</definedName>
    <definedName name="机80023加8002410" localSheetId="7">[161]附表4直接工程费单价表!#REF!</definedName>
    <definedName name="机80033" localSheetId="7">[161]附表4直接工程费单价表!#REF!</definedName>
    <definedName name="机80034" localSheetId="7">[161]附表4直接工程费单价表!#REF!</definedName>
    <definedName name="机90014" localSheetId="7">[154]附表5直接工程费单价表!#REF!</definedName>
    <definedName name="机90017" localSheetId="7">[154]附表5直接工程费单价表!#REF!</definedName>
    <definedName name="机90017A" localSheetId="7">[154]附表5直接工程费单价表!#REF!</definedName>
    <definedName name="机90085" localSheetId="7">[154]附表5直接工程费单价表!#REF!</definedName>
    <definedName name="机90086" localSheetId="7">[154]附表5直接工程费单价表!#REF!</definedName>
    <definedName name="机90087" localSheetId="7">[154]附表5直接工程费单价表!#REF!</definedName>
    <definedName name="机90087A" localSheetId="7">[154]附表5直接工程费单价表!#REF!</definedName>
    <definedName name="机90136" localSheetId="7">[154]附表5直接工程费单价表!#REF!</definedName>
    <definedName name="机90147" localSheetId="7">[154]附表5直接工程费单价表!#REF!</definedName>
    <definedName name="机补2" localSheetId="7">[154]附表5直接工程费单价表!#REF!</definedName>
    <definedName name="机补3" localSheetId="7">[154]附表5直接工程费单价表!#REF!</definedName>
    <definedName name="机电安装111" localSheetId="7">#REF!</definedName>
    <definedName name="机动翻斗车1t" localSheetId="7">[154]附表3机械台班!#REF!</definedName>
    <definedName name="机建11_25换" localSheetId="7">[154]附表5直接工程费单价表!#REF!</definedName>
    <definedName name="机建4_10换" localSheetId="7">[154]附表5直接工程费单价表!#REF!</definedName>
    <definedName name="机井" localSheetId="7">#REF!</definedName>
    <definedName name="机械库" localSheetId="7">#REF!</definedName>
    <definedName name="机械库1" localSheetId="7">#REF!</definedName>
    <definedName name="机械调差系数" localSheetId="7">#REF!</definedName>
    <definedName name="机油" localSheetId="7">[161]附表2材料价格计算表!#REF!</definedName>
    <definedName name="基本电价" localSheetId="7">[161]附表2材料价格计算表!#REF!</definedName>
    <definedName name="技工" localSheetId="7">[182]人工工资!$E$19</definedName>
    <definedName name="甲苯" localSheetId="7">[154]附表2材料价格表!#REF!</definedName>
    <definedName name="甲类">[183]附表1人工单价表!#REF!</definedName>
    <definedName name="甲类工" localSheetId="7">[184]人工!$D$19</definedName>
    <definedName name="价_元" localSheetId="7">'[62]#REF'!$F$2</definedName>
    <definedName name="间接安装" localSheetId="7">[182]基础参数值!$I$23</definedName>
    <definedName name="间接钢筋" localSheetId="7">[182]基础参数值!$I$19</definedName>
    <definedName name="间接其它" localSheetId="7">[182]基础参数值!$I$22</definedName>
    <definedName name="间接砌石" localSheetId="7">[182]基础参数值!$I$17</definedName>
    <definedName name="间接石方">[182]基础参数值!$I$16</definedName>
    <definedName name="间接疏浚">[182]基础参数值!$I$21</definedName>
    <definedName name="间接砼" localSheetId="7">[182]基础参数值!$I$18</definedName>
    <definedName name="间接土方" localSheetId="7">[182]基础参数值!$I$15</definedName>
    <definedName name="间接钻孔" localSheetId="7">[182]基础参数值!$I$20</definedName>
    <definedName name="简易缆索机40t" localSheetId="7">[154]附表3机械台班!#REF!</definedName>
    <definedName name="碱粉" localSheetId="7">[154]附表2材料价格表!#REF!</definedName>
    <definedName name="交流电焊机30" localSheetId="7">#REF!</definedName>
    <definedName name="胶φ76" localSheetId="7">[154]附表2材料价格表!#REF!</definedName>
    <definedName name="胶轮车" localSheetId="7">[154]附表3机械台班!#REF!</definedName>
    <definedName name="胶轮架子车" localSheetId="7">#REF!</definedName>
    <definedName name="胶圈φ110" localSheetId="7">[154]附表2材料价格表!#REF!</definedName>
    <definedName name="胶圈φ125" localSheetId="7">[154]附表2材料价格表!#REF!</definedName>
    <definedName name="胶圈φ160" localSheetId="7">[154]附表2材料价格表!#REF!</definedName>
    <definedName name="胶圈φ200" localSheetId="7">[154]附表2材料价格表!#REF!</definedName>
    <definedName name="胶圈φ225" localSheetId="7">[154]附表2材料价格表!#REF!</definedName>
    <definedName name="胶圈φ250" localSheetId="7">[154]附表2材料价格表!#REF!</definedName>
    <definedName name="胶圈φ315" localSheetId="7">[154]附表2材料价格表!#REF!</definedName>
    <definedName name="胶圈φ355" localSheetId="7">[154]附表2材料价格表!#REF!</definedName>
    <definedName name="胶圈φ400" localSheetId="7">[154]附表2材料价格表!#REF!</definedName>
    <definedName name="胶圈φ76" localSheetId="7">[154]附表2材料价格表!#REF!</definedName>
    <definedName name="胶圈φ90" localSheetId="7">[154]附表2材料价格表!#REF!</definedName>
    <definedName name="焦油膏" localSheetId="7">[80]材价汇!$D$51</definedName>
    <definedName name="搅拌机0.25m3" localSheetId="7">[154]附表3机械台班!#REF!</definedName>
    <definedName name="搅拌机0.4m3" localSheetId="7">[154]附表3机械台班!#REF!</definedName>
    <definedName name="搅拌机出料0.4m3" localSheetId="7">[174]附表3机械!$K$54</definedName>
    <definedName name="接头" localSheetId="7">[161]附表2材料价格计算表!#REF!</definedName>
    <definedName name="截阀开关φ90×76" localSheetId="7">[154]附表2材料价格表!#REF!</definedName>
    <definedName name="截止阀开关φ90×76" localSheetId="7">[154]附表2材料价格表!#REF!</definedName>
    <definedName name="精制六角带帽螺栓M161460" localSheetId="7">[161]附表2材料价格计算表!#REF!</definedName>
    <definedName name="精致六角带帽螺栓M101470" localSheetId="7">[161]附表2材料价格计算表!#REF!</definedName>
    <definedName name="锯材" localSheetId="7">[154]附表2材料价格表!#REF!</definedName>
    <definedName name="聚氨酯" localSheetId="7">[161]附表2材料价格计算表!#REF!</definedName>
    <definedName name="聚乙烯胶泥" localSheetId="7">[161]附表2材料价格计算表!#REF!</definedName>
    <definedName name="卷板机" localSheetId="7">#REF!</definedName>
    <definedName name="卷扬机3t" localSheetId="7">[154]附表3机械台班!#REF!</definedName>
    <definedName name="卷扬机5t" localSheetId="7">#REF!</definedName>
    <definedName name="竣工验收费" localSheetId="7">#REF!</definedName>
    <definedName name="竣工验收费南" localSheetId="7">'[170]表5-3竣工验收费南 '!$E$9</definedName>
    <definedName name="竣工验收费预算表">'[183]表5-3竣工'!$E$14</definedName>
    <definedName name="卡扣" localSheetId="7">[174]附表2材料!$D$29</definedName>
    <definedName name="卡扣件" localSheetId="7">#REF!</definedName>
    <definedName name="卡子φ110" localSheetId="7">[154]附表2材料价格表!#REF!</definedName>
    <definedName name="卡子φ125" localSheetId="7">[154]附表2材料价格表!#REF!</definedName>
    <definedName name="卡子φ160" localSheetId="7">[154]附表2材料价格表!#REF!</definedName>
    <definedName name="卡子φ200" localSheetId="7">[154]附表2材料价格表!#REF!</definedName>
    <definedName name="卡子φ225" localSheetId="7">[154]附表2材料价格表!#REF!</definedName>
    <definedName name="卡子φ250" localSheetId="7">[154]附表2材料价格表!#REF!</definedName>
    <definedName name="卡子φ315" localSheetId="7">[154]附表2材料价格表!#REF!</definedName>
    <definedName name="卡子φ355" localSheetId="7">[154]附表2材料价格表!#REF!</definedName>
    <definedName name="卡子φ400" localSheetId="7">[154]附表2材料价格表!#REF!</definedName>
    <definedName name="卡子φ500" localSheetId="7">[154]附表2材料价格表!#REF!</definedName>
    <definedName name="卡子φ90" localSheetId="7">[154]附表2材料价格表!#REF!</definedName>
    <definedName name="开挖">[185]新定额单价!#REF!</definedName>
    <definedName name="空气阀φ120" localSheetId="7">[154]附表2材料价格表!#REF!</definedName>
    <definedName name="空气阀φ140" localSheetId="7">[154]附表2材料价格表!#REF!</definedName>
    <definedName name="空气阀φ160" localSheetId="7">[154]附表2材料价格表!#REF!</definedName>
    <definedName name="空心钢" localSheetId="7">#REF!</definedName>
    <definedName name="控制价" localSheetId="7">#REF!</definedName>
    <definedName name="块石" localSheetId="7">#REF!</definedName>
    <definedName name="扩大概算">[182]基础参数值!$F$6</definedName>
    <definedName name="扩大估算" localSheetId="7">[182]基础参数值!$F$5</definedName>
    <definedName name="扩大系数">[182]基础参数值!$F$5</definedName>
    <definedName name="拉模" localSheetId="7">#REF!</definedName>
    <definedName name="拉线板_60_12" localSheetId="7">[154]附表2材料价格表!#REF!</definedName>
    <definedName name="拉线棒￠16_2500" localSheetId="7">[154]附表2材料价格表!#REF!</definedName>
    <definedName name="拉线盘_LP_6_混凝土" localSheetId="7">[154]附表2材料价格表!#REF!</definedName>
    <definedName name="拉线盘_LP_6混凝土" localSheetId="7">[154]附表2材料价格表!#REF!</definedName>
    <definedName name="拉线盘_LP_8混凝土" localSheetId="7">[154]附表2材料价格表!#REF!</definedName>
    <definedName name="拉线盘0.3_0.6" localSheetId="7">[154]附表2材料价格表!#REF!</definedName>
    <definedName name="拉线盘LP_6混凝土" localSheetId="7">[154]附表2材料价格表!#REF!</definedName>
    <definedName name="拉线盘LP_8混凝土" localSheetId="7">[154]附表2材料价格表!#REF!</definedName>
    <definedName name="雷管" localSheetId="7">#REF!</definedName>
    <definedName name="离心式水泵7kw" localSheetId="7">#REF!</definedName>
    <definedName name="离心水泵17kw" localSheetId="7">#REF!</definedName>
    <definedName name="离心水泵55kw" localSheetId="7">#REF!</definedName>
    <definedName name="立" localSheetId="7">[169]定额!#REF!</definedName>
    <definedName name="立管φ33×1000" localSheetId="7">[154]附表2材料价格表!#REF!</definedName>
    <definedName name="立支柱" localSheetId="7">[168]定额!#REF!</definedName>
    <definedName name="立支柱1" localSheetId="7">[168]定额!#REF!</definedName>
    <definedName name="利润" localSheetId="7">[184]税率!$B$24</definedName>
    <definedName name="沥青" localSheetId="7">#REF!</definedName>
    <definedName name="砾料" localSheetId="7">[154]附表2材料价格表!#REF!</definedName>
    <definedName name="砾石" localSheetId="7">[154]附表2材料价格表!#REF!</definedName>
    <definedName name="砾石30mm" localSheetId="7">[154]附表2材料价格表!#REF!</definedName>
    <definedName name="砾石40mm" localSheetId="7">[154]附表2材料价格表!#REF!</definedName>
    <definedName name="砾石50mm" localSheetId="7">[154]附表2材料价格表!#REF!</definedName>
    <definedName name="联板LV_1214" localSheetId="7">[154]附表2材料价格表!#REF!</definedName>
    <definedName name="林施工费" localSheetId="7">'[170]表3工程施工费南 '!$H$511</definedName>
    <definedName name="零星卡具" localSheetId="7">[154]附表2材料价格表!#REF!</definedName>
    <definedName name="流动资金">'[114]国民经济效益费用流量表（全部投资）'!$O$5</definedName>
    <definedName name="柳树" localSheetId="7">[161]附表2材料价格计算表!#REF!</definedName>
    <definedName name="六排沟涵洞_含56米渠道" localSheetId="7">#REF!</definedName>
    <definedName name="龙门式起重机10" localSheetId="7">#REF!</definedName>
    <definedName name="路措施费南" localSheetId="7">#REF!</definedName>
    <definedName name="路间接费南" localSheetId="7">#REF!</definedName>
    <definedName name="路施工费" localSheetId="7">'[170]表3工程施工费南 '!$H$483</definedName>
    <definedName name="卵石" localSheetId="7">[154]附表2材料价格表!#REF!</definedName>
    <definedName name="轮胎起重机16t" localSheetId="7">#REF!</definedName>
    <definedName name="螺杆" localSheetId="7">[154]附表2材料价格表!#REF!</definedName>
    <definedName name="螺杆16_60" localSheetId="7">[154]附表2材料价格表!#REF!</definedName>
    <definedName name="螺杆卡子" localSheetId="7">[154]附表2材料价格表!#REF!</definedName>
    <definedName name="螺杆卡子5_30" localSheetId="7">[154]附表2材料价格表!#REF!</definedName>
    <definedName name="螺栓" localSheetId="7">[154]附表2材料价格表!#REF!</definedName>
    <definedName name="螺栓、铁件" localSheetId="7">[154]附表2材料价格表!#REF!</definedName>
    <definedName name="螺栓φ18×80" localSheetId="7">[154]附表2材料价格表!#REF!</definedName>
    <definedName name="螺栓φ20×80" localSheetId="7">[154]附表2材料价格表!#REF!</definedName>
    <definedName name="螺丝￠16_300" localSheetId="7">[154]附表2材料价格表!#REF!</definedName>
    <definedName name="螺丝￠16_80" localSheetId="7">[154]附表2材料价格表!#REF!</definedName>
    <definedName name="螺丝￠18_300" localSheetId="7">[154]附表2材料价格表!#REF!</definedName>
    <definedName name="螺丝￠18_80" localSheetId="7">[154]附表2材料价格表!#REF!</definedName>
    <definedName name="铝包带" localSheetId="7">[154]附表2材料价格表!#REF!</definedName>
    <definedName name="铝包带10" localSheetId="7">[154]附表2材料价格表!#REF!</definedName>
    <definedName name="铝三通φ76×1.2×6000" localSheetId="7">[154]附表2材料价格表!#REF!</definedName>
    <definedName name="铝三通φ76×1.2×9000" localSheetId="7">[154]附表2材料价格表!#REF!</definedName>
    <definedName name="铝直管φ76×1.2×6000" localSheetId="7">[154]附表2材料价格表!#REF!</definedName>
    <definedName name="履带起重机10t" localSheetId="7">#REF!</definedName>
    <definedName name="履带起重机油动15t" localSheetId="7">[178]附表3机械台班计算表!$K$48</definedName>
    <definedName name="滤料" localSheetId="7">[154]附表2材料价格表!#REF!</definedName>
    <definedName name="滤网" localSheetId="7">[154]附表2材料价格表!#REF!</definedName>
    <definedName name="滤油纸" localSheetId="7">[161]附表2材料价格计算表!#REF!</definedName>
    <definedName name="麻刀" localSheetId="7">[161]附表2材料价格计算表!#REF!</definedName>
    <definedName name="麻絮" localSheetId="7">[154]附表2材料价格表!#REF!</definedName>
    <definedName name="毛石" localSheetId="7">[154]附表2材料价格表!#REF!</definedName>
    <definedName name="煤沥青" localSheetId="7">[161]附表2材料价格计算表!#REF!</definedName>
    <definedName name="煤油" localSheetId="7">[161]附表2材料价格计算表!#REF!</definedName>
    <definedName name="门窗用木材" localSheetId="7">[154]附表2材料价格表!#REF!</definedName>
    <definedName name="门式起重机10t" localSheetId="7">[154]附表3机械台班!#REF!</definedName>
    <definedName name="门式起重机25" localSheetId="7">#REF!</definedName>
    <definedName name="门座式起重机高架" localSheetId="7">#REF!</definedName>
    <definedName name="棉纱头" localSheetId="7">[154]附表2材料价格表!#REF!</definedName>
    <definedName name="民族">[186]二级代码!$B$2:$B$58</definedName>
    <definedName name="名称及规格" localSheetId="7">'[62]#REF'!$B$2</definedName>
    <definedName name="模板用木材" localSheetId="7">[154]附表2材料价格表!#REF!</definedName>
    <definedName name="木材" localSheetId="7">[154]附表2材料价格表!#REF!</definedName>
    <definedName name="木柴" localSheetId="7">[154]附表2材料价格表!#REF!</definedName>
    <definedName name="木结构木材" localSheetId="7">[154]附表2材料价格表!#REF!</definedName>
    <definedName name="耐张线夹_NLD_2" localSheetId="7">[154]附表2材料价格表!#REF!</definedName>
    <definedName name="耐张线夹NLD_1" localSheetId="7">[154]附表2材料价格表!#REF!</definedName>
    <definedName name="耐张线夹NLD_2" localSheetId="7">[154]附表2材料价格表!#REF!</definedName>
    <definedName name="耐张线夹NLD2" localSheetId="7">[161]附表2材料价格计算表!#REF!</definedName>
    <definedName name="内燃压路机12_15t" localSheetId="7">[154]附表3机械台班!#REF!</definedName>
    <definedName name="内燃压路机重量68t" localSheetId="7">[80]机械汇总!$K$24</definedName>
    <definedName name="泥浆泵3PN" localSheetId="7">[154]附表3机械台班!#REF!</definedName>
    <definedName name="泥浆搅拌机" localSheetId="7">[154]附表3机械台班!#REF!</definedName>
    <definedName name="拟好" localSheetId="7">#REF!</definedName>
    <definedName name="逆止阀" localSheetId="7">[154]附表2材料价格表!#REF!</definedName>
    <definedName name="逆止阀200" localSheetId="7">[153]附表2!#REF!</definedName>
    <definedName name="宁水8028" localSheetId="7">[153]附表4单价!#REF!</definedName>
    <definedName name="宁水8029" localSheetId="7">[153]附表4单价!#REF!</definedName>
    <definedName name="宁水8029a" localSheetId="7">[153]附表4单价!#REF!</definedName>
    <definedName name="宁水8031" localSheetId="7">[153]附表4单价!#REF!</definedName>
    <definedName name="宁水8032" localSheetId="7">[153]附表4单价!#REF!</definedName>
    <definedName name="宁水8033" localSheetId="7">[153]附表4单价!#REF!</definedName>
    <definedName name="宁水8034" localSheetId="7">[153]附表4单价!#REF!</definedName>
    <definedName name="农田防护林" localSheetId="7">#REF!</definedName>
    <definedName name="农田水利" localSheetId="7">[175]表3工程施工费表!$I$9</definedName>
    <definedName name="噢噢噢噢" localSheetId="7">[154]附表5直接工程费单价表!#REF!</definedName>
    <definedName name="排气阀" localSheetId="7">[154]附表2材料价格表!#REF!</definedName>
    <definedName name="刨毛机" localSheetId="7">[154]附表3机械台班!#REF!</definedName>
    <definedName name="配电柜" localSheetId="7">[154]附表2材料价格表!#REF!</definedName>
    <definedName name="喷头6.5_3.1" localSheetId="7">[154]附表2材料价格表!#REF!</definedName>
    <definedName name="平板挂车40t" localSheetId="7">#REF!</definedName>
    <definedName name="平板式振动器2.2kw" localSheetId="7">[154]附表3机械台班!#REF!</definedName>
    <definedName name="平胶垫" localSheetId="7">[154]附表2材料价格表!#REF!</definedName>
    <definedName name="平胶垫90_3" localSheetId="7">[154]附表2材料价格表!#REF!</definedName>
    <definedName name="平胶垫φ200" localSheetId="7">[154]附表2材料价格表!#REF!</definedName>
    <definedName name="平胶垫φ225" localSheetId="7">[154]附表2材料价格表!#REF!</definedName>
    <definedName name="平胶垫φ250" localSheetId="7">[154]附表2材料价格表!#REF!</definedName>
    <definedName name="平胶垫φ315" localSheetId="7">[154]附表2材料价格表!#REF!</definedName>
    <definedName name="平胶垫φ355" localSheetId="7">[154]附表2材料价格表!#REF!</definedName>
    <definedName name="平胶垫φ400" localSheetId="7">[154]附表2材料价格表!#REF!</definedName>
    <definedName name="普工" localSheetId="7">[182]人工工资!$F$19</definedName>
    <definedName name="其他费用" localSheetId="7">#REF!</definedName>
    <definedName name="其他费用南" localSheetId="7">'[170]表5其他费用南 '!$C$9</definedName>
    <definedName name="其他工程" localSheetId="7">[154]表3工程施工费表!#REF!</definedName>
    <definedName name="其它安装" localSheetId="7">[182]基础参数值!$C$23</definedName>
    <definedName name="其它钢筋" localSheetId="7">[182]基础参数值!$C$19</definedName>
    <definedName name="其它工程" localSheetId="7">[154]表3工程施工费表!#REF!</definedName>
    <definedName name="其它其它" localSheetId="7">[182]基础参数值!$C$22</definedName>
    <definedName name="其它砌石" localSheetId="7">[182]基础参数值!$C$17</definedName>
    <definedName name="其它石方">[182]基础参数值!$C$16</definedName>
    <definedName name="其它疏浚">[182]基础参数值!$C$21</definedName>
    <definedName name="其它砼" localSheetId="7">[182]基础参数值!$C$18</definedName>
    <definedName name="其它土" localSheetId="7">[182]基础参数值!$C$15</definedName>
    <definedName name="其它土方">[182]基础参数值!$C$15</definedName>
    <definedName name="其它钻孔" localSheetId="7">[182]基础参数值!$C$20</definedName>
    <definedName name="企业安装" localSheetId="7">[182]基础参数值!$L$23</definedName>
    <definedName name="企业钢筋" localSheetId="7">[182]基础参数值!$L$19</definedName>
    <definedName name="企业其它" localSheetId="7">[182]基础参数值!$L$22</definedName>
    <definedName name="企业砌石" localSheetId="7">[182]基础参数值!$L$17</definedName>
    <definedName name="企业石方">[182]基础参数值!$L$16</definedName>
    <definedName name="企业疏浚">[182]基础参数值!$L$21</definedName>
    <definedName name="企业通">[182]基础参数值!$L$18</definedName>
    <definedName name="企业砼" localSheetId="7">[182]基础参数值!$L$18</definedName>
    <definedName name="企业土方" localSheetId="7">[182]基础参数值!$L$15</definedName>
    <definedName name="企业钻孔" localSheetId="7">[182]基础参数值!$L$20</definedName>
    <definedName name="起重设备调差系数" localSheetId="7">#REF!</definedName>
    <definedName name="汽车起重机25t" localSheetId="7">[154]附表3机械台班!#REF!</definedName>
    <definedName name="汽车起重机5t" localSheetId="7">#REF!</definedName>
    <definedName name="汽车起重机5吨" localSheetId="7">[80]机械汇总!$K$84</definedName>
    <definedName name="汽车起重机8t" localSheetId="7">#REF!</definedName>
    <definedName name="汽车拖头40t" localSheetId="7">#REF!</definedName>
    <definedName name="汽油" localSheetId="7">#REF!</definedName>
    <definedName name="铅油" localSheetId="7">[161]附表2材料价格计算表!#REF!</definedName>
    <definedName name="前期工作费" localSheetId="7">#REF!</definedName>
    <definedName name="前期工作费南" localSheetId="7">'[170]表5-1前期工作费南'!$E$11</definedName>
    <definedName name="桥式起重机10t" localSheetId="7">#REF!</definedName>
    <definedName name="请问请问" localSheetId="7">#REF!</definedName>
    <definedName name="球阀50" localSheetId="7">[153]附表2!#REF!</definedName>
    <definedName name="球阀75" localSheetId="7">[153]附表2!#REF!</definedName>
    <definedName name="球头挂环QP_7" localSheetId="7">[154]附表2材料价格表!#REF!</definedName>
    <definedName name="人">[187]机械定额!#REF!</definedName>
    <definedName name="人1_23_1" localSheetId="7">[154]附表5直接工程费单价表!#REF!</definedName>
    <definedName name="人10001" localSheetId="7">[154]附表5直接工程费单价表!#REF!</definedName>
    <definedName name="人100017" localSheetId="7">[161]附表4直接工程费单价表!#REF!</definedName>
    <definedName name="人10002" localSheetId="7">[154]附表5直接工程费单价表!#REF!</definedName>
    <definedName name="人100023" localSheetId="7">[161]附表4直接工程费单价表!#REF!</definedName>
    <definedName name="人10003" localSheetId="7">[154]附表5直接工程费单价表!#REF!</definedName>
    <definedName name="人100049" localSheetId="7">[161]附表4直接工程费单价表!#REF!</definedName>
    <definedName name="人10008" localSheetId="7">[154]附表5直接工程费单价表!#REF!</definedName>
    <definedName name="人10017" localSheetId="7">[161]附表4直接工程费单价表!#REF!</definedName>
    <definedName name="人10019" localSheetId="7">[154]附表5直接工程费单价表!#REF!</definedName>
    <definedName name="人10020" localSheetId="7">[154]附表5直接工程费单价表!#REF!</definedName>
    <definedName name="人10021" localSheetId="7">[154]附表5直接工程费单价表!#REF!</definedName>
    <definedName name="人10041" localSheetId="7">[161]附表4直接工程费单价表!#REF!</definedName>
    <definedName name="人10043" localSheetId="7">[161]附表4直接工程费单价表!#REF!</definedName>
    <definedName name="人10045" localSheetId="7">[154]附表5直接工程费单价表!#REF!</definedName>
    <definedName name="人10047" localSheetId="7">[154]附表5直接工程费单价表!#REF!</definedName>
    <definedName name="人10049" localSheetId="7">[154]附表5直接工程费单价表!#REF!</definedName>
    <definedName name="人10052" localSheetId="7">[154]附表5直接工程费单价表!#REF!</definedName>
    <definedName name="人10054" localSheetId="7">[154]附表5直接工程费单价表!#REF!</definedName>
    <definedName name="人10056" localSheetId="7">[154]附表5直接工程费单价表!#REF!</definedName>
    <definedName name="人10066" localSheetId="7">[154]附表5直接工程费单价表!#REF!</definedName>
    <definedName name="人10071" localSheetId="7">[154]附表5直接工程费单价表!#REF!</definedName>
    <definedName name="人10075" localSheetId="7">[154]附表5直接工程费单价表!#REF!</definedName>
    <definedName name="人10090" localSheetId="7">[154]附表5直接工程费单价表!#REF!</definedName>
    <definedName name="人10095" localSheetId="7">[154]附表5直接工程费单价表!#REF!</definedName>
    <definedName name="人10114" localSheetId="7">[154]附表5直接工程费单价表!#REF!</definedName>
    <definedName name="人10116" localSheetId="7">[154]附表5直接工程费单价表!#REF!</definedName>
    <definedName name="人10118" localSheetId="7">[154]附表5直接工程费单价表!#REF!</definedName>
    <definedName name="人10204" localSheetId="7">[154]附表5直接工程费单价表!#REF!</definedName>
    <definedName name="人10269" localSheetId="7">[154]附表5直接工程费单价表!#REF!</definedName>
    <definedName name="人10270" localSheetId="7">[154]附表5直接工程费单价表!#REF!</definedName>
    <definedName name="人10271" localSheetId="7">[154]附表5直接工程费单价表!#REF!</definedName>
    <definedName name="人10272" localSheetId="7">[154]附表5直接工程费单价表!#REF!</definedName>
    <definedName name="人10273" localSheetId="7">[154]附表5直接工程费单价表!#REF!</definedName>
    <definedName name="人10275" localSheetId="7">[154]附表5直接工程费单价表!#REF!</definedName>
    <definedName name="人10277" localSheetId="7">[154]附表5直接工程费单价表!#REF!</definedName>
    <definedName name="人10278" localSheetId="7">[154]附表5直接工程费单价表!#REF!</definedName>
    <definedName name="人10279" localSheetId="7">[154]附表5直接工程费单价表!#REF!</definedName>
    <definedName name="人10279A" localSheetId="7">[154]附表5直接工程费单价表!#REF!</definedName>
    <definedName name="人10280" localSheetId="7">[154]附表5直接工程费单价表!#REF!</definedName>
    <definedName name="人10280A" localSheetId="7">[154]附表5直接工程费单价表!#REF!</definedName>
    <definedName name="人10281" localSheetId="7">[154]附表5直接工程费单价表!#REF!</definedName>
    <definedName name="人10281A" localSheetId="7">[154]附表5直接工程费单价表!#REF!</definedName>
    <definedName name="人10282" localSheetId="7">[154]附表5直接工程费单价表!#REF!</definedName>
    <definedName name="人10282A" localSheetId="7">[154]附表5直接工程费单价表!#REF!</definedName>
    <definedName name="人10283" localSheetId="7">[154]附表5直接工程费单价表!#REF!</definedName>
    <definedName name="人10283A" localSheetId="7">[154]附表5直接工程费单价表!#REF!</definedName>
    <definedName name="人10306" localSheetId="7">[161]附表4直接工程费单价表!#REF!</definedName>
    <definedName name="人10309" localSheetId="7">[154]附表5直接工程费单价表!#REF!</definedName>
    <definedName name="人10310" localSheetId="7">[154]附表5直接工程费单价表!#REF!</definedName>
    <definedName name="人10311" localSheetId="7">[154]附表5直接工程费单价表!#REF!</definedName>
    <definedName name="人10332" localSheetId="7">[161]附表4直接工程费单价表!#REF!</definedName>
    <definedName name="人10333" localSheetId="7">[161]附表4直接工程费单价表!#REF!</definedName>
    <definedName name="人10339" localSheetId="7">[154]附表5直接工程费单价表!#REF!</definedName>
    <definedName name="人10344" localSheetId="7">[161]附表4直接工程费单价表!#REF!</definedName>
    <definedName name="人10345" localSheetId="7">[161]附表4直接工程费单价表!#REF!</definedName>
    <definedName name="人10360" localSheetId="7">[154]附表5直接工程费单价表!#REF!</definedName>
    <definedName name="人10361" localSheetId="7">[154]附表5直接工程费单价表!#REF!</definedName>
    <definedName name="人10365" localSheetId="7">[154]附表5直接工程费单价表!#REF!</definedName>
    <definedName name="人10366" localSheetId="7">[154]附表5直接工程费单价表!#REF!</definedName>
    <definedName name="人10367" localSheetId="7">[154]附表5直接工程费单价表!#REF!</definedName>
    <definedName name="人10464" localSheetId="7">[154]附表5直接工程费单价表!#REF!</definedName>
    <definedName name="人10465" localSheetId="7">[154]附表5直接工程费单价表!#REF!</definedName>
    <definedName name="人10469" localSheetId="7">[154]附表5直接工程费单价表!#REF!</definedName>
    <definedName name="人10469A" localSheetId="7">[154]附表5直接工程费单价表!#REF!</definedName>
    <definedName name="人10473" localSheetId="7">[154]附表5直接工程费单价表!#REF!</definedName>
    <definedName name="人10474" localSheetId="7">[154]附表5直接工程费单价表!#REF!</definedName>
    <definedName name="人12001" localSheetId="7">[154]附表5直接工程费单价表!#REF!</definedName>
    <definedName name="人12074" localSheetId="7">[154]附表5直接工程费单价表!#REF!</definedName>
    <definedName name="人12075" localSheetId="7">[154]附表5直接工程费单价表!#REF!</definedName>
    <definedName name="人2_19_3" localSheetId="7">[154]附表5直接工程费单价表!#REF!</definedName>
    <definedName name="人2_19_4" localSheetId="7">[154]附表5直接工程费单价表!#REF!</definedName>
    <definedName name="人20484" localSheetId="7">[154]附表5直接工程费单价表!#REF!</definedName>
    <definedName name="人20485" localSheetId="7">[154]附表5直接工程费单价表!#REF!</definedName>
    <definedName name="人20488" localSheetId="7">[154]附表5直接工程费单价表!#REF!</definedName>
    <definedName name="人30001" localSheetId="7">[154]附表5直接工程费单价表!#REF!</definedName>
    <definedName name="人30002" localSheetId="7">[154]附表5直接工程费单价表!#REF!</definedName>
    <definedName name="人30016" localSheetId="7">[154]附表5直接工程费单价表!#REF!</definedName>
    <definedName name="人30019" localSheetId="7">[154]附表5直接工程费单价表!#REF!</definedName>
    <definedName name="人30020" localSheetId="7">[154]附表5直接工程费单价表!#REF!</definedName>
    <definedName name="人30021" localSheetId="7">[154]附表5直接工程费单价表!#REF!</definedName>
    <definedName name="人30022" localSheetId="7">[154]附表5直接工程费单价表!#REF!</definedName>
    <definedName name="人30023" localSheetId="7">[154]附表5直接工程费单价表!#REF!</definedName>
    <definedName name="人30024" localSheetId="7">[154]附表5直接工程费单价表!#REF!</definedName>
    <definedName name="人30025" localSheetId="7">[154]附表5直接工程费单价表!#REF!</definedName>
    <definedName name="人30027">[154]附表5直接工程费单价表!#REF!</definedName>
    <definedName name="人30028" localSheetId="7">[154]附表5直接工程费单价表!#REF!</definedName>
    <definedName name="人30048" localSheetId="7">[154]附表5直接工程费单价表!#REF!</definedName>
    <definedName name="人30048、30051" localSheetId="7">[154]附表5直接工程费单价表!#REF!</definedName>
    <definedName name="人30049" localSheetId="7">[154]附表5直接工程费单价表!#REF!</definedName>
    <definedName name="人30064" localSheetId="7">[161]附表4直接工程费单价表!#REF!</definedName>
    <definedName name="人30067" localSheetId="7">[161]附表4直接工程费单价表!#REF!</definedName>
    <definedName name="人40004" localSheetId="7">[161]附表4直接工程费单价表!#REF!</definedName>
    <definedName name="人40006" localSheetId="7">[171]直接工程费!$F$188</definedName>
    <definedName name="人40006b" localSheetId="7">[161]附表4直接工程费单价表!#REF!</definedName>
    <definedName name="人40006细石" localSheetId="7">[161]附表4直接工程费单价表!#REF!</definedName>
    <definedName name="人40030" localSheetId="7">[161]附表4直接工程费单价表!#REF!</definedName>
    <definedName name="人40031" localSheetId="7">[154]附表5直接工程费单价表!#REF!</definedName>
    <definedName name="人4003115" localSheetId="7">[161]附表4直接工程费单价表!#REF!</definedName>
    <definedName name="人40041b" localSheetId="7">[161]附表4直接工程费单价表!#REF!</definedName>
    <definedName name="人40056" localSheetId="7">[161]附表4直接工程费单价表!#REF!</definedName>
    <definedName name="人40058" localSheetId="7">[154]附表5直接工程费单价表!#REF!</definedName>
    <definedName name="人40058A" localSheetId="7">[154]附表5直接工程费单价表!#REF!</definedName>
    <definedName name="人40061" localSheetId="7">[154]附表5直接工程费单价表!#REF!</definedName>
    <definedName name="人40062" localSheetId="7">[154]附表5直接工程费单价表!#REF!</definedName>
    <definedName name="人40063" localSheetId="7">[161]附表4直接工程费单价表!#REF!</definedName>
    <definedName name="人40064" localSheetId="7">[161]附表4直接工程费单价表!#REF!</definedName>
    <definedName name="人40067" localSheetId="7">[154]附表5直接工程费单价表!#REF!</definedName>
    <definedName name="人40067A" localSheetId="7">[154]附表5直接工程费单价表!#REF!</definedName>
    <definedName name="人40068" localSheetId="7">[154]附表5直接工程费单价表!#REF!</definedName>
    <definedName name="人40069" localSheetId="7">[154]附表5直接工程费单价表!#REF!</definedName>
    <definedName name="人40070" localSheetId="7">[154]附表5直接工程费单价表!#REF!</definedName>
    <definedName name="人40072" localSheetId="7">[154]附表5直接工程费单价表!#REF!</definedName>
    <definedName name="人40073" localSheetId="7">[161]附表4直接工程费单价表!#REF!</definedName>
    <definedName name="人40074" localSheetId="7">[154]附表5直接工程费单价表!#REF!</definedName>
    <definedName name="人40075" localSheetId="7">[154]附表5直接工程费单价表!#REF!</definedName>
    <definedName name="人40076" localSheetId="7">[154]附表5直接工程费单价表!#REF!</definedName>
    <definedName name="人4007620" localSheetId="7">[161]附表4直接工程费单价表!#REF!</definedName>
    <definedName name="人40077" localSheetId="7">[161]附表4直接工程费单价表!#REF!</definedName>
    <definedName name="人40079" localSheetId="7">[154]附表5直接工程费单价表!#REF!</definedName>
    <definedName name="人40090" localSheetId="7">[154]附表5直接工程费单价表!#REF!</definedName>
    <definedName name="人40096" localSheetId="7">[154]附表5直接工程费单价表!#REF!</definedName>
    <definedName name="人40101" localSheetId="7">[154]附表5直接工程费单价表!#REF!</definedName>
    <definedName name="人40101A" localSheetId="7">[154]附表5直接工程费单价表!#REF!</definedName>
    <definedName name="人40101B" localSheetId="7">[154]附表5直接工程费单价表!#REF!</definedName>
    <definedName name="人40109" localSheetId="7">[154]附表5直接工程费单价表!#REF!</definedName>
    <definedName name="人40110" localSheetId="7">[154]附表5直接工程费单价表!#REF!</definedName>
    <definedName name="人40111" localSheetId="7">[154]附表5直接工程费单价表!#REF!</definedName>
    <definedName name="人40112" localSheetId="7">[154]附表5直接工程费单价表!#REF!</definedName>
    <definedName name="人40113" localSheetId="7">[154]附表5直接工程费单价表!#REF!</definedName>
    <definedName name="人40114" localSheetId="7">[154]附表5直接工程费单价表!#REF!</definedName>
    <definedName name="人40115" localSheetId="7">[154]附表5直接工程费单价表!#REF!</definedName>
    <definedName name="人40116" localSheetId="7">[154]附表5直接工程费单价表!#REF!</definedName>
    <definedName name="人40117" localSheetId="7">[154]附表5直接工程费单价表!#REF!</definedName>
    <definedName name="人40118" localSheetId="7">[154]附表5直接工程费单价表!#REF!</definedName>
    <definedName name="人40120" localSheetId="7">[154]附表5直接工程费单价表!#REF!</definedName>
    <definedName name="人40124" localSheetId="7">[154]附表5直接工程费单价表!#REF!</definedName>
    <definedName name="人40125" localSheetId="7">[154]附表5直接工程费单价表!#REF!</definedName>
    <definedName name="人40133" localSheetId="7">[161]附表4直接工程费单价表!#REF!</definedName>
    <definedName name="人40134" localSheetId="7">[154]附表5直接工程费单价表!#REF!</definedName>
    <definedName name="人40143" localSheetId="7">[154]附表5直接工程费单价表!#REF!</definedName>
    <definedName name="人40192" localSheetId="7">[161]附表4直接工程费单价表!#REF!</definedName>
    <definedName name="人40203" localSheetId="7">[161]附表4直接工程费单价表!#REF!</definedName>
    <definedName name="人40210" localSheetId="7">[161]附表4直接工程费单价表!#REF!</definedName>
    <definedName name="人40214苯" localSheetId="7">[161]附表4直接工程费单价表!#REF!</definedName>
    <definedName name="人40224" localSheetId="7">[154]附表5直接工程费单价表!#REF!</definedName>
    <definedName name="人40260" localSheetId="7">[154]附表5直接工程费单价表!#REF!</definedName>
    <definedName name="人40263" localSheetId="7">[154]附表5直接工程费单价表!#REF!</definedName>
    <definedName name="人40271" localSheetId="7">[154]附表5直接工程费单价表!#REF!</definedName>
    <definedName name="人40286" localSheetId="7">[154]附表5直接工程费单价表!#REF!</definedName>
    <definedName name="人40287" localSheetId="7">[154]附表5直接工程费单价表!#REF!</definedName>
    <definedName name="人40288" localSheetId="7">[154]附表5直接工程费单价表!#REF!</definedName>
    <definedName name="人40289" localSheetId="7">[154]附表5直接工程费单价表!#REF!</definedName>
    <definedName name="人40289A" localSheetId="7">[154]附表5直接工程费单价表!#REF!</definedName>
    <definedName name="人40306" localSheetId="7">[154]附表5直接工程费单价表!#REF!</definedName>
    <definedName name="人40306A" localSheetId="7">[154]附表5直接工程费单价表!#REF!</definedName>
    <definedName name="人40306B" localSheetId="7">[154]附表5直接工程费单价表!#REF!</definedName>
    <definedName name="人50003" localSheetId="7">[154]附表5直接工程费单价表!#REF!</definedName>
    <definedName name="人50004" localSheetId="7">[154]附表5直接工程费单价表!#REF!</definedName>
    <definedName name="人50005" localSheetId="7">[154]附表5直接工程费单价表!#REF!</definedName>
    <definedName name="人50006" localSheetId="7">[154]附表5直接工程费单价表!#REF!</definedName>
    <definedName name="人50014" localSheetId="7">[172]附表4工程费单价表!#REF!</definedName>
    <definedName name="人50045" localSheetId="7">[154]附表5直接工程费单价表!#REF!</definedName>
    <definedName name="人50046" localSheetId="7">[154]附表5直接工程费单价表!#REF!</definedName>
    <definedName name="人50049" localSheetId="7">[154]附表5直接工程费单价表!#REF!</definedName>
    <definedName name="人50050" localSheetId="7">[154]附表5直接工程费单价表!#REF!</definedName>
    <definedName name="人50064" localSheetId="7">[161]附表4直接工程费单价表!#REF!</definedName>
    <definedName name="人50067" localSheetId="7">[161]附表4直接工程费单价表!#REF!</definedName>
    <definedName name="人50113" localSheetId="7">[172]附表4工程费单价表!#REF!</definedName>
    <definedName name="人50115" localSheetId="7">[154]附表5直接工程费单价表!#REF!</definedName>
    <definedName name="人70007" localSheetId="7">[161]附表4直接工程费单价表!#REF!</definedName>
    <definedName name="人70013" localSheetId="7">[161]附表4直接工程费单价表!#REF!</definedName>
    <definedName name="人70014" localSheetId="7">[161]附表4直接工程费单价表!#REF!</definedName>
    <definedName name="人70070" localSheetId="7">[161]附表4直接工程费单价表!#REF!</definedName>
    <definedName name="人70105" localSheetId="7">[161]附表4直接工程费单价表!#REF!</definedName>
    <definedName name="人70106" localSheetId="7">[161]附表4直接工程费单价表!#REF!</definedName>
    <definedName name="人70114" localSheetId="7">[161]附表4直接工程费单价表!#REF!</definedName>
    <definedName name="人70125" localSheetId="7">[161]附表4直接工程费单价表!#REF!</definedName>
    <definedName name="人70194" localSheetId="7">[154]附表5直接工程费单价表!#REF!</definedName>
    <definedName name="人70195" localSheetId="7">[154]附表5直接工程费单价表!#REF!</definedName>
    <definedName name="人70196" localSheetId="7">[154]附表5直接工程费单价表!#REF!</definedName>
    <definedName name="人80015" localSheetId="7">[161]附表4直接工程费单价表!#REF!</definedName>
    <definedName name="人80015加800162" localSheetId="7">[161]附表4直接工程费单价表!#REF!</definedName>
    <definedName name="人80015减80016" localSheetId="7">[161]附表4直接工程费单价表!#REF!</definedName>
    <definedName name="人80023加8002410" localSheetId="7">[161]附表4直接工程费单价表!#REF!</definedName>
    <definedName name="人80033" localSheetId="7">[161]附表4直接工程费单价表!#REF!</definedName>
    <definedName name="人80034" localSheetId="7">[161]附表4直接工程费单价表!#REF!</definedName>
    <definedName name="人90013" localSheetId="7">[161]附表4直接工程费单价表!#REF!</definedName>
    <definedName name="人90014" localSheetId="7">[154]附表5直接工程费单价表!#REF!</definedName>
    <definedName name="人90017" localSheetId="7">[154]附表5直接工程费单价表!#REF!</definedName>
    <definedName name="人90017A" localSheetId="7">[154]附表5直接工程费单价表!#REF!</definedName>
    <definedName name="人90085" localSheetId="7">[154]附表5直接工程费单价表!#REF!</definedName>
    <definedName name="人90086" localSheetId="7">[154]附表5直接工程费单价表!#REF!</definedName>
    <definedName name="人90087" localSheetId="7">[154]附表5直接工程费单价表!#REF!</definedName>
    <definedName name="人90087A" localSheetId="7">[154]附表5直接工程费单价表!#REF!</definedName>
    <definedName name="人90136" localSheetId="7">[154]附表5直接工程费单价表!#REF!</definedName>
    <definedName name="人90147" localSheetId="7">[154]附表5直接工程费单价表!#REF!</definedName>
    <definedName name="人90189" localSheetId="7">[154]附表5直接工程费单价表!#REF!</definedName>
    <definedName name="人补1" localSheetId="7">[154]附表5直接工程费单价表!#REF!</definedName>
    <definedName name="人补1A" localSheetId="7">[154]附表5直接工程费单价表!#REF!</definedName>
    <definedName name="人补2" localSheetId="7">[154]附表5直接工程费单价表!#REF!</definedName>
    <definedName name="人补3" localSheetId="7">[154]附表5直接工程费单价表!#REF!</definedName>
    <definedName name="人补4" localSheetId="7">[154]附表5直接工程费单价表!#REF!</definedName>
    <definedName name="人补5" localSheetId="7">[154]附表5直接工程费单价表!#REF!</definedName>
    <definedName name="人参60432" localSheetId="7">[154]附表5直接工程费单价表!#REF!</definedName>
    <definedName name="人工1" localSheetId="7">[179]人工单价!$D$13</definedName>
    <definedName name="人工费">[188]附表2人工预算单价!#REF!</definedName>
    <definedName name="人工填方" localSheetId="7">[189]单价表!$D$8</definedName>
    <definedName name="人工挖方" localSheetId="7">[189]单价表!$D$7</definedName>
    <definedName name="人工挖土、手扶运300m__工程" localSheetId="7">#REF!</definedName>
    <definedName name="人甲" localSheetId="7">[174]附表1人工!$E$20</definedName>
    <definedName name="人建11_25换" localSheetId="7">[154]附表5直接工程费单价表!#REF!</definedName>
    <definedName name="人建4_10换" localSheetId="7">[154]附表5直接工程费单价表!#REF!</definedName>
    <definedName name="人乙" localSheetId="7">[174]附表1人工!$G$20</definedName>
    <definedName name="软管接头" localSheetId="7">[154]附表2材料价格表!#REF!</definedName>
    <definedName name="润滑油" localSheetId="7">[161]附表2材料价格计算表!#REF!</definedName>
    <definedName name="洒水汽车6000L以内" localSheetId="7">[154]附表3机械台班!#REF!</definedName>
    <definedName name="三盘三通φ225×200×355" localSheetId="7">[154]附表2材料价格表!#REF!</definedName>
    <definedName name="三盘三通φ250×200×200" localSheetId="7">[154]附表2材料价格表!#REF!</definedName>
    <definedName name="三盘三通φ315×160×250" localSheetId="7">[154]附表2材料价格表!#REF!</definedName>
    <definedName name="三盘三通φ315×200×225" localSheetId="7">[154]附表2材料价格表!#REF!</definedName>
    <definedName name="三盘三通φ315×200×250" localSheetId="7">[154]附表2材料价格表!#REF!</definedName>
    <definedName name="三盘三通φ315×200×315" localSheetId="7">[154]附表2材料价格表!#REF!</definedName>
    <definedName name="三盘三通φ355×160×225" localSheetId="7">[154]附表2材料价格表!#REF!</definedName>
    <definedName name="三盘三通φ355×160×315" localSheetId="7">[154]附表2材料价格表!#REF!</definedName>
    <definedName name="三盘三通φ355×200×225" localSheetId="7">[154]附表2材料价格表!#REF!</definedName>
    <definedName name="三盘三通φ355×200×315" localSheetId="7">[154]附表2材料价格表!#REF!</definedName>
    <definedName name="三盘三通φ355×200×400" localSheetId="7">[154]附表2材料价格表!#REF!</definedName>
    <definedName name="三盘三通φ355×400×355" localSheetId="7">[154]附表2材料价格表!#REF!</definedName>
    <definedName name="三盘三通φ400×200×225" localSheetId="7">[154]附表2材料价格表!#REF!</definedName>
    <definedName name="三盘三通φ400×200×355" localSheetId="7">[154]附表2材料价格表!#REF!</definedName>
    <definedName name="三盘三通φ400×500×400" localSheetId="7">[154]附表2材料价格表!#REF!</definedName>
    <definedName name="三盘三通φ500×500×500" localSheetId="7">[154]附表2材料价格表!#REF!</definedName>
    <definedName name="三盘三通φ80×80×80" localSheetId="7">[154]附表2材料价格表!#REF!</definedName>
    <definedName name="三通11090" localSheetId="7">[153]附表2!#REF!</definedName>
    <definedName name="三通16090" localSheetId="7">[153]附表2!#REF!</definedName>
    <definedName name="三通20090" localSheetId="7">[153]附表2!#REF!</definedName>
    <definedName name="三通25090" localSheetId="7">[153]附表2!#REF!</definedName>
    <definedName name="三通90" localSheetId="7">[153]附表2!#REF!</definedName>
    <definedName name="三通φ160×180×160" localSheetId="7">[154]附表2材料价格表!#REF!</definedName>
    <definedName name="三通φ180×180×160" localSheetId="7">[154]附表2材料价格表!#REF!</definedName>
    <definedName name="三通φ180×180×90" localSheetId="7">[154]附表2材料价格表!#REF!</definedName>
    <definedName name="沙枣" localSheetId="7">[161]附表2材料价格计算表!#REF!</definedName>
    <definedName name="砂" localSheetId="7">[176]材料费!$D$5</definedName>
    <definedName name="砂浆" localSheetId="7">[154]附表5直接工程费单价表!#REF!</definedName>
    <definedName name="砂浆7.5" localSheetId="7">[178]附表7砂浆配比表!$I$7</definedName>
    <definedName name="砂浆M10">[190]附表4砼、沙浆费计算表!$M$12</definedName>
    <definedName name="砂浆M5">[191]附表4砼、沙浆费计算表!$M$10</definedName>
    <definedName name="砂浆M7.5">[191]附表4砼、沙浆费计算表!$M$11</definedName>
    <definedName name="砂浆库">[192]砼、砂浆半成品预算表!$A$6:$K$36</definedName>
    <definedName name="砂砾石" localSheetId="7">#REF!</definedName>
    <definedName name="设备费">#REF!</definedName>
    <definedName name="设备费南" localSheetId="7">'[170]表4设备费南 '!$N$37</definedName>
    <definedName name="设备购置费" localSheetId="7">#REF!</definedName>
    <definedName name="设计费" localSheetId="7">#REF!</definedName>
    <definedName name="伸缩节200" localSheetId="7">[153]附表2!#REF!</definedName>
    <definedName name="生产安置平衡" localSheetId="7">#REF!</definedName>
    <definedName name="生产列1">[193]现金流量表!#REF!</definedName>
    <definedName name="生产列11" localSheetId="7">#REF!</definedName>
    <definedName name="生产列17">[193]成本表!#REF!</definedName>
    <definedName name="生产列2" localSheetId="7">#REF!</definedName>
    <definedName name="生产列20" localSheetId="7">#REF!</definedName>
    <definedName name="生产列3">[193]损益表!#REF!</definedName>
    <definedName name="生产列4">[193]资金运用表!#REF!</definedName>
    <definedName name="生产列5" localSheetId="7">#REF!</definedName>
    <definedName name="生产列6" localSheetId="7">#REF!</definedName>
    <definedName name="生产列7" localSheetId="7">#REF!</definedName>
    <definedName name="生产列8" localSheetId="7">#REF!</definedName>
    <definedName name="生产列9" localSheetId="7">#REF!</definedName>
    <definedName name="生产期" localSheetId="7">#REF!</definedName>
    <definedName name="生产期1">[193]现金流量表!#REF!</definedName>
    <definedName name="生产期11" localSheetId="7">#REF!</definedName>
    <definedName name="生产期17">[193]成本表!#REF!</definedName>
    <definedName name="生产期2" localSheetId="7">#REF!</definedName>
    <definedName name="生产期20" localSheetId="7">#REF!</definedName>
    <definedName name="生产期3">[193]损益表!#REF!</definedName>
    <definedName name="生产期4">[193]资金运用表!#REF!</definedName>
    <definedName name="生产期5" localSheetId="7">#REF!</definedName>
    <definedName name="生产期6" localSheetId="7">#REF!</definedName>
    <definedName name="生产期7" localSheetId="7">#REF!</definedName>
    <definedName name="生产期8" localSheetId="7">#REF!</definedName>
    <definedName name="生产期9" localSheetId="7">#REF!</definedName>
    <definedName name="石灰" localSheetId="7">[154]附表2材料价格表!#REF!</definedName>
    <definedName name="石棉织布" localSheetId="7">[161]附表2材料价格计算表!#REF!</definedName>
    <definedName name="石屑" localSheetId="7">[154]附表2材料价格表!#REF!</definedName>
    <definedName name="手扶式拖拉机" localSheetId="7">[80]机械汇总!$K$20</definedName>
    <definedName name="竖管" localSheetId="7">[154]附表2材料价格表!#REF!</definedName>
    <definedName name="竖管75" localSheetId="7">[153]附表2!#REF!</definedName>
    <definedName name="竖管80_150" localSheetId="7">[154]附表2材料价格表!#REF!</definedName>
    <definedName name="数量" localSheetId="7">'[62]#REF'!$D$2</definedName>
    <definedName name="双承PVC塑管φ110×3.2×9000" localSheetId="7">[154]附表2材料价格表!#REF!</definedName>
    <definedName name="双承PVC塑管φ125×3.7×9000" localSheetId="7">[154]附表2材料价格表!#REF!</definedName>
    <definedName name="双承PVC塑管φ160×4.7×9000" localSheetId="7">[154]附表2材料价格表!#REF!</definedName>
    <definedName name="双承PVC塑管φ200×5.9×10000" localSheetId="7">[154]附表2材料价格表!#REF!</definedName>
    <definedName name="双承PVC塑管φ200×5.9×9000" localSheetId="7">[154]附表2材料价格表!#REF!</definedName>
    <definedName name="双承PVC塑管φ225×6.6×10000" localSheetId="7">[154]附表2材料价格表!#REF!</definedName>
    <definedName name="双承PVC塑管φ250×7.3×10000" localSheetId="7">[154]附表2材料价格表!#REF!</definedName>
    <definedName name="双承PVC塑管φ315×9.2×10000" localSheetId="7">[154]附表2材料价格表!#REF!</definedName>
    <definedName name="双承PVC塑管φ355×10.4×10000" localSheetId="7">[154]附表2材料价格表!#REF!</definedName>
    <definedName name="双承PVC塑管φ400×11.7×10000" localSheetId="7">[154]附表2材料价格表!#REF!</definedName>
    <definedName name="双承PVC塑管φ500×14.6×10000" localSheetId="7">[154]附表2材料价格表!#REF!</definedName>
    <definedName name="双承PVC塑管φ90×2.8×9000" localSheetId="7">[154]附表2材料价格表!#REF!</definedName>
    <definedName name="双法兰短管" localSheetId="7">[154]附表2材料价格表!#REF!</definedName>
    <definedName name="双法兰空气阀" localSheetId="7">[154]附表2材料价格表!#REF!</definedName>
    <definedName name="双轮胶车" localSheetId="7">[174]附表3机械!$K$76</definedName>
    <definedName name="双面刨床" localSheetId="7">[154]附表3机械台班!#REF!</definedName>
    <definedName name="双盘短管φ315×600" localSheetId="7">[154]附表2材料价格表!#REF!</definedName>
    <definedName name="双盘短管φ315×600、45" localSheetId="7">[154]附表2材料价格表!#REF!</definedName>
    <definedName name="双盘短管φ400×600" localSheetId="7">[154]附表2材料价格表!#REF!</definedName>
    <definedName name="双盘短管φ400×600、30" localSheetId="7">[154]附表2材料价格表!#REF!</definedName>
    <definedName name="双盘短管φ500×600" localSheetId="7">[154]附表2材料价格表!#REF!</definedName>
    <definedName name="双盘弯头φ200×200" localSheetId="7">[154]附表2材料价格表!#REF!</definedName>
    <definedName name="双盘弯头φ225×160" localSheetId="7">[154]附表2材料价格表!#REF!</definedName>
    <definedName name="双盘弯头φ225×200" localSheetId="7">[154]附表2材料价格表!#REF!</definedName>
    <definedName name="双盘弯头φ250×160" localSheetId="7">[154]附表2材料价格表!#REF!</definedName>
    <definedName name="双盘弯头φ250×200" localSheetId="7">[154]附表2材料价格表!#REF!</definedName>
    <definedName name="水" localSheetId="7">#REF!</definedName>
    <definedName name="水泵机组250QJ100_270_15" localSheetId="7">[154]附表2材料价格表!#REF!</definedName>
    <definedName name="水泵机组250QJ80_320_16" localSheetId="7">[154]附表2材料价格表!#REF!</definedName>
    <definedName name="水泵机组IS80_50_250" localSheetId="7">[154]附表2材料价格表!#REF!</definedName>
    <definedName name="水表" localSheetId="7">[154]附表2材料价格表!#REF!</definedName>
    <definedName name="水措施费南" localSheetId="7">#REF!</definedName>
    <definedName name="水价" localSheetId="7">[174]附表2材料!$D$16</definedName>
    <definedName name="水间接费南" localSheetId="7">#REF!</definedName>
    <definedName name="水力机械调差系数" localSheetId="7">#REF!</definedName>
    <definedName name="水利" localSheetId="7">#REF!</definedName>
    <definedName name="水泥" localSheetId="7">[154]附表2材料价格表!#REF!</definedName>
    <definedName name="水泥32.5" localSheetId="7">'[172]附表2 材料价格表'!#REF!</definedName>
    <definedName name="水泥325" localSheetId="7">#REF!</definedName>
    <definedName name="水泥42.5" localSheetId="7">'[96]附表2-1主材'!$L$5</definedName>
    <definedName name="水泥425" localSheetId="7">#REF!</definedName>
    <definedName name="水泥电杆￠190_12m" localSheetId="7">[154]附表2材料价格表!#REF!</definedName>
    <definedName name="水泥电杆79米" localSheetId="7">[161]附表2材料价格计算表!#REF!</definedName>
    <definedName name="水泥电杆911米" localSheetId="7">[161]附表2材料价格计算表!#REF!</definedName>
    <definedName name="水施工费" localSheetId="7">'[170]表3工程施工费南 '!$H$8</definedName>
    <definedName name="水直接工程费南" localSheetId="7">#REF!</definedName>
    <definedName name="税金" localSheetId="7">[182]基础参数值!$M$15</definedName>
    <definedName name="思想" localSheetId="7">#REF!</definedName>
    <definedName name="四盘四通φ315×200×400×355" localSheetId="7">[154]附表2材料价格表!#REF!</definedName>
    <definedName name="四盘四通φ400×355×355×200" localSheetId="7">[154]附表2材料价格表!#REF!</definedName>
    <definedName name="四盘四通φ400×500×200×400" localSheetId="7">[154]附表2材料价格表!#REF!</definedName>
    <definedName name="四通φ180×90×180×90" localSheetId="7">[154]附表2材料价格表!#REF!</definedName>
    <definedName name="俗人" localSheetId="7">#REF!</definedName>
    <definedName name="速生杨" localSheetId="7">[153]附表2!#REF!</definedName>
    <definedName name="塑料软管" localSheetId="7">[161]附表2材料价格计算表!#REF!</definedName>
    <definedName name="碎石" localSheetId="7">#REF!</definedName>
    <definedName name="碎石30mm" localSheetId="7">[154]附表2材料价格表!#REF!</definedName>
    <definedName name="碎石4" localSheetId="7">'[80]表3-1直接费预算表达式1'!$D$13</definedName>
    <definedName name="碎石40mm" localSheetId="7">[154]附表2材料价格表!#REF!</definedName>
    <definedName name="碎石50mm" localSheetId="7">[154]附表2材料价格表!#REF!</definedName>
    <definedName name="他">[182]人工工资!$K$8</definedName>
    <definedName name="他.">[182]人工工资!$K$8</definedName>
    <definedName name="塔式起重机10t" localSheetId="7">#REF!</definedName>
    <definedName name="塔式起重机25t" localSheetId="7">#REF!</definedName>
    <definedName name="塔式起重机6t" localSheetId="7">[154]附表3机械台班!#REF!</definedName>
    <definedName name="摊铺机TX150" localSheetId="7">[154]附表3机械台班!#REF!</definedName>
    <definedName name="田间道路工程" localSheetId="7">#REF!</definedName>
    <definedName name="铁垫块" localSheetId="7">[80]材价汇!$D$22</definedName>
    <definedName name="铁钉" localSheetId="7">#REF!</definedName>
    <definedName name="铁横担_∠63×6×1500" localSheetId="7">[154]附表2材料价格表!#REF!</definedName>
    <definedName name="铁横担_∠8×8×1700" localSheetId="7">[154]附表2材料价格表!#REF!</definedName>
    <definedName name="铁横担∠8×8×1700" localSheetId="7">[154]附表2材料价格表!#REF!</definedName>
    <definedName name="铁横担L6361500" localSheetId="7">[161]附表2材料价格计算表!#REF!</definedName>
    <definedName name="铁横担L636800" localSheetId="7">[161]附表2材料价格计算表!#REF!</definedName>
    <definedName name="铁横担L8081700" localSheetId="7">[161]附表2材料价格计算表!#REF!</definedName>
    <definedName name="铁件" localSheetId="7">#REF!</definedName>
    <definedName name="铁六渠分水闸" localSheetId="7">#REF!</definedName>
    <definedName name="铁六渠节制闸" localSheetId="7">#REF!</definedName>
    <definedName name="铁六渠生产桥" localSheetId="7">#REF!</definedName>
    <definedName name="铁丝" localSheetId="7">#REF!</definedName>
    <definedName name="铁丝_综合" localSheetId="7">[154]附表2材料价格表!#REF!</definedName>
    <definedName name="铁丝10" localSheetId="7">[154]附表2材料价格表!#REF!</definedName>
    <definedName name="铁丝12" localSheetId="7">[154]附表2材料价格表!#REF!</definedName>
    <definedName name="铁丝14" localSheetId="7">[154]附表2材料价格表!#REF!</definedName>
    <definedName name="铁丝16" localSheetId="7">[154]附表2材料价格表!#REF!</definedName>
    <definedName name="铁丝20" localSheetId="7">[154]附表2材料价格表!#REF!</definedName>
    <definedName name="铁丝22" localSheetId="7">[154]附表2材料价格表!#REF!</definedName>
    <definedName name="铁丝8" localSheetId="7">[154]附表2材料价格表!#REF!</definedName>
    <definedName name="砼C10M2" localSheetId="7">'[80]表3-8'!$N$7</definedName>
    <definedName name="砼C15" localSheetId="7">[181]单位估价!#REF!</definedName>
    <definedName name="砼C20" localSheetId="7">[194]附表4砼、沙浆费计算表!$M$9</definedName>
    <definedName name="砼C20M2" localSheetId="7">[174]附表6砼配!$P$13</definedName>
    <definedName name="砼C20碎2" localSheetId="7">'[80]表3-8'!$N$9</definedName>
    <definedName name="砼C25M2" localSheetId="7">[178]附表6砼配比表!$P$9</definedName>
    <definedName name="砼C30M2" localSheetId="7">'[80]表3-8'!$N$17</definedName>
    <definedName name="砼拌制" localSheetId="7">[153]附表4单价!#REF!</definedName>
    <definedName name="砼垂直运输" localSheetId="7">[182]单价分析表!$F$336</definedName>
    <definedName name="砼吊罐1" localSheetId="7">#REF!</definedName>
    <definedName name="砼管1000" localSheetId="7">'[172]附表2 材料价格表'!#REF!</definedName>
    <definedName name="砼管1500" localSheetId="7">'[172]附表2 材料价格表'!#REF!</definedName>
    <definedName name="砼搅拌机0.4" localSheetId="7">#REF!</definedName>
    <definedName name="砼水平运输" localSheetId="7">[182]单价分析表!$F$323</definedName>
    <definedName name="砼运输" localSheetId="7">[153]附表4单价!#REF!</definedName>
    <definedName name="铜电焊条" localSheetId="7">[154]附表2材料价格表!#REF!</definedName>
    <definedName name="土措" localSheetId="7">[184]税率!$I$4</definedName>
    <definedName name="土措施费南" localSheetId="7">#REF!</definedName>
    <definedName name="土地平整" localSheetId="7">[175]表3工程施工费表!$I$8</definedName>
    <definedName name="土地平整工程" localSheetId="7">#REF!</definedName>
    <definedName name="土间" localSheetId="7">[184]税率!$F$15</definedName>
    <definedName name="土间接费南" localSheetId="7">#REF!</definedName>
    <definedName name="土建单价" localSheetId="7">#REF!</definedName>
    <definedName name="土建费率" localSheetId="7">#REF!</definedName>
    <definedName name="土建工程量" localSheetId="7">#REF!</definedName>
    <definedName name="土施工费南" localSheetId="7">'[170]表3工程施工费南 '!$H$6</definedName>
    <definedName name="土直接工程费南" localSheetId="7">#REF!</definedName>
    <definedName name="推土机103kw" localSheetId="7">[154]附表3机械台班!#REF!</definedName>
    <definedName name="推土机55kw" localSheetId="7">[154]附表3机械台班!#REF!</definedName>
    <definedName name="推土机59kw" localSheetId="7">#REF!</definedName>
    <definedName name="推土机74kw" localSheetId="7">#REF!</definedName>
    <definedName name="推土机88kw" localSheetId="7">[154]附表3机械台班!#REF!</definedName>
    <definedName name="推土机89kw" localSheetId="7">[154]附表3机械台班!#REF!</definedName>
    <definedName name="拖拉机55kw" localSheetId="7">[154]附表3机械台班!#REF!</definedName>
    <definedName name="拖拉机59KW" localSheetId="7">#REF!</definedName>
    <definedName name="拖拉机74kw" localSheetId="7">#REF!</definedName>
    <definedName name="拖拉机履带式功率59kw" localSheetId="7">[80]机械汇总!$K$16</definedName>
    <definedName name="拖拉机履带式功率74kw" localSheetId="7">[80]机械汇总!$K$18</definedName>
    <definedName name="挖掘机1.0油动" localSheetId="7">#REF!</definedName>
    <definedName name="挖掘机1m3" localSheetId="7">[154]附表3机械台班!#REF!</definedName>
    <definedName name="蛙式打夯机2.8k" localSheetId="7">[154]附表3机械台班!#REF!</definedName>
    <definedName name="蛙式打夯机2.8KW" localSheetId="7">#REF!</definedName>
    <definedName name="蛙式打夯机功率2.8kw" localSheetId="7">[80]机械汇总!$K$30</definedName>
    <definedName name="弯头12590" localSheetId="7">[153]附表2!#REF!</definedName>
    <definedName name="弯头20045" localSheetId="7">[153]附表2!#REF!</definedName>
    <definedName name="弯头25090" localSheetId="7">[153]附表2!#REF!</definedName>
    <definedName name="弯头Dg120" localSheetId="7">[154]附表2材料价格表!#REF!</definedName>
    <definedName name="弯头Dg160" localSheetId="7">[154]附表2材料价格表!#REF!</definedName>
    <definedName name="弯头Dg180" localSheetId="7">[154]附表2材料价格表!#REF!</definedName>
    <definedName name="弯头Dg90" localSheetId="7">[154]附表2材料价格表!#REF!</definedName>
    <definedName name="弯头φ110" localSheetId="7">[154]附表2材料价格表!#REF!</definedName>
    <definedName name="弯头φ120_90度" localSheetId="7">[154]附表2材料价格表!#REF!</definedName>
    <definedName name="弯头φ140_90度" localSheetId="7">[154]附表2材料价格表!#REF!</definedName>
    <definedName name="弯头φ160" localSheetId="7">[154]附表2材料价格表!#REF!</definedName>
    <definedName name="弯头φ160_90度" localSheetId="7">[154]附表2材料价格表!#REF!</definedName>
    <definedName name="弯头φ180" localSheetId="7">[154]附表2材料价格表!#REF!</definedName>
    <definedName name="弯头φ90" localSheetId="7">[154]附表2材料价格表!#REF!</definedName>
    <definedName name="碗头挂板W_7B" localSheetId="7">[154]附表2材料价格表!#REF!</definedName>
    <definedName name="万元" localSheetId="7">'[62]#REF'!$H$2</definedName>
    <definedName name="桅杆起重机10t" localSheetId="7">[80]机械汇总!$K$102</definedName>
    <definedName name="我" localSheetId="7">[182]人工工资!$K$8</definedName>
    <definedName name="系数1" localSheetId="7">#REF!</definedName>
    <definedName name="系数3" localSheetId="7">#REF!</definedName>
    <definedName name="现场安装" localSheetId="7">[182]基础参数值!$F$23</definedName>
    <definedName name="现场钢筋" localSheetId="7">[182]基础参数值!$F$19</definedName>
    <definedName name="现场其它" localSheetId="7">[182]基础参数值!$F$22</definedName>
    <definedName name="现场砌石" localSheetId="7">[182]基础参数值!$F$17</definedName>
    <definedName name="现场石方">[182]基础参数值!$F$16</definedName>
    <definedName name="现场疏浚">[182]基础参数值!$F$21</definedName>
    <definedName name="现场砼" localSheetId="7">[182]基础参数值!$F$18</definedName>
    <definedName name="现场土方" localSheetId="7">[182]基础参数值!$F$15</definedName>
    <definedName name="现场钻孔" localSheetId="7">[182]基础参数值!$F$20</definedName>
    <definedName name="线夹" localSheetId="7">[154]附表2材料价格表!#REF!</definedName>
    <definedName name="橡胶绝缘线" localSheetId="7">[161]附表2材料价格计算表!#REF!</definedName>
    <definedName name="橡胶石棉板" localSheetId="7">[154]附表2材料价格表!#REF!</definedName>
    <definedName name="橡胶止水带" localSheetId="7">[154]附表2材料价格表!#REF!</definedName>
    <definedName name="橡胶止水圈_1000" localSheetId="7">[154]附表2材料价格表!#REF!</definedName>
    <definedName name="橡胶止水圈_600" localSheetId="7">[154]附表2材料价格表!#REF!</definedName>
    <definedName name="橡胶止水圈DN1000" localSheetId="7">[80]材价汇!$D$47</definedName>
    <definedName name="橡胶止水圈DN400" localSheetId="7">[80]材价汇!$D$44</definedName>
    <definedName name="橡胶止水圈DN500" localSheetId="7">[80]材价汇!$D$45</definedName>
    <definedName name="橡胶止水圈DN600" localSheetId="7">[161]附表2材料价格计算表!#REF!</definedName>
    <definedName name="橡胶止水圈DN800" localSheetId="7">[80]材价汇!$D$46</definedName>
    <definedName name="橡皮绝缘线" localSheetId="7">[161]附表2材料价格计算表!#REF!</definedName>
    <definedName name="楔形线夹_NX_2" localSheetId="7">[154]附表2材料价格表!#REF!</definedName>
    <definedName name="楔形线夹NX_1" localSheetId="7">[154]附表2材料价格表!#REF!</definedName>
    <definedName name="楔形线夹NX_2" localSheetId="7">[154]附表2材料价格表!#REF!</definedName>
    <definedName name="楔型线夹NX2" localSheetId="7">[161]附表2材料价格计算表!#REF!</definedName>
    <definedName name="泄水阀" localSheetId="7">[154]附表2材料价格表!#REF!</definedName>
    <definedName name="泄水阀φ120" localSheetId="7">[154]附表2材料价格表!#REF!</definedName>
    <definedName name="泄水阀φ140" localSheetId="7">[154]附表2材料价格表!#REF!</definedName>
    <definedName name="泄水阀φ160" localSheetId="7">[154]附表2材料价格表!#REF!</definedName>
    <definedName name="新" localSheetId="7">#REF!</definedName>
    <definedName name="新疆杨" localSheetId="7">[153]附表2!#REF!</definedName>
    <definedName name="新年" localSheetId="7">#REF!</definedName>
    <definedName name="型钢" localSheetId="7">#REF!</definedName>
    <definedName name="型钢剪断机13kw" localSheetId="7">[154]附表3机械台班!#REF!</definedName>
    <definedName name="性别">[186]二级代码!$A$2:$A$4</definedName>
    <definedName name="悬式瓷瓶XP_7" localSheetId="7">[154]附表2材料价格表!#REF!</definedName>
    <definedName name="悬式绝缘子_X_4.5" localSheetId="7">[154]附表2材料价格表!#REF!</definedName>
    <definedName name="悬式绝缘子X_4.5" localSheetId="7">[154]附表2材料价格表!#REF!</definedName>
    <definedName name="悬式绝缘子X4.5" localSheetId="7">[161]附表2材料价格计算表!#REF!</definedName>
    <definedName name="压力表" localSheetId="7">[154]附表2材料价格表!#REF!</definedName>
    <definedName name="压力表0.6MPa" localSheetId="7">[154]附表2材料价格表!#REF!</definedName>
    <definedName name="压力表弯管φ16" localSheetId="7">[154]附表2材料价格表!#REF!</definedName>
    <definedName name="压力钢管" localSheetId="7">#REF!</definedName>
    <definedName name="压力钢管调差系数" localSheetId="7">#REF!</definedName>
    <definedName name="羊脚碾5_7t" localSheetId="7">[154]附表3机械台班!#REF!</definedName>
    <definedName name="羊脚碾7T" localSheetId="7">#REF!</definedName>
    <definedName name="羊脚碾8_12t" localSheetId="7">[154]附表3机械台班!#REF!</definedName>
    <definedName name="杨树" localSheetId="7">[154]附表2材料价格表!#REF!</definedName>
    <definedName name="氧气" localSheetId="7">#REF!</definedName>
    <definedName name="摇臂钻床规格φ20m35mm" localSheetId="7">[80]机械汇总!$K$136</definedName>
    <definedName name="业主管理费" localSheetId="7">#REF!</definedName>
    <definedName name="业主管理费南" localSheetId="7">'[170]表5-4业主管理费南 '!$I$9</definedName>
    <definedName name="一般石方开挖风钻Ⅶ_工程" localSheetId="7">#REF!</definedName>
    <definedName name="乙二胺" localSheetId="7">[154]附表2材料价格表!#REF!</definedName>
    <definedName name="乙类">#N/A</definedName>
    <definedName name="乙类工" localSheetId="7">[184]人工!$D$38</definedName>
    <definedName name="乙炔气" localSheetId="7">[154]附表2材料价格表!#REF!</definedName>
    <definedName name="溢流堰砼200__工程" localSheetId="7">#REF!</definedName>
    <definedName name="油浸石棉盘根250℃" localSheetId="7">[161]附表2材料价格计算表!#REF!</definedName>
    <definedName name="油毛毡" localSheetId="7">[154]附表2材料价格表!#REF!</definedName>
    <definedName name="油漆" localSheetId="7">[154]附表2材料价格表!#REF!</definedName>
    <definedName name="油毡" localSheetId="7">[161]附表2材料价格计算表!#REF!</definedName>
    <definedName name="与之">[195]单位估价!#REF!</definedName>
    <definedName name="预埋铁件" localSheetId="7">[154]附表2材料价格表!#REF!</definedName>
    <definedName name="预算价格">[196]附表2!#REF!</definedName>
    <definedName name="预制砼防护管" localSheetId="7">[153]附表2!#REF!</definedName>
    <definedName name="预制砼柱" localSheetId="7">[181]单位估价!#REF!</definedName>
    <definedName name="原木" localSheetId="7">#REF!</definedName>
    <definedName name="圆盘锯" localSheetId="7">[154]附表3机械台班!#REF!</definedName>
    <definedName name="载重汽车10t" localSheetId="7">#REF!</definedName>
    <definedName name="载重汽车5t" localSheetId="7">#REF!</definedName>
    <definedName name="载重汽车5吨" localSheetId="7">[174]附表3机械!$K$62</definedName>
    <definedName name="闸墩21_21.9m接高200_砼" localSheetId="7">#REF!</definedName>
    <definedName name="闸阀" localSheetId="7">[154]附表2材料价格表!#REF!</definedName>
    <definedName name="闸阀110" localSheetId="7">[154]附表2材料价格表!#REF!</definedName>
    <definedName name="闸阀250" localSheetId="7">[153]附表2!#REF!</definedName>
    <definedName name="闸阀90" localSheetId="7">[153]附表2!#REF!</definedName>
    <definedName name="闸阀Dg120" localSheetId="7">[154]附表2材料价格表!#REF!</definedName>
    <definedName name="闸阀Dg160" localSheetId="7">[154]附表2材料价格表!#REF!</definedName>
    <definedName name="闸阀Dg180" localSheetId="7">[154]附表2材料价格表!#REF!</definedName>
    <definedName name="闸阀Dg90" localSheetId="7">[154]附表2材料价格表!#REF!</definedName>
    <definedName name="闸阀φ120" localSheetId="7">[154]附表2材料价格表!#REF!</definedName>
    <definedName name="闸阀φ140" localSheetId="7">[154]附表2材料价格表!#REF!</definedName>
    <definedName name="闸阀φ160" localSheetId="7">[154]附表2材料价格表!#REF!</definedName>
    <definedName name="闸阀φ180" localSheetId="7">[154]附表2材料价格表!#REF!</definedName>
    <definedName name="闸阀φ200" localSheetId="7">[154]附表2材料价格表!#REF!</definedName>
    <definedName name="闸阀φ225" localSheetId="7">[154]附表2材料价格表!#REF!</definedName>
    <definedName name="闸阀φ250" localSheetId="7">[154]附表2材料价格表!#REF!</definedName>
    <definedName name="闸阀φ315" localSheetId="7">[154]附表2材料价格表!#REF!</definedName>
    <definedName name="闸阀φ355" localSheetId="7">[154]附表2材料价格表!#REF!</definedName>
    <definedName name="闸阀φ400" localSheetId="7">[154]附表2材料价格表!#REF!</definedName>
    <definedName name="闸阀φ80" localSheetId="7">[154]附表2材料价格表!#REF!</definedName>
    <definedName name="闸阀φ90" localSheetId="7">[154]附表2材料价格表!#REF!</definedName>
    <definedName name="闸门0.3" localSheetId="7">[197]设备!#REF!</definedName>
    <definedName name="闸门0.4" localSheetId="7">[197]设备!#REF!</definedName>
    <definedName name="闸门0.5" localSheetId="7">[197]设备!#REF!</definedName>
    <definedName name="闸门0.6" localSheetId="7">[197]设备!#REF!</definedName>
    <definedName name="炸药" localSheetId="7">#REF!</definedName>
    <definedName name="粘土" localSheetId="7">[154]附表2材料价格表!#REF!</definedName>
    <definedName name="粘土球" localSheetId="7">[154]附表2材料价格表!#REF!</definedName>
    <definedName name="漳河柳" localSheetId="7">[153]附表2!#REF!</definedName>
    <definedName name="针式瓶P_20T" localSheetId="7">[154]附表2材料价格表!#REF!</definedName>
    <definedName name="支架φ33×1500" localSheetId="7">[154]附表2材料价格表!#REF!</definedName>
    <definedName name="直角挂板Z_7" localSheetId="7">[154]附表2材料价格表!#REF!</definedName>
    <definedName name="直流电焊机30" localSheetId="7">#REF!</definedName>
    <definedName name="直流电焊机30kVA" localSheetId="7">[80]机械汇总!$K$120</definedName>
    <definedName name="止回阀φ120" localSheetId="7">[154]附表2材料价格表!#REF!</definedName>
    <definedName name="止回阀φ140" localSheetId="7">[154]附表2材料价格表!#REF!</definedName>
    <definedName name="止回阀φ160" localSheetId="7">[154]附表2材料价格表!#REF!</definedName>
    <definedName name="中粗砂" localSheetId="7">#REF!</definedName>
    <definedName name="主1" localSheetId="7">#REF!</definedName>
    <definedName name="专用模板" localSheetId="7">[80]材价汇!$D$28</definedName>
    <definedName name="砖" localSheetId="7">[154]附表2材料价格表!#REF!</definedName>
    <definedName name="紫铜片厚15mm" localSheetId="7">[154]附表2材料价格表!#REF!</definedName>
    <definedName name="自动化">[198]新定额单价!$A$190</definedName>
    <definedName name="自行式平地机118kw" localSheetId="7">[80]机械汇总!$K$22</definedName>
    <definedName name="自行式平地机120kw以内" localSheetId="7">[154]附表3机械台班!#REF!</definedName>
    <definedName name="自卸汽车5t" localSheetId="7">#REF!</definedName>
    <definedName name="自卸汽车8t" localSheetId="7">[154]附表3机械台班!#REF!</definedName>
    <definedName name="总干渠石礼公路桥" localSheetId="7">#REF!</definedName>
    <definedName name="总投资" localSheetId="7">#REF!</definedName>
    <definedName name="总投资南" localSheetId="7">'[170]表2预算总表 南'!$C$9</definedName>
    <definedName name="组合钢模" localSheetId="7">#REF!</definedName>
    <definedName name="组合钢模板" localSheetId="7">[154]附表2材料价格表!#REF!</definedName>
    <definedName name="钻杆" localSheetId="7">[161]附表2材料价格计算表!#REF!</definedName>
    <definedName name="_______PVC20008" localSheetId="7">[200]附表2!#REF!</definedName>
    <definedName name="_____PE20" localSheetId="7">[200]附表2!#REF!</definedName>
    <definedName name="_____PE40" localSheetId="7">[200]附表2!#REF!</definedName>
    <definedName name="_____PVC11008" localSheetId="7">[200]附表2!#REF!</definedName>
    <definedName name="_____PVC16008" localSheetId="7">[200]附表2!#REF!</definedName>
    <definedName name="_____PVC25008" localSheetId="7">[200]附表2!#REF!</definedName>
    <definedName name="_____PVC31508" localSheetId="7">[200]附表2!#REF!</definedName>
    <definedName name="_____PVC9006" localSheetId="7">[200]附表2!#REF!</definedName>
    <definedName name="_____PVC9008" localSheetId="7">[200]附表2!#REF!</definedName>
    <definedName name="____PE20" localSheetId="7">[200]附表2!#REF!</definedName>
    <definedName name="____PE40" localSheetId="7">[200]附表2!#REF!</definedName>
    <definedName name="____PVC11008" localSheetId="7">[200]附表2!#REF!</definedName>
    <definedName name="____PVC16008" localSheetId="7">[200]附表2!#REF!</definedName>
    <definedName name="____PVC20008" localSheetId="7">[200]附表2!#REF!</definedName>
    <definedName name="____PVC25008" localSheetId="7">[200]附表2!#REF!</definedName>
    <definedName name="____PVC31508" localSheetId="7">[200]附表2!#REF!</definedName>
    <definedName name="____PVC9006" localSheetId="7">[200]附表2!#REF!</definedName>
    <definedName name="____PVC9008" localSheetId="7">[200]附表2!#REF!</definedName>
    <definedName name="___PE20" localSheetId="7">[200]附表2!#REF!</definedName>
    <definedName name="___PE40" localSheetId="7">[200]附表2!#REF!</definedName>
    <definedName name="___PVC11008" localSheetId="7">[200]附表2!#REF!</definedName>
    <definedName name="___PVC16008" localSheetId="7">[200]附表2!#REF!</definedName>
    <definedName name="___PVC20008" localSheetId="7">[200]附表2!#REF!</definedName>
    <definedName name="___PVC25008" localSheetId="7">[200]附表2!#REF!</definedName>
    <definedName name="___PVC31508" localSheetId="7">[200]附表2!#REF!</definedName>
    <definedName name="___PVC9006" localSheetId="7">[200]附表2!#REF!</definedName>
    <definedName name="___PVC9008" localSheetId="7">[200]附表2!#REF!</definedName>
    <definedName name="bu" localSheetId="7">[201]定额!#REF!</definedName>
    <definedName name="gc" localSheetId="7" hidden="1">[13]eqpmad2!#REF!</definedName>
    <definedName name="huangling" localSheetId="7">'[202]表5-2工程监理费南'!$E$10</definedName>
    <definedName name="l" localSheetId="7">#REF!</definedName>
    <definedName name="range_jxtb" localSheetId="7">[204]DE!$A$8:$M$405</definedName>
    <definedName name="sheet3">sheet3</definedName>
    <definedName name="宝丰" localSheetId="7">'[211]申请表（正面）'!宝丰</definedName>
    <definedName name="工50115" localSheetId="7">[205]附4工程费单价表!$F$2014</definedName>
    <definedName name="工50116" localSheetId="7">[205]附4工程费单价表!$F$2104</definedName>
    <definedName name="管件供货统计" localSheetId="7">#REF!</definedName>
    <definedName name="立支柱2">[206]定额!#REF!</definedName>
    <definedName name="宁水4082" localSheetId="7">[205]附4工程费单价表!$F$1004</definedName>
    <definedName name="人12466890076人体5">[207]附表4直接工程费单价表!#REF!</definedName>
    <definedName name="世行项目统计表">[203]数据字典!$L$2:$L$3</definedName>
    <definedName name="世行项目预算" localSheetId="7">#REF!</definedName>
    <definedName name="送审表" localSheetId="7" hidden="1">#REF!</definedName>
    <definedName name="谈预算">'[208]表5-2工程监理费南'!$E$10</definedName>
    <definedName name="纤细估算" localSheetId="7">#REF!</definedName>
    <definedName name="一标段临时">[209]新定额单价!#REF!</definedName>
    <definedName name="综40211补">[210]附表4单价!$F$958</definedName>
    <definedName name="综合估算表" localSheetId="7">#REF!</definedName>
    <definedName name="______PE20" localSheetId="7">[199]附表2!#REF!</definedName>
    <definedName name="______________PE40" localSheetId="7">[199]附表2!#REF!</definedName>
    <definedName name="______PVC11008" localSheetId="7">[199]附表2!#REF!</definedName>
    <definedName name="______PVC16008" localSheetId="7">[199]附表2!#REF!</definedName>
    <definedName name="_____PVC20008" localSheetId="7">[199]附表2!#REF!</definedName>
    <definedName name="______PVC25008" localSheetId="7">[199]附表2!#REF!</definedName>
    <definedName name="______PVC31508" localSheetId="7">[199]附表2!#REF!</definedName>
    <definedName name="______PVC9006" localSheetId="7">[199]附表2!#REF!</definedName>
    <definedName name="______PVC9008" localSheetId="7">[199]附表2!#REF!</definedName>
    <definedName name="_______PE20" localSheetId="7">[212]附表2!#REF!</definedName>
    <definedName name="______PE40" localSheetId="7">[212]附表2!#REF!</definedName>
    <definedName name="_______PVC11008" localSheetId="7">[212]附表2!#REF!</definedName>
    <definedName name="_______PVC16008" localSheetId="7">[212]附表2!#REF!</definedName>
    <definedName name="______PVC20008" localSheetId="7">[212]附表2!#REF!</definedName>
    <definedName name="_______PVC25008" localSheetId="7">[212]附表2!#REF!</definedName>
    <definedName name="_______PVC31508" localSheetId="7">[212]附表2!#REF!</definedName>
    <definedName name="_______PVC9006" localSheetId="7">[212]附表2!#REF!</definedName>
    <definedName name="_______PVC9008" localSheetId="7">[212]附表2!#REF!</definedName>
    <definedName name="________PE20" localSheetId="7">[199]附表2!#REF!</definedName>
    <definedName name="_______PE40" localSheetId="7">[199]附表2!#REF!</definedName>
    <definedName name="________PVC11008" localSheetId="7">[199]附表2!#REF!</definedName>
    <definedName name="________PVC16008" localSheetId="7">[199]附表2!#REF!</definedName>
    <definedName name="________PVC20008" localSheetId="7">[199]附表2!#REF!</definedName>
    <definedName name="________PVC25008" localSheetId="7">[199]附表2!#REF!</definedName>
    <definedName name="________PVC31508" localSheetId="7">[199]附表2!#REF!</definedName>
    <definedName name="________PVC9006" localSheetId="7">[199]附表2!#REF!</definedName>
    <definedName name="________PVC9008" localSheetId="7">[199]附表2!#REF!</definedName>
    <definedName name="_________PE20" localSheetId="7">[199]附表2!#REF!</definedName>
    <definedName name="________PE40" localSheetId="7">[199]附表2!#REF!</definedName>
    <definedName name="_________PVC11008" localSheetId="7">[199]附表2!#REF!</definedName>
    <definedName name="_________PVC16008" localSheetId="7">[199]附表2!#REF!</definedName>
    <definedName name="_________PVC20008" localSheetId="7">[199]附表2!#REF!</definedName>
    <definedName name="_________PVC25008" localSheetId="7">[199]附表2!#REF!</definedName>
    <definedName name="_________PVC31508" localSheetId="7">[199]附表2!#REF!</definedName>
    <definedName name="_________PVC9006" localSheetId="7">[199]附表2!#REF!</definedName>
    <definedName name="_________PVC9008" localSheetId="7">[199]附表2!#REF!</definedName>
    <definedName name="__PE20" localSheetId="8">[153]附表2!#REF!</definedName>
    <definedName name="__PE40" localSheetId="8">[153]附表2!#REF!</definedName>
    <definedName name="__PVC11008" localSheetId="8">[153]附表2!#REF!</definedName>
    <definedName name="__PVC16008" localSheetId="8">[153]附表2!#REF!</definedName>
    <definedName name="__PVC20008" localSheetId="8">[153]附表2!#REF!</definedName>
    <definedName name="__PVC25008" localSheetId="8">[153]附表2!#REF!</definedName>
    <definedName name="__PVC31508" localSheetId="8">[153]附表2!#REF!</definedName>
    <definedName name="__PVC9006" localSheetId="8">[153]附表2!#REF!</definedName>
    <definedName name="__PVC9008" localSheetId="8">[153]附表2!#REF!</definedName>
    <definedName name="_1_125涵洞" localSheetId="8">#REF!</definedName>
    <definedName name="_120度弯头φ120" localSheetId="8">[154]附表2材料价格表!#REF!</definedName>
    <definedName name="_120度弯头φ140" localSheetId="8">[154]附表2材料价格表!#REF!</definedName>
    <definedName name="_120度弯头φ160" localSheetId="8">[154]附表2材料价格表!#REF!</definedName>
    <definedName name="_1单元" localSheetId="8">#REF!</definedName>
    <definedName name="_2_分水闸" localSheetId="8">#REF!</definedName>
    <definedName name="_2_涵洞" localSheetId="8">#REF!</definedName>
    <definedName name="_2m3装载机" localSheetId="8">[154]附表3机械台班!#REF!</definedName>
    <definedName name="_2单元" localSheetId="8">#REF!</definedName>
    <definedName name="_3_涵洞" localSheetId="8">#REF!</definedName>
    <definedName name="_32.5水泥" localSheetId="8">[154]附表2材料价格表!#REF!</definedName>
    <definedName name="_Fill" localSheetId="8" hidden="1">[13]eqpmad2!#REF!</definedName>
    <definedName name="_PE20" localSheetId="8">[155]附表2!#REF!</definedName>
    <definedName name="_PE40" localSheetId="8">[155]附表2!#REF!</definedName>
    <definedName name="_PVC11008" localSheetId="8">[155]附表2!#REF!</definedName>
    <definedName name="_PVC16008" localSheetId="8">[155]附表2!#REF!</definedName>
    <definedName name="_PVC20008" localSheetId="8">[155]附表2!#REF!</definedName>
    <definedName name="_PVC25008" localSheetId="8">[155]附表2!#REF!</definedName>
    <definedName name="_PVC31508" localSheetId="8">[155]附表2!#REF!</definedName>
    <definedName name="_PVC9006" localSheetId="8">[155]附表2!#REF!</definedName>
    <definedName name="_PVC9008" localSheetId="8">[155]附表2!#REF!</definedName>
    <definedName name="￠160PVC管_0.6pa" localSheetId="8">[154]附表2材料价格表!#REF!</definedName>
    <definedName name="￠180PVC管_0.6pa" localSheetId="8">[154]附表2材料价格表!#REF!</definedName>
    <definedName name="￠90PVC管_0.6pa" localSheetId="8">[154]附表2材料价格表!#REF!</definedName>
    <definedName name="aa" localSheetId="8">#REF!</definedName>
    <definedName name="aiu_bottom" localSheetId="8">'[16]Financ. Overview'!#REF!</definedName>
    <definedName name="Database" localSheetId="8" hidden="1">#REF!</definedName>
    <definedName name="dj" localSheetId="8">'[156]5'!$F$1</definedName>
    <definedName name="FRC" localSheetId="8">[31]Main!$C$9</definedName>
    <definedName name="hj" localSheetId="8">[157]机电设备!hj</definedName>
    <definedName name="hostfee" localSheetId="8">'[16]Financ. Overview'!$H$12</definedName>
    <definedName name="hraiu_bottom" localSheetId="8">'[16]Financ. Overview'!#REF!</definedName>
    <definedName name="hvac" localSheetId="8">'[16]Financ. Overview'!#REF!</definedName>
    <definedName name="IS80_50_250" localSheetId="8">[154]附表2材料价格表!#REF!</definedName>
    <definedName name="kl" localSheetId="8">#REF!</definedName>
    <definedName name="LCountry" localSheetId="8">[158]数据字典!$Q$2:$Q$246</definedName>
    <definedName name="LGender" localSheetId="8">[159]数据字典!$L$2:$L$3</definedName>
    <definedName name="LPZone" localSheetId="8">[158]数据字典!$L$12:$L$42</definedName>
    <definedName name="M10浆砌砖基础" localSheetId="8">[161]附表4直接工程费单价表!#REF!</definedName>
    <definedName name="Module.Prix_SMC" localSheetId="8">[213]材料预算价格分析表!Module.Prix_SMC</definedName>
    <definedName name="OS" localSheetId="8">[160]Open!#REF!</definedName>
    <definedName name="pr_toolbox" localSheetId="8">[16]Toolbox!$A$3:$I$80</definedName>
    <definedName name="_xlnm.Print_Titles" localSheetId="8">机电设备及安装工程!$1:$3</definedName>
    <definedName name="Print_titles1" localSheetId="8">[163]定额!$A$1:$IV$3</definedName>
    <definedName name="Prix_SMC" localSheetId="8">[213]材料预算价格分析表!Prix_SMC</definedName>
    <definedName name="PVC变径短管1.5寸" localSheetId="8">[154]附表2材料价格表!#REF!</definedName>
    <definedName name="PVC堵头φ40" localSheetId="8">[154]附表2材料价格表!#REF!</definedName>
    <definedName name="PVC活节φ1.5寸" localSheetId="8">[154]附表2材料价格表!#REF!</definedName>
    <definedName name="PVC连丝1.5寸" localSheetId="8">[154]附表2材料价格表!#REF!</definedName>
    <definedName name="PVC球阀1.5寸" localSheetId="8">[154]附表2材料价格表!#REF!</definedName>
    <definedName name="PVC三通φ16×16×16" localSheetId="8">[154]附表2材料价格表!#REF!</definedName>
    <definedName name="PVC三通φ40×1.5×40" localSheetId="8">[154]附表2材料价格表!#REF!</definedName>
    <definedName name="PVC塑管φ40" localSheetId="8">[154]附表2材料价格表!#REF!</definedName>
    <definedName name="PVC直通φ16" localSheetId="8">[154]附表2材料价格表!#REF!</definedName>
    <definedName name="q" localSheetId="8">#REF!</definedName>
    <definedName name="QJ30_240_12_200" localSheetId="8">[154]附表2材料价格表!#REF!</definedName>
    <definedName name="QJ50_120_12_250" localSheetId="8">[154]附表2材料价格表!#REF!</definedName>
    <definedName name="qw" localSheetId="8">[164]定额!$A$1:$IV$3</definedName>
    <definedName name="s_c_list" localSheetId="8">[165]Toolbox!$A$7:$H$969</definedName>
    <definedName name="SCG" localSheetId="8">'[162]G.1R-Shou COP Gf'!#REF!</definedName>
    <definedName name="sdlfee" localSheetId="8">'[16]Financ. Overview'!$H$13</definedName>
    <definedName name="solar_ratio" localSheetId="8">'[166]POWER ASSUMPTIONS'!$H$7</definedName>
    <definedName name="ss7fee" localSheetId="8">'[16]Financ. Overview'!$H$18</definedName>
    <definedName name="subsfee" localSheetId="8">'[16]Financ. Overview'!$H$14</definedName>
    <definedName name="text" localSheetId="8">#REF!</definedName>
    <definedName name="toolbox" localSheetId="8">[59]Toolbox!$C$5:$T$1578</definedName>
    <definedName name="UPVC管道Φ100" localSheetId="8">[161]附表2材料价格计算表!#REF!</definedName>
    <definedName name="UPVC管道Φ50" localSheetId="8">[161]附表2材料价格计算表!#REF!</definedName>
    <definedName name="UT线夹_NUT_2" localSheetId="8">[154]附表2材料价格表!#REF!</definedName>
    <definedName name="UT线夹NUT_2" localSheetId="8">[154]附表2材料价格表!#REF!</definedName>
    <definedName name="UT型线夹NUT_1" localSheetId="8">[154]附表2材料价格表!#REF!</definedName>
    <definedName name="UT型线夹NUT2" localSheetId="8">[161]附表2材料价格计算表!#REF!</definedName>
    <definedName name="U型抱箍U16_200" localSheetId="8">[154]附表2材料价格表!#REF!</definedName>
    <definedName name="U型挂环U_16" localSheetId="8">[154]附表2材料价格表!#REF!</definedName>
    <definedName name="U型挂环U_7" localSheetId="8">[154]附表2材料价格表!#REF!</definedName>
    <definedName name="V5.1Fee" localSheetId="8">'[16]Financ. Overview'!$H$15</definedName>
    <definedName name="w" localSheetId="8">#REF!</definedName>
    <definedName name="we" localSheetId="8">[164]材料表!$E$1:$E$65536,[164]材料表!$J$1:$L$65536</definedName>
    <definedName name="x" localSheetId="8">#REF!</definedName>
    <definedName name="z" localSheetId="8">#REF!</definedName>
    <definedName name="Z_D416CCE0_90DA_11D2_8B33_444553540000_.wvu.Cols" localSheetId="8">[163]材料表!$E$1:$E$65536,[163]材料表!$J$1:$L$65536</definedName>
    <definedName name="Z_D416CCE0_90DA_11D2_8B33_444553540000_.wvu.PrintTitles" localSheetId="8">#REF!</definedName>
    <definedName name="Z_E7D01C20_B8FC_11D1_9E4F_B5D6E120E308_.wvu.Cols" localSheetId="8">[163]材料表!$E$1:$E$65536,[163]材料表!$J$1:$L$65536</definedName>
    <definedName name="Z_E7D01C20_B8FC_11D1_9E4F_B5D6E120E308_.wvu.PrintTitles" localSheetId="8">#REF!</definedName>
    <definedName name="Z32_Cost_red" localSheetId="8">'[16]Financ. Overview'!#REF!</definedName>
    <definedName name="φ10PVC管" localSheetId="8">[154]附表2材料价格表!#REF!</definedName>
    <definedName name="φ225沉淀管" localSheetId="8">[154]附表2材料价格表!#REF!</definedName>
    <definedName name="φ225滤水管" localSheetId="8">[154]附表2材料价格表!#REF!</definedName>
    <definedName name="φ310铸铁管" localSheetId="8">[154]附表2材料价格表!#REF!</definedName>
    <definedName name="φ350铸铁管" localSheetId="8">[154]附表2材料价格表!#REF!</definedName>
    <definedName name="安全阀Dg120" localSheetId="8">[154]附表2材料价格表!#REF!</definedName>
    <definedName name="安全阀Dg90" localSheetId="8">[154]附表2材料价格表!#REF!</definedName>
    <definedName name="安装" localSheetId="8">#REF!</definedName>
    <definedName name="安装单价" localSheetId="8">#REF!</definedName>
    <definedName name="安装工程机械系数" localSheetId="8">#REF!</definedName>
    <definedName name="安装工程量" localSheetId="8">#REF!</definedName>
    <definedName name="按" localSheetId="8">#REF!</definedName>
    <definedName name="柏树" localSheetId="8">[154]附表2材料价格表!#REF!</definedName>
    <definedName name="板枋材" localSheetId="8">#REF!</definedName>
    <definedName name="板枋材kg" localSheetId="8">[167]次要材料预算价格!#REF!</definedName>
    <definedName name="板枋材m3" localSheetId="8">[167]次要材料预算价格!#REF!</definedName>
    <definedName name="备" localSheetId="8">'[62]#REF'!$I$2</definedName>
    <definedName name="苯板" localSheetId="8">[161]附表2材料价格计算表!#REF!</definedName>
    <definedName name="避雷器HY5WS_17_50" localSheetId="8">[154]附表2材料价格表!#REF!</definedName>
    <definedName name="编" localSheetId="8">'[62]#REF'!$A$2</definedName>
    <definedName name="扁钢" localSheetId="8">[154]附表2材料价格表!#REF!</definedName>
    <definedName name="变电构架安装__离心杆构架独" localSheetId="8">[168]定额!#REF!</definedName>
    <definedName name="变电构架安装离心杆构架" localSheetId="8">[169]定额!#REF!</definedName>
    <definedName name="变径11090" localSheetId="8">[153]附表2!#REF!</definedName>
    <definedName name="变径160110" localSheetId="8">[153]附表2!#REF!</definedName>
    <definedName name="变径16090" localSheetId="8">[153]附表2!#REF!</definedName>
    <definedName name="变径200125" localSheetId="8">[153]附表2!#REF!</definedName>
    <definedName name="变径200160" localSheetId="8">[153]附表2!#REF!</definedName>
    <definedName name="变径250125" localSheetId="8">[153]附表2!#REF!</definedName>
    <definedName name="变径250200" localSheetId="8">[153]附表2!#REF!</definedName>
    <definedName name="变径250300" localSheetId="8">[153]附表2!#REF!</definedName>
    <definedName name="变径315200" localSheetId="8">[153]附表2!#REF!</definedName>
    <definedName name="变径315250" localSheetId="8">[153]附表2!#REF!</definedName>
    <definedName name="变径三通Dg180×90" localSheetId="8">[154]附表2材料价格表!#REF!</definedName>
    <definedName name="变径三通φ110×80×90" localSheetId="8">[154]附表2材料价格表!#REF!</definedName>
    <definedName name="变径三通φ125×80×110" localSheetId="8">[154]附表2材料价格表!#REF!</definedName>
    <definedName name="变径三通φ160×80×110" localSheetId="8">[154]附表2材料价格表!#REF!</definedName>
    <definedName name="变径三通φ160×80×125" localSheetId="8">[154]附表2材料价格表!#REF!</definedName>
    <definedName name="变径三通φ200×80×160" localSheetId="8">[154]附表2材料价格表!#REF!</definedName>
    <definedName name="变频机组8.5kvA" localSheetId="8">[154]附表3机械台班!#REF!</definedName>
    <definedName name="变频振捣器4.5kw" localSheetId="8">#REF!</definedName>
    <definedName name="变压器160KVA" localSheetId="8">[154]附表2材料价格表!#REF!</definedName>
    <definedName name="变压器80KVA" localSheetId="8">[154]附表2材料价格表!#REF!</definedName>
    <definedName name="变压器油" localSheetId="8">[161]附表2材料价格计算表!#REF!</definedName>
    <definedName name="标准砖" localSheetId="8">[167]次要材料预算价格!#REF!</definedName>
    <definedName name="并沟线夹_BJ_2" localSheetId="8">[154]附表2材料价格表!#REF!</definedName>
    <definedName name="并沟线夹1635mm" localSheetId="8">[161]附表2材料价格计算表!#REF!</definedName>
    <definedName name="并沟线夹BJ_2" localSheetId="8">[154]附表2材料价格表!#REF!</definedName>
    <definedName name="并沟线夹JB2" localSheetId="8">[161]附表2材料价格计算表!#REF!</definedName>
    <definedName name="玻璃" localSheetId="8">[154]附表2材料价格表!#REF!</definedName>
    <definedName name="补充" localSheetId="8">[153]附表4单价!#REF!</definedName>
    <definedName name="不可预见费" localSheetId="8">#REF!</definedName>
    <definedName name="不可预见费南" localSheetId="8">'[170]表6不可预见费南 '!$H$10</definedName>
    <definedName name="材" localSheetId="8">[154]附表5直接工程费单价表!#REF!</definedName>
    <definedName name="材10001" localSheetId="8">[154]附表5直接工程费单价表!#REF!</definedName>
    <definedName name="材100017" localSheetId="8">[161]附表4直接工程费单价表!#REF!</definedName>
    <definedName name="材10002" localSheetId="8">[154]附表5直接工程费单价表!#REF!</definedName>
    <definedName name="材100023" localSheetId="8">[161]附表4直接工程费单价表!#REF!</definedName>
    <definedName name="材10003" localSheetId="8">[154]附表5直接工程费单价表!#REF!</definedName>
    <definedName name="材100049" localSheetId="8">[161]附表4直接工程费单价表!#REF!</definedName>
    <definedName name="材10008" localSheetId="8">[154]附表5直接工程费单价表!#REF!</definedName>
    <definedName name="材10019" localSheetId="8">[154]附表5直接工程费单价表!#REF!</definedName>
    <definedName name="材10020" localSheetId="8">[154]附表5直接工程费单价表!#REF!</definedName>
    <definedName name="材10021" localSheetId="8">[154]附表5直接工程费单价表!#REF!</definedName>
    <definedName name="材10045" localSheetId="8">[154]附表5直接工程费单价表!#REF!</definedName>
    <definedName name="材10047" localSheetId="8">[154]附表5直接工程费单价表!#REF!</definedName>
    <definedName name="材10049" localSheetId="8">[154]附表5直接工程费单价表!#REF!</definedName>
    <definedName name="材10052" localSheetId="8">[154]附表5直接工程费单价表!#REF!</definedName>
    <definedName name="材10054" localSheetId="8">[154]附表5直接工程费单价表!#REF!</definedName>
    <definedName name="材10056" localSheetId="8">[154]附表5直接工程费单价表!#REF!</definedName>
    <definedName name="材10066" localSheetId="8">[154]附表5直接工程费单价表!#REF!</definedName>
    <definedName name="材10071" localSheetId="8">[154]附表5直接工程费单价表!#REF!</definedName>
    <definedName name="材10075" localSheetId="8">[154]附表5直接工程费单价表!#REF!</definedName>
    <definedName name="材10090" localSheetId="8">[154]附表5直接工程费单价表!#REF!</definedName>
    <definedName name="材10095" localSheetId="8">[154]附表5直接工程费单价表!#REF!</definedName>
    <definedName name="材10114" localSheetId="8">[154]附表5直接工程费单价表!#REF!</definedName>
    <definedName name="材10116" localSheetId="8">[154]附表5直接工程费单价表!#REF!</definedName>
    <definedName name="材10118" localSheetId="8">[154]附表5直接工程费单价表!#REF!</definedName>
    <definedName name="材10204" localSheetId="8">[154]附表5直接工程费单价表!#REF!</definedName>
    <definedName name="材10269" localSheetId="8">[154]附表5直接工程费单价表!#REF!</definedName>
    <definedName name="材10270" localSheetId="8">[154]附表5直接工程费单价表!#REF!</definedName>
    <definedName name="材10271" localSheetId="8">[154]附表5直接工程费单价表!#REF!</definedName>
    <definedName name="材10272" localSheetId="8">[154]附表5直接工程费单价表!#REF!</definedName>
    <definedName name="材10273" localSheetId="8">[154]附表5直接工程费单价表!#REF!</definedName>
    <definedName name="材10275" localSheetId="8">[154]附表5直接工程费单价表!#REF!</definedName>
    <definedName name="材10277" localSheetId="8">[154]附表5直接工程费单价表!#REF!</definedName>
    <definedName name="材10278" localSheetId="8">[154]附表5直接工程费单价表!#REF!</definedName>
    <definedName name="材10279" localSheetId="8">[154]附表5直接工程费单价表!#REF!</definedName>
    <definedName name="材10279A" localSheetId="8">[154]附表5直接工程费单价表!#REF!</definedName>
    <definedName name="材10280" localSheetId="8">[154]附表5直接工程费单价表!#REF!</definedName>
    <definedName name="材10280A" localSheetId="8">[154]附表5直接工程费单价表!#REF!</definedName>
    <definedName name="材10281" localSheetId="8">[154]附表5直接工程费单价表!#REF!</definedName>
    <definedName name="材10281A" localSheetId="8">[154]附表5直接工程费单价表!#REF!</definedName>
    <definedName name="材10282" localSheetId="8">[154]附表5直接工程费单价表!#REF!</definedName>
    <definedName name="材10282A" localSheetId="8">[154]附表5直接工程费单价表!#REF!</definedName>
    <definedName name="材10283" localSheetId="8">[154]附表5直接工程费单价表!#REF!</definedName>
    <definedName name="材10283A" localSheetId="8">[154]附表5直接工程费单价表!#REF!</definedName>
    <definedName name="材10309" localSheetId="8">[154]附表5直接工程费单价表!#REF!</definedName>
    <definedName name="材10310" localSheetId="8">[154]附表5直接工程费单价表!#REF!</definedName>
    <definedName name="材10311" localSheetId="8">[154]附表5直接工程费单价表!#REF!</definedName>
    <definedName name="材10339" localSheetId="8">[154]附表5直接工程费单价表!#REF!</definedName>
    <definedName name="材10345" localSheetId="8">[154]附表5直接工程费单价表!#REF!</definedName>
    <definedName name="材10360" localSheetId="8">[154]附表5直接工程费单价表!#REF!</definedName>
    <definedName name="材10361" localSheetId="8">[154]附表5直接工程费单价表!#REF!</definedName>
    <definedName name="材10365" localSheetId="8">[154]附表5直接工程费单价表!#REF!</definedName>
    <definedName name="材10366" localSheetId="8">[154]附表5直接工程费单价表!#REF!</definedName>
    <definedName name="材10367" localSheetId="8">[154]附表5直接工程费单价表!#REF!</definedName>
    <definedName name="材10464" localSheetId="8">[154]附表5直接工程费单价表!#REF!</definedName>
    <definedName name="材10465" localSheetId="8">[154]附表5直接工程费单价表!#REF!</definedName>
    <definedName name="材10469" localSheetId="8">[154]附表5直接工程费单价表!#REF!</definedName>
    <definedName name="材10469A" localSheetId="8">[154]附表5直接工程费单价表!#REF!</definedName>
    <definedName name="材10473" localSheetId="8">[154]附表5直接工程费单价表!#REF!</definedName>
    <definedName name="材10474" localSheetId="8">[154]附表5直接工程费单价表!#REF!</definedName>
    <definedName name="材12001" localSheetId="8">[154]附表5直接工程费单价表!#REF!</definedName>
    <definedName name="材12074" localSheetId="8">[154]附表5直接工程费单价表!#REF!</definedName>
    <definedName name="材12075" localSheetId="8">[154]附表5直接工程费单价表!#REF!</definedName>
    <definedName name="材2_19_3" localSheetId="8">[154]附表5直接工程费单价表!#REF!</definedName>
    <definedName name="材2_19_4" localSheetId="8">[154]附表5直接工程费单价表!#REF!</definedName>
    <definedName name="材20484" localSheetId="8">[154]附表5直接工程费单价表!#REF!</definedName>
    <definedName name="材20485" localSheetId="8">[154]附表5直接工程费单价表!#REF!</definedName>
    <definedName name="材20488" localSheetId="8">[154]附表5直接工程费单价表!#REF!</definedName>
    <definedName name="材30001" localSheetId="8">[154]附表5直接工程费单价表!#REF!</definedName>
    <definedName name="材30002" localSheetId="8">[154]附表5直接工程费单价表!#REF!</definedName>
    <definedName name="材30016" localSheetId="8">[154]附表5直接工程费单价表!#REF!</definedName>
    <definedName name="材30019" localSheetId="8">[154]附表5直接工程费单价表!#REF!</definedName>
    <definedName name="材30020" localSheetId="8">[154]附表5直接工程费单价表!#REF!</definedName>
    <definedName name="材30021" localSheetId="8">[154]附表5直接工程费单价表!#REF!</definedName>
    <definedName name="材30022" localSheetId="8">[154]附表5直接工程费单价表!#REF!</definedName>
    <definedName name="材30023" localSheetId="8">[154]附表5直接工程费单价表!#REF!</definedName>
    <definedName name="材30024" localSheetId="8">[154]附表5直接工程费单价表!#REF!</definedName>
    <definedName name="材30025" localSheetId="8">[154]附表5直接工程费单价表!#REF!</definedName>
    <definedName name="材30027" localSheetId="8">[154]附表5直接工程费单价表!#REF!</definedName>
    <definedName name="材30028" localSheetId="8">[154]附表5直接工程费单价表!#REF!</definedName>
    <definedName name="材30038" localSheetId="8">[154]附表5直接工程费单价表!#REF!</definedName>
    <definedName name="材30048" localSheetId="8">[154]附表5直接工程费单价表!#REF!</definedName>
    <definedName name="材30048、30051" localSheetId="8">[154]附表5直接工程费单价表!#REF!</definedName>
    <definedName name="材30049" localSheetId="8">[154]附表5直接工程费单价表!#REF!</definedName>
    <definedName name="材30064" localSheetId="8">[161]附表4直接工程费单价表!#REF!</definedName>
    <definedName name="材30067" localSheetId="8">[161]附表4直接工程费单价表!#REF!</definedName>
    <definedName name="材40004" localSheetId="8">[161]附表4直接工程费单价表!#REF!</definedName>
    <definedName name="材40006" localSheetId="8">[171]直接工程费!$F$192</definedName>
    <definedName name="材40006b" localSheetId="8">[161]附表4直接工程费单价表!#REF!</definedName>
    <definedName name="材40006细石" localSheetId="8">[161]附表4直接工程费单价表!#REF!</definedName>
    <definedName name="材40030" localSheetId="8">[161]附表4直接工程费单价表!#REF!</definedName>
    <definedName name="材40031" localSheetId="8">[154]附表5直接工程费单价表!#REF!</definedName>
    <definedName name="材4003115" localSheetId="8">[161]附表4直接工程费单价表!#REF!</definedName>
    <definedName name="材40041b" localSheetId="8">[161]附表4直接工程费单价表!#REF!</definedName>
    <definedName name="材40056" localSheetId="8">[161]附表4直接工程费单价表!#REF!</definedName>
    <definedName name="材40058" localSheetId="8">[154]附表5直接工程费单价表!#REF!</definedName>
    <definedName name="材40058A" localSheetId="8">[154]附表5直接工程费单价表!#REF!</definedName>
    <definedName name="材40061" localSheetId="8">[154]附表5直接工程费单价表!#REF!</definedName>
    <definedName name="材40062" localSheetId="8">[154]附表5直接工程费单价表!#REF!</definedName>
    <definedName name="材40063" localSheetId="8">[161]附表4直接工程费单价表!#REF!</definedName>
    <definedName name="材40064" localSheetId="8">[161]附表4直接工程费单价表!#REF!</definedName>
    <definedName name="材40067" localSheetId="8">[154]附表5直接工程费单价表!#REF!</definedName>
    <definedName name="材40067A" localSheetId="8">[154]附表5直接工程费单价表!#REF!</definedName>
    <definedName name="材40068" localSheetId="8">[154]附表5直接工程费单价表!#REF!</definedName>
    <definedName name="材40069" localSheetId="8">[154]附表5直接工程费单价表!#REF!</definedName>
    <definedName name="材40070" localSheetId="8">[154]附表5直接工程费单价表!#REF!</definedName>
    <definedName name="材40072" localSheetId="8">[154]附表5直接工程费单价表!#REF!</definedName>
    <definedName name="材40073" localSheetId="8">[161]附表4直接工程费单价表!#REF!</definedName>
    <definedName name="材40074" localSheetId="8">[154]附表5直接工程费单价表!#REF!</definedName>
    <definedName name="材40075" localSheetId="8">[154]附表5直接工程费单价表!#REF!</definedName>
    <definedName name="材40076" localSheetId="8">[154]附表5直接工程费单价表!#REF!</definedName>
    <definedName name="材4007620" localSheetId="8">[161]附表4直接工程费单价表!#REF!</definedName>
    <definedName name="材40077" localSheetId="8">[161]附表4直接工程费单价表!#REF!</definedName>
    <definedName name="材40079" localSheetId="8">[154]附表5直接工程费单价表!#REF!</definedName>
    <definedName name="材40090" localSheetId="8">[154]附表5直接工程费单价表!#REF!</definedName>
    <definedName name="材40096" localSheetId="8">[154]附表5直接工程费单价表!#REF!</definedName>
    <definedName name="材40101" localSheetId="8">[154]附表5直接工程费单价表!#REF!</definedName>
    <definedName name="材40101A" localSheetId="8">[154]附表5直接工程费单价表!#REF!</definedName>
    <definedName name="材40101B" localSheetId="8">[154]附表5直接工程费单价表!#REF!</definedName>
    <definedName name="材40109" localSheetId="8">[154]附表5直接工程费单价表!#REF!</definedName>
    <definedName name="材40110" localSheetId="8">[154]附表5直接工程费单价表!#REF!</definedName>
    <definedName name="材40111" localSheetId="8">[154]附表5直接工程费单价表!#REF!</definedName>
    <definedName name="材40112" localSheetId="8">[154]附表5直接工程费单价表!#REF!</definedName>
    <definedName name="材40113" localSheetId="8">[154]附表5直接工程费单价表!#REF!</definedName>
    <definedName name="材40114" localSheetId="8">[154]附表5直接工程费单价表!#REF!</definedName>
    <definedName name="材40115" localSheetId="8">[154]附表5直接工程费单价表!#REF!</definedName>
    <definedName name="材40116" localSheetId="8">[154]附表5直接工程费单价表!#REF!</definedName>
    <definedName name="材40117" localSheetId="8">[154]附表5直接工程费单价表!#REF!</definedName>
    <definedName name="材40118" localSheetId="8">[154]附表5直接工程费单价表!#REF!</definedName>
    <definedName name="材40120" localSheetId="8">[154]附表5直接工程费单价表!#REF!</definedName>
    <definedName name="材40124" localSheetId="8">[154]附表5直接工程费单价表!#REF!</definedName>
    <definedName name="材40125" localSheetId="8">[154]附表5直接工程费单价表!#REF!</definedName>
    <definedName name="材40133" localSheetId="8">[161]附表4直接工程费单价表!#REF!</definedName>
    <definedName name="材40134" localSheetId="8">[154]附表5直接工程费单价表!#REF!</definedName>
    <definedName name="材40143" localSheetId="8">[154]附表5直接工程费单价表!#REF!</definedName>
    <definedName name="材40203" localSheetId="8">[161]附表4直接工程费单价表!#REF!</definedName>
    <definedName name="材40210" localSheetId="8">[161]附表4直接工程费单价表!#REF!</definedName>
    <definedName name="材40214苯" localSheetId="8">[161]附表4直接工程费单价表!#REF!</definedName>
    <definedName name="材40224" localSheetId="8">[154]附表5直接工程费单价表!#REF!</definedName>
    <definedName name="材40260" localSheetId="8">[154]附表5直接工程费单价表!#REF!</definedName>
    <definedName name="材40263" localSheetId="8">[154]附表5直接工程费单价表!#REF!</definedName>
    <definedName name="材40271" localSheetId="8">[154]附表5直接工程费单价表!#REF!</definedName>
    <definedName name="材40286" localSheetId="8">[154]附表5直接工程费单价表!#REF!</definedName>
    <definedName name="材40287" localSheetId="8">[154]附表5直接工程费单价表!#REF!</definedName>
    <definedName name="材40288" localSheetId="8">[154]附表5直接工程费单价表!#REF!</definedName>
    <definedName name="材40289" localSheetId="8">[154]附表5直接工程费单价表!#REF!</definedName>
    <definedName name="材40289A" localSheetId="8">[154]附表5直接工程费单价表!#REF!</definedName>
    <definedName name="材40306" localSheetId="8">[154]附表5直接工程费单价表!#REF!</definedName>
    <definedName name="材40306A" localSheetId="8">[154]附表5直接工程费单价表!#REF!</definedName>
    <definedName name="材40306B" localSheetId="8">[154]附表5直接工程费单价表!#REF!</definedName>
    <definedName name="材50003" localSheetId="8">[154]附表5直接工程费单价表!#REF!</definedName>
    <definedName name="材50004" localSheetId="8">[154]附表5直接工程费单价表!#REF!</definedName>
    <definedName name="材50005" localSheetId="8">[154]附表5直接工程费单价表!#REF!</definedName>
    <definedName name="材50006" localSheetId="8">[154]附表5直接工程费单价表!#REF!</definedName>
    <definedName name="材50014" localSheetId="8">[172]附表4工程费单价表!#REF!</definedName>
    <definedName name="材50045" localSheetId="8">[154]附表5直接工程费单价表!#REF!</definedName>
    <definedName name="材50046" localSheetId="8">[154]附表5直接工程费单价表!#REF!</definedName>
    <definedName name="材50049" localSheetId="8">[154]附表5直接工程费单价表!#REF!</definedName>
    <definedName name="材50050" localSheetId="8">[154]附表5直接工程费单价表!#REF!</definedName>
    <definedName name="材50064" localSheetId="8">[161]附表4直接工程费单价表!#REF!</definedName>
    <definedName name="材50067" localSheetId="8">[161]附表4直接工程费单价表!#REF!</definedName>
    <definedName name="材50113" localSheetId="8">[172]附表4工程费单价表!#REF!</definedName>
    <definedName name="材70007" localSheetId="8">[161]附表4直接工程费单价表!#REF!</definedName>
    <definedName name="材70013" localSheetId="8">[161]附表4直接工程费单价表!#REF!</definedName>
    <definedName name="材70014" localSheetId="8">[161]附表4直接工程费单价表!#REF!</definedName>
    <definedName name="材70070" localSheetId="8">[161]附表4直接工程费单价表!#REF!</definedName>
    <definedName name="材70105" localSheetId="8">[161]附表4直接工程费单价表!#REF!</definedName>
    <definedName name="材70106" localSheetId="8">[161]附表4直接工程费单价表!#REF!</definedName>
    <definedName name="材70125" localSheetId="8">[161]附表4直接工程费单价表!#REF!</definedName>
    <definedName name="材70194" localSheetId="8">[154]附表5直接工程费单价表!#REF!</definedName>
    <definedName name="材70195" localSheetId="8">[154]附表5直接工程费单价表!#REF!</definedName>
    <definedName name="材70196" localSheetId="8">[154]附表5直接工程费单价表!#REF!</definedName>
    <definedName name="材80023加8002410" localSheetId="8">[161]附表4直接工程费单价表!#REF!</definedName>
    <definedName name="材80033" localSheetId="8">[161]附表4直接工程费单价表!#REF!</definedName>
    <definedName name="材80034" localSheetId="8">[161]附表4直接工程费单价表!#REF!</definedName>
    <definedName name="材90013" localSheetId="8">[161]附表4直接工程费单价表!#REF!</definedName>
    <definedName name="材90014" localSheetId="8">[154]附表5直接工程费单价表!#REF!</definedName>
    <definedName name="材90017" localSheetId="8">[154]附表5直接工程费单价表!#REF!</definedName>
    <definedName name="材90017A" localSheetId="8">[154]附表5直接工程费单价表!#REF!</definedName>
    <definedName name="材90085" localSheetId="8">[154]附表5直接工程费单价表!#REF!</definedName>
    <definedName name="材90086" localSheetId="8">[154]附表5直接工程费单价表!#REF!</definedName>
    <definedName name="材90087" localSheetId="8">[154]附表5直接工程费单价表!#REF!</definedName>
    <definedName name="材90087A" localSheetId="8">[154]附表5直接工程费单价表!#REF!</definedName>
    <definedName name="材90136" localSheetId="8">[154]附表5直接工程费单价表!#REF!</definedName>
    <definedName name="材90147" localSheetId="8">[154]附表5直接工程费单价表!#REF!</definedName>
    <definedName name="材90189" localSheetId="8">[154]附表5直接工程费单价表!#REF!</definedName>
    <definedName name="材补1" localSheetId="8">[154]附表5直接工程费单价表!#REF!</definedName>
    <definedName name="材补1A" localSheetId="8">[154]附表5直接工程费单价表!#REF!</definedName>
    <definedName name="材补2" localSheetId="8">[154]附表5直接工程费单价表!#REF!</definedName>
    <definedName name="材补3" localSheetId="8">[154]附表5直接工程费单价表!#REF!</definedName>
    <definedName name="材补4" localSheetId="8">[154]附表5直接工程费单价表!#REF!</definedName>
    <definedName name="材补5" localSheetId="8">[154]附表5直接工程费单价表!#REF!</definedName>
    <definedName name="材参60432" localSheetId="8">[154]附表5直接工程费单价表!#REF!</definedName>
    <definedName name="材建11_25换" localSheetId="8">[154]附表5直接工程费单价表!#REF!</definedName>
    <definedName name="材建4_10换" localSheetId="8">[154]附表5直接工程费单价表!#REF!</definedName>
    <definedName name="材井" localSheetId="8">#REF!</definedName>
    <definedName name="材料差价" localSheetId="8">'[173]#REF'!$C$2</definedName>
    <definedName name="槽钢" localSheetId="8">[161]附表2材料价格计算表!#REF!</definedName>
    <definedName name="插入式振捣器2.2kw" localSheetId="8">#REF!</definedName>
    <definedName name="插入式振动器1.1kw" localSheetId="8">[154]附表3机械台班!#REF!</definedName>
    <definedName name="插入式振动器1.5kw" localSheetId="8">[154]附表3机械台班!#REF!</definedName>
    <definedName name="插入式振动器2.2kw" localSheetId="8">[174]附表3机械!$K$56</definedName>
    <definedName name="插座φ33" localSheetId="8">[154]附表2材料价格表!#REF!</definedName>
    <definedName name="拆迁补偿费" localSheetId="8">#REF!</definedName>
    <definedName name="柴油" localSheetId="8">#REF!</definedName>
    <definedName name="铲运机2.75m3" localSheetId="8">[154]附表3机械台班!#REF!</definedName>
    <definedName name="承插式三通" localSheetId="8">[153]附表2!#REF!</definedName>
    <definedName name="冲击钻机CZ_22型" localSheetId="8">[154]附表3机械台班!#REF!</definedName>
    <definedName name="瓷横担_S210" localSheetId="8">[154]附表2材料价格表!#REF!</definedName>
    <definedName name="瓷横担S210" localSheetId="8">[154]附表2材料价格表!#REF!</definedName>
    <definedName name="瓷横担S210Z" localSheetId="8">[161]附表2材料价格计算表!#REF!</definedName>
    <definedName name="瓷瓶" localSheetId="8">[154]附表2材料价格表!#REF!</definedName>
    <definedName name="刺槐" localSheetId="8">[153]附表2!#REF!</definedName>
    <definedName name="粗砂" localSheetId="8">[154]附表2材料价格表!#REF!</definedName>
    <definedName name="单" localSheetId="8">'[62]#REF'!$E$2</definedName>
    <definedName name="单10245c" localSheetId="8">[172]附表4工程费单价表!#REF!</definedName>
    <definedName name="单承PVC塑管φ110×3.2×9000" localSheetId="8">[154]附表2材料价格表!#REF!</definedName>
    <definedName name="单承PVC塑管φ125×3.7×9000" localSheetId="8">[154]附表2材料价格表!#REF!</definedName>
    <definedName name="单承PVC塑管φ160×4.7×9000" localSheetId="8">[154]附表2材料价格表!#REF!</definedName>
    <definedName name="单承PVC塑管φ200×5.9×10000" localSheetId="8">[154]附表2材料价格表!#REF!</definedName>
    <definedName name="单承PVC塑管φ200×5.9×9000" localSheetId="8">[154]附表2材料价格表!#REF!</definedName>
    <definedName name="单承PVC塑管φ225×6.6×10000" localSheetId="8">[154]附表2材料价格表!#REF!</definedName>
    <definedName name="单承PVC塑管φ250×7.3×10000" localSheetId="8">[154]附表2材料价格表!#REF!</definedName>
    <definedName name="单承PVC塑管φ315×9.2×10000" localSheetId="8">[154]附表2材料价格表!#REF!</definedName>
    <definedName name="单承PVC塑管φ355×10.4×10000" localSheetId="8">[154]附表2材料价格表!#REF!</definedName>
    <definedName name="单承PVC塑管φ400×11.7×10000" localSheetId="8">[154]附表2材料价格表!#REF!</definedName>
    <definedName name="单承PVC塑管φ500×14.6×10000" localSheetId="8">[154]附表2材料价格表!#REF!</definedName>
    <definedName name="单承PVC塑管φ90×2.8×9000" localSheetId="8">[154]附表2材料价格表!#REF!</definedName>
    <definedName name="单斗挖掘机油动斗容0.5m3" localSheetId="8">[80]机械汇总!$K$6</definedName>
    <definedName name="单价" localSheetId="8">[154]附表5直接工程费单价表!#REF!</definedName>
    <definedName name="单盘插头" localSheetId="8">[154]附表2材料价格表!#REF!</definedName>
    <definedName name="单盘插头110" localSheetId="8">[154]附表2材料价格表!#REF!</definedName>
    <definedName name="单盘插头φ160" localSheetId="8">[154]附表2材料价格表!#REF!</definedName>
    <definedName name="单盘插头φ200" localSheetId="8">[154]附表2材料价格表!#REF!</definedName>
    <definedName name="单盘插头φ225" localSheetId="8">[154]附表2材料价格表!#REF!</definedName>
    <definedName name="单盘插头φ250" localSheetId="8">[154]附表2材料价格表!#REF!</definedName>
    <definedName name="单盘插头φ315" localSheetId="8">[154]附表2材料价格表!#REF!</definedName>
    <definedName name="单盘插头φ355" localSheetId="8">[154]附表2材料价格表!#REF!</definedName>
    <definedName name="单盘插头φ400" localSheetId="8">[154]附表2材料价格表!#REF!</definedName>
    <definedName name="单盘插头φ500" localSheetId="8">[154]附表2材料价格表!#REF!</definedName>
    <definedName name="单盘铝承头φ76" localSheetId="8">[154]附表2材料价格表!#REF!</definedName>
    <definedName name="单盘三通φ110×80×110" localSheetId="8">[154]附表2材料价格表!#REF!</definedName>
    <definedName name="单盘三通φ125×80×125" localSheetId="8">[154]附表2材料价格表!#REF!</definedName>
    <definedName name="单盘三通φ160×80×160" localSheetId="8">[154]附表2材料价格表!#REF!</definedName>
    <definedName name="单盘三通φ200×80×200" localSheetId="8">[154]附表2材料价格表!#REF!</definedName>
    <definedName name="单位" localSheetId="8">'[62]#REF'!$C$2</definedName>
    <definedName name="挡浸沟涵洞" localSheetId="8">#REF!</definedName>
    <definedName name="导火线" localSheetId="8">#REF!</definedName>
    <definedName name="导线" localSheetId="8">[154]附表2材料价格表!#REF!</definedName>
    <definedName name="导线_BLX_16" localSheetId="8">[154]附表2材料价格表!#REF!</definedName>
    <definedName name="导线_LGJ" localSheetId="8">[154]附表2材料价格表!#REF!</definedName>
    <definedName name="导线BLGJ" localSheetId="8">[161]附表2材料价格计算表!#REF!</definedName>
    <definedName name="导线BLX_16" localSheetId="8">[154]附表2材料价格表!#REF!</definedName>
    <definedName name="导线BLX16" localSheetId="8">[161]附表2材料价格计算表!#REF!</definedName>
    <definedName name="导线L_G_J" localSheetId="8">[154]附表2材料价格表!#REF!</definedName>
    <definedName name="导线LGJ" localSheetId="8">[154]附表2材料价格表!#REF!</definedName>
    <definedName name="导线LGJ_1" localSheetId="8">[154]附表2材料价格表!#REF!</definedName>
    <definedName name="导线LGJ1" localSheetId="8">[154]附表2材料价格表!#REF!</definedName>
    <definedName name="道路工程" localSheetId="8">[175]表3工程施工费表!$I$10</definedName>
    <definedName name="道路影响投资" localSheetId="8">#REF!</definedName>
    <definedName name="的" localSheetId="8">#REF!</definedName>
    <definedName name="滴灌带φ16" localSheetId="8">[154]附表2材料价格表!#REF!</definedName>
    <definedName name="滴头" localSheetId="8">[153]附表2!#REF!</definedName>
    <definedName name="电" localSheetId="8">#REF!</definedName>
    <definedName name="电动葫芦3t" localSheetId="8">[154]附表3机械台班!#REF!</definedName>
    <definedName name="电杆" localSheetId="8">[154]附表2材料价格表!#REF!</definedName>
    <definedName name="电杆_10m" localSheetId="8">[154]附表2材料价格表!#REF!</definedName>
    <definedName name="电焊机25kvA" localSheetId="8">[154]附表3机械台班!#REF!</definedName>
    <definedName name="电焊机30KVA" localSheetId="8">[154]附表3机械台班!#REF!</definedName>
    <definedName name="电焊机交流30kVA" localSheetId="8">[174]附表3机械!$K$120</definedName>
    <definedName name="电焊条" localSheetId="8">#REF!</definedName>
    <definedName name="电焊条结32" localSheetId="8">[161]附表2材料价格计算表!#REF!</definedName>
    <definedName name="电气设备调差系数" localSheetId="8">#REF!</definedName>
    <definedName name="电石" localSheetId="8">#REF!</definedName>
    <definedName name="跌落开关RW11_200_10" localSheetId="8">[154]附表2材料价格表!#REF!</definedName>
    <definedName name="定额编号_1213" localSheetId="8">#REF!</definedName>
    <definedName name="定额编号_2154" localSheetId="8">#REF!</definedName>
    <definedName name="定额编号_3007" localSheetId="8">#REF!</definedName>
    <definedName name="定额编号_4067" localSheetId="8">#REF!</definedName>
    <definedName name="定额编号_4069" localSheetId="8">#REF!</definedName>
    <definedName name="定额编号_6091" localSheetId="8">#REF!</definedName>
    <definedName name="定额编号_6093" localSheetId="8">#REF!</definedName>
    <definedName name="定额编号_8020" localSheetId="8">#REF!</definedName>
    <definedName name="定额编号_8243" localSheetId="8">#REF!</definedName>
    <definedName name="堵头φ76" localSheetId="8">[154]附表2材料价格表!#REF!</definedName>
    <definedName name="镀锌扁钢" localSheetId="8">[161]附表2材料价格计算表!#REF!</definedName>
    <definedName name="镀锌钢管" localSheetId="8">#REF!</definedName>
    <definedName name="镀锌钢绞拉线GJ_50" localSheetId="8">[154]附表2材料价格表!#REF!</definedName>
    <definedName name="镀锌钢绞线GL35" localSheetId="8">[161]附表2材料价格计算表!#REF!</definedName>
    <definedName name="镀锌钢绞线GL50" localSheetId="8">[161]附表2材料价格计算表!#REF!</definedName>
    <definedName name="镀锌铁皮0.35" localSheetId="8">[167]次要材料预算价格!#REF!</definedName>
    <definedName name="镀锌铁丝8" localSheetId="8">[154]附表2材料价格表!#REF!</definedName>
    <definedName name="对焊机150型" localSheetId="8">[154]附表3机械台班!#REF!</definedName>
    <definedName name="对焊机电弧150kvA" localSheetId="8">#REF!</definedName>
    <definedName name="镦" localSheetId="8">[176]材料费!$D$6</definedName>
    <definedName name="多" localSheetId="8">[177]单价表!#REF!</definedName>
    <definedName name="多眼拉板_60_6_300" localSheetId="8">[154]附表2材料价格表!#REF!</definedName>
    <definedName name="多眼拉板_60_6_350" localSheetId="8">[154]附表2材料价格表!#REF!</definedName>
    <definedName name="二丁脂" localSheetId="8">[154]附表2材料价格表!#REF!</definedName>
    <definedName name="二合抱箍抱1_190" localSheetId="8">[154]附表2材料价格表!#REF!</definedName>
    <definedName name="二合抱箍抱2_200" localSheetId="8">[154]附表2材料价格表!#REF!</definedName>
    <definedName name="阀兰阀体" localSheetId="8">[154]附表2材料价格表!#REF!</definedName>
    <definedName name="阀兰阀体80" localSheetId="8">[154]附表2材料价格表!#REF!</definedName>
    <definedName name="阀门φ120" localSheetId="8">[154]附表2材料价格表!#REF!</definedName>
    <definedName name="阀门φ90" localSheetId="8">[154]附表2材料价格表!#REF!</definedName>
    <definedName name="法兰螺栓" localSheetId="8">[154]附表2材料价格表!#REF!</definedName>
    <definedName name="法兰盘φ120" localSheetId="8">[154]附表2材料价格表!#REF!</definedName>
    <definedName name="法兰盘φ90" localSheetId="8">[154]附表2材料价格表!#REF!</definedName>
    <definedName name="放空管φ150×1500" localSheetId="8">[154]附表2材料价格表!#REF!</definedName>
    <definedName name="风" localSheetId="8">#REF!</definedName>
    <definedName name="风砂水枪" localSheetId="8">[178]附表3机械台班计算表!$K$36</definedName>
    <definedName name="风水枪" localSheetId="8">[154]附表3机械台班!#REF!</definedName>
    <definedName name="封井泥球" localSheetId="8">[154]附表2材料价格表!#REF!</definedName>
    <definedName name="浮力塞" localSheetId="8">[154]附表2材料价格表!#REF!</definedName>
    <definedName name="复合土工膜" localSheetId="8">[154]附表2材料价格表!#REF!</definedName>
    <definedName name="杆顶帽_帽_11" localSheetId="8">[154]附表2材料价格表!#REF!</definedName>
    <definedName name="杆顶帽_帽_3" localSheetId="8">[154]附表2材料价格表!#REF!</definedName>
    <definedName name="钢板" localSheetId="8">[154]附表2材料价格表!#REF!</definedName>
    <definedName name="钢板4mm" localSheetId="8">[154]附表2材料价格表!#REF!</definedName>
    <definedName name="钢材" localSheetId="8">[154]附表2材料价格表!#REF!</definedName>
    <definedName name="钢垫板" localSheetId="8">[161]附表2材料价格计算表!#REF!</definedName>
    <definedName name="钢管" localSheetId="8">[154]附表2材料价格表!#REF!</definedName>
    <definedName name="钢管200" localSheetId="8">[153]附表2!#REF!</definedName>
    <definedName name="钢管250" localSheetId="8">[153]附表2!#REF!</definedName>
    <definedName name="钢管300" localSheetId="8">[153]附表2!#REF!</definedName>
    <definedName name="钢管φ120" localSheetId="8">[154]附表2材料价格表!#REF!</definedName>
    <definedName name="钢管φ140" localSheetId="8">[154]附表2材料价格表!#REF!</definedName>
    <definedName name="钢管φ160" localSheetId="8">[154]附表2材料价格表!#REF!</definedName>
    <definedName name="钢绞拉线GJ_35" localSheetId="8">[154]附表2材料价格表!#REF!</definedName>
    <definedName name="钢绞线GJ_25" localSheetId="8">[154]附表2材料价格表!#REF!</definedName>
    <definedName name="钢绞线GJ_35" localSheetId="8">[154]附表2材料价格表!#REF!</definedName>
    <definedName name="钢绞线GJ_35kg" localSheetId="8">[154]附表2材料价格表!#REF!</definedName>
    <definedName name="钢筋" localSheetId="8">#REF!</definedName>
    <definedName name="钢筋1" localSheetId="8">[179]材料调差!$L$5</definedName>
    <definedName name="钢筋10上" localSheetId="8">'[96]附表2-1主材'!$L$7</definedName>
    <definedName name="钢筋10下" localSheetId="8">'[96]附表2-1主材'!$L$6</definedName>
    <definedName name="钢筋10以内" localSheetId="8">[154]附表2材料价格表!#REF!</definedName>
    <definedName name="钢筋10以外" localSheetId="8">[154]附表2材料价格表!#REF!</definedName>
    <definedName name="钢筋φ12" localSheetId="8">[154]附表2材料价格表!#REF!</definedName>
    <definedName name="钢筋φ16" localSheetId="8">[154]附表2材料价格表!#REF!</definedName>
    <definedName name="钢筋φ8" localSheetId="8">[154]附表2材料价格表!#REF!</definedName>
    <definedName name="钢筋切断机10kw" localSheetId="8">#REF!</definedName>
    <definedName name="钢筋切断机20kw" localSheetId="8">[154]附表3机械台班!#REF!</definedName>
    <definedName name="钢筋调直机14kw" localSheetId="8">#REF!</definedName>
    <definedName name="钢筋砼C20管" localSheetId="8">[154]附表2材料价格表!#REF!</definedName>
    <definedName name="钢筋砼C20管_DN600" localSheetId="8">[154]附表2材料价格表!#REF!</definedName>
    <definedName name="钢筋砼管1000" localSheetId="8">[167]次要材料预算价格!#REF!</definedName>
    <definedName name="钢筋砼管300" localSheetId="8">[167]次要材料预算价格!#REF!</definedName>
    <definedName name="钢筋砼管400" localSheetId="8">[167]次要材料预算价格!#REF!</definedName>
    <definedName name="钢筋砼管500" localSheetId="8">[167]次要材料预算价格!#REF!</definedName>
    <definedName name="钢筋砼管600" localSheetId="8">[167]次要材料预算价格!#REF!</definedName>
    <definedName name="钢筋砼管800" localSheetId="8">[167]次要材料预算价格!#REF!</definedName>
    <definedName name="钢筋砼管C25Φ1000" localSheetId="8">[80]材价汇!$D$43</definedName>
    <definedName name="钢筋砼管C25Φ400" localSheetId="8">[80]材价汇!$D$40</definedName>
    <definedName name="钢筋砼管C25Φ500" localSheetId="8">[80]材价汇!$D$41</definedName>
    <definedName name="钢筋砼管C25Φ600" localSheetId="8">[161]附表2材料价格计算表!#REF!</definedName>
    <definedName name="钢筋砼管C25Φ800" localSheetId="8">[80]材价汇!$D$42</definedName>
    <definedName name="钢筋弯曲机40mm" localSheetId="8">#REF!</definedName>
    <definedName name="钢筋弯曲机φ6_40" localSheetId="8">[154]附表3机械台班!#REF!</definedName>
    <definedName name="钢模板" localSheetId="8">[154]附表2材料价格表!#REF!</definedName>
    <definedName name="钢芯铝绞线LGJ_50_8" localSheetId="8">[154]附表2材料价格表!#REF!</definedName>
    <definedName name="给水栓" localSheetId="8">[154]附表2材料价格表!#REF!</definedName>
    <definedName name="给水栓三通Dg160×60" localSheetId="8">[154]附表2材料价格表!#REF!</definedName>
    <definedName name="给水栓三通Dg180×60" localSheetId="8">[154]附表2材料价格表!#REF!</definedName>
    <definedName name="给水栓三通Dg90×60" localSheetId="8">[154]附表2材料价格表!#REF!</definedName>
    <definedName name="工" localSheetId="8">#REF!</definedName>
    <definedName name="工100002" localSheetId="8">[153]附表4单价!#REF!</definedName>
    <definedName name="工10015" localSheetId="8">[180]单价宁夏新!$F$1980</definedName>
    <definedName name="工10017" localSheetId="8">[161]附表4直接工程费单价表!#REF!</definedName>
    <definedName name="工10020" localSheetId="8">[153]附表4单价!$F$60</definedName>
    <definedName name="工10029" localSheetId="8">[153]附表4单价!$F$74</definedName>
    <definedName name="工10042" localSheetId="8">[161]附表4直接工程费单价表!#REF!</definedName>
    <definedName name="工10043" localSheetId="8">[161]附表4直接工程费单价表!#REF!</definedName>
    <definedName name="工10203" localSheetId="8">[161]附表4直接工程费单价表!$F$46</definedName>
    <definedName name="工10269" localSheetId="8">[161]附表4直接工程费单价表!#REF!</definedName>
    <definedName name="工10302" localSheetId="8">[153]附表4单价!$F$110</definedName>
    <definedName name="工10305" localSheetId="8">[153]附表4单价!$F$144</definedName>
    <definedName name="工10333" localSheetId="8">[161]附表4直接工程费单价表!#REF!</definedName>
    <definedName name="工10334" localSheetId="8">[153]附表4单价!$F$196</definedName>
    <definedName name="工10344" localSheetId="8">[161]附表4直接工程费单价表!#REF!</definedName>
    <definedName name="工10345" localSheetId="8">[161]附表4直接工程费单价表!$F$83</definedName>
    <definedName name="工10364" localSheetId="8">[153]附表4单价!$F$256</definedName>
    <definedName name="工30003" localSheetId="8">[161]附表4直接工程费单价表!$F$100</definedName>
    <definedName name="工30017" localSheetId="8">[153]附表4单价!$F$337</definedName>
    <definedName name="工30018" localSheetId="8">[153]附表4单价!$F$359</definedName>
    <definedName name="工30019" localSheetId="8">[153]附表4单价!$F$379</definedName>
    <definedName name="工30019b" localSheetId="8">[161]附表4直接工程费单价表!$F$172</definedName>
    <definedName name="工30020" localSheetId="8">[153]附表4单价!$F$400</definedName>
    <definedName name="工30021" localSheetId="8">[153]附表4单价!$F$421</definedName>
    <definedName name="工30021b" localSheetId="8">[161]附表4直接工程费单价表!$F$226</definedName>
    <definedName name="工30028" localSheetId="8">[161]附表4直接工程费单价表!#REF!</definedName>
    <definedName name="工30058" localSheetId="8">[153]附表4单价!$F$730</definedName>
    <definedName name="工30064" localSheetId="8">[161]附表4直接工程费单价表!#REF!</definedName>
    <definedName name="工30065" localSheetId="8">[153]附表4单价!$F$1560</definedName>
    <definedName name="工30066" localSheetId="8">[161]附表4直接工程费单价表!$F$278</definedName>
    <definedName name="工3007" localSheetId="8">[180]单价宁夏新!$F$1953</definedName>
    <definedName name="工40004" localSheetId="8">[161]附表4直接工程费单价表!#REF!</definedName>
    <definedName name="工40006" localSheetId="8">[161]附表4直接工程费单价表!$F$311</definedName>
    <definedName name="工40006b" localSheetId="8">[161]附表4直接工程费单价表!#REF!</definedName>
    <definedName name="工40006d" localSheetId="8">[153]附表4单价!$F$492</definedName>
    <definedName name="工40006细石" localSheetId="8">[161]附表4直接工程费单价表!#REF!</definedName>
    <definedName name="工40023b" localSheetId="8">[153]附表4单价!$F$607</definedName>
    <definedName name="工40030" localSheetId="8">[161]附表4直接工程费单价表!#REF!</definedName>
    <definedName name="工40031a" localSheetId="8">[161]附表4直接工程费单价表!#REF!</definedName>
    <definedName name="工40041a" localSheetId="8">[161]附表4直接工程费单价表!$F$408</definedName>
    <definedName name="工40041b" localSheetId="8">[161]附表4直接工程费单价表!#REF!</definedName>
    <definedName name="工40056" localSheetId="8">[153]附表4单价!#REF!</definedName>
    <definedName name="工40056a" localSheetId="8">[153]附表4单价!#REF!</definedName>
    <definedName name="工40066" localSheetId="8">[153]附表4单价!$F$776</definedName>
    <definedName name="工40073" localSheetId="8">[161]附表4直接工程费单价表!#REF!</definedName>
    <definedName name="工40076" localSheetId="8">[161]附表4直接工程费单价表!#REF!</definedName>
    <definedName name="工40076d" localSheetId="8">[153]附表4单价!$F$842</definedName>
    <definedName name="工40077" localSheetId="8">[161]附表4直接工程费单价表!#REF!</definedName>
    <definedName name="工40079" localSheetId="8">[161]附表4直接工程费单价表!$F$565</definedName>
    <definedName name="工40115" localSheetId="8">[153]附表4单价!$F$989</definedName>
    <definedName name="工40116" localSheetId="8">[161]附表4直接工程费单价表!$F$629</definedName>
    <definedName name="工40123" localSheetId="8">[153]附表4单价!$F$1012</definedName>
    <definedName name="工40124" localSheetId="8">[153]附表4单价!$F$1040</definedName>
    <definedName name="工40136" localSheetId="8">[153]附表4单价!$F$1096</definedName>
    <definedName name="工40139" localSheetId="8">[153]附表4单价!$F$1129</definedName>
    <definedName name="工40159" localSheetId="8">[153]附表4单价!$F$1174</definedName>
    <definedName name="工40172" localSheetId="8">[153]附表4单价!#REF!</definedName>
    <definedName name="工40190" localSheetId="8">[153]附表4单价!#REF!</definedName>
    <definedName name="工40192" localSheetId="8">[161]附表4直接工程费单价表!#REF!</definedName>
    <definedName name="工40199" localSheetId="8">[153]附表4单价!#REF!</definedName>
    <definedName name="工40203" localSheetId="8">[161]附表4直接工程费单价表!#REF!</definedName>
    <definedName name="工40211" localSheetId="8">[161]附表4直接工程费单价表!$F$853</definedName>
    <definedName name="工40211补" localSheetId="8">[153]附表4单价!#REF!</definedName>
    <definedName name="工40215" localSheetId="8">[161]附表4直接工程费单价表!$F$900</definedName>
    <definedName name="工40215补" localSheetId="8">[153]附表4单价!$F$1222</definedName>
    <definedName name="工40216" localSheetId="8">[153]附表4单价!$F$2138</definedName>
    <definedName name="工40218" localSheetId="8">[153]附表4单价!$F$2192</definedName>
    <definedName name="工40220" localSheetId="8">[153]附表4单价!$F$2220</definedName>
    <definedName name="工40226" localSheetId="8">[153]附表4单价!$F$2240</definedName>
    <definedName name="工40231" localSheetId="8">[153]附表4单价!$F$2291</definedName>
    <definedName name="工40233" localSheetId="8">[153]附表4单价!$F$2337</definedName>
    <definedName name="工40235" localSheetId="8">[153]附表4单价!$F$2360</definedName>
    <definedName name="工4124a" localSheetId="8">[180]单价宁夏新!$F$2201</definedName>
    <definedName name="工50060" localSheetId="8">[153]附表4单价!#REF!</definedName>
    <definedName name="工50061" localSheetId="8">[153]附表4单价!#REF!</definedName>
    <definedName name="工50062" localSheetId="8">[153]附表4单价!#REF!</definedName>
    <definedName name="工50064" localSheetId="8">[161]附表4直接工程费单价表!#REF!</definedName>
    <definedName name="工50067" localSheetId="8">[161]附表4直接工程费单价表!#REF!</definedName>
    <definedName name="工50079改1" localSheetId="8">[153]附表4单价!#REF!</definedName>
    <definedName name="工50079改2" localSheetId="8">[153]附表4单价!#REF!</definedName>
    <definedName name="工50079改3" localSheetId="8">[153]附表4单价!#REF!</definedName>
    <definedName name="工50079改4" localSheetId="8">[153]附表4单价!#REF!</definedName>
    <definedName name="工50079改5" localSheetId="8">[153]附表4单价!#REF!</definedName>
    <definedName name="工50079改6" localSheetId="8">[153]附表4单价!#REF!</definedName>
    <definedName name="工50079改7" localSheetId="8">[153]附表4单价!#REF!</definedName>
    <definedName name="工50079改8" localSheetId="8">[153]附表4单价!#REF!</definedName>
    <definedName name="工50079改9" localSheetId="8">[153]附表4单价!#REF!</definedName>
    <definedName name="工50110a" localSheetId="8">[153]附表4单价!#REF!</definedName>
    <definedName name="工50111" localSheetId="8">[153]附表4单价!$F$1367</definedName>
    <definedName name="工50112" localSheetId="8">[153]附表4单价!#REF!</definedName>
    <definedName name="工50113" localSheetId="8">[153]附表4单价!#REF!</definedName>
    <definedName name="工70001" localSheetId="8">[153]附表4单价!$F$1502</definedName>
    <definedName name="工70007" localSheetId="8">[161]附表4直接工程费单价表!#REF!</definedName>
    <definedName name="工70014" localSheetId="8">[161]附表4直接工程费单价表!#REF!</definedName>
    <definedName name="工70046" localSheetId="8">[153]附表4单价!#REF!</definedName>
    <definedName name="工70048" localSheetId="8">[153]附表4单价!#REF!</definedName>
    <definedName name="工80014a" localSheetId="8">[153]附表4单价!#REF!</definedName>
    <definedName name="工80014b" localSheetId="8">[153]附表4单价!#REF!</definedName>
    <definedName name="工80015" localSheetId="8">[153]附表4单价!$F$1282</definedName>
    <definedName name="工80015加80016" localSheetId="8">[161]附表4直接工程费单价表!#REF!</definedName>
    <definedName name="工80015加800166" localSheetId="8">[161]附表4直接工程费单价表!$F$1067</definedName>
    <definedName name="工80015减80016" localSheetId="8">[161]附表4直接工程费单价表!#REF!</definedName>
    <definedName name="工80023" localSheetId="8">[161]附表4直接工程费单价表!$F$1089</definedName>
    <definedName name="工80023a" localSheetId="8">[153]附表4单价!$F$1336</definedName>
    <definedName name="工90001" localSheetId="8">[153]附表4单价!#REF!</definedName>
    <definedName name="工90001a" localSheetId="8">[153]附表4单价!#REF!</definedName>
    <definedName name="工90001b" localSheetId="8">[161]附表4直接工程费单价表!$F$1125</definedName>
    <definedName name="工90001c" localSheetId="8">[161]附表4直接工程费单价表!#REF!</definedName>
    <definedName name="工90013" localSheetId="8">[161]附表4直接工程费单价表!#REF!</definedName>
    <definedName name="工9001c" localSheetId="8">[161]附表4直接工程费单价表!#REF!</definedName>
    <definedName name="工程监理费" localSheetId="8">#REF!</definedName>
    <definedName name="工程监理费南" localSheetId="8">'[170]表5-2工程监理费南'!$E$10</definedName>
    <definedName name="工程胶" localSheetId="8">[154]附表2材料价格表!#REF!</definedName>
    <definedName name="工程量清单" localSheetId="8">#REF!</definedName>
    <definedName name="工程量调整系数" localSheetId="8">#REF!</definedName>
    <definedName name="工程施工费" localSheetId="8">#REF!</definedName>
    <definedName name="工程施工费工" localSheetId="8">[80]表2预算汇总表!$H$338</definedName>
    <definedName name="工程施工费南" localSheetId="8">'[170]表3工程施工费南 '!$H$515</definedName>
    <definedName name="工土地平整" localSheetId="8">[161]表3工程施工费用!#REF!</definedName>
    <definedName name="沟槽石方开挖_______________工程" localSheetId="8">#REF!</definedName>
    <definedName name="关键" localSheetId="8">#REF!</definedName>
    <definedName name="管件" localSheetId="8">[154]附表2材料价格表!#REF!</definedName>
    <definedName name="管件φ120" localSheetId="8">[154]附表2材料价格表!#REF!</definedName>
    <definedName name="管件φ90" localSheetId="8">[154]附表2材料价格表!#REF!</definedName>
    <definedName name="灌排工程" localSheetId="8">#REF!</definedName>
    <definedName name="灌渠影响投资" localSheetId="8">#REF!</definedName>
    <definedName name="光轮压路机12_15t" localSheetId="8">[154]附表3机械台班!#REF!</definedName>
    <definedName name="光轮压路机6_8t" localSheetId="8">[154]附表3机械台班!#REF!</definedName>
    <definedName name="光轮压路机8_10t" localSheetId="8">[154]附表3机械台班!#REF!</definedName>
    <definedName name="国槐" localSheetId="8">[161]附表2材料价格计算表!#REF!</definedName>
    <definedName name="好" localSheetId="8">#REF!</definedName>
    <definedName name="好入" localSheetId="8">#REF!</definedName>
    <definedName name="合计" localSheetId="8">'[62]#REF'!$G$2</definedName>
    <definedName name="合金钻头" localSheetId="8">#REF!</definedName>
    <definedName name="合作杨" localSheetId="8">[80]材价汇!$D$48</definedName>
    <definedName name="黑龙沟涵洞_含60米渠道" localSheetId="8">#REF!</definedName>
    <definedName name="环氧树脂" localSheetId="8">[154]附表2材料价格表!#REF!</definedName>
    <definedName name="黄油" localSheetId="8">[154]附表2材料价格表!#REF!</definedName>
    <definedName name="灰浆搅拌机" localSheetId="8">[154]附表3机械台班!#REF!</definedName>
    <definedName name="恢复认得" localSheetId="8">#REF!,#REF!</definedName>
    <definedName name="汇率" localSheetId="8">#REF!</definedName>
    <definedName name="汇总" localSheetId="8">#REF!</definedName>
    <definedName name="汇总表" localSheetId="8">#REF!</definedName>
    <definedName name="混凝土拌制" localSheetId="8">[181]单位估价!#REF!</definedName>
    <definedName name="混凝土拌制1" localSheetId="8">[181]单位估价!#REF!</definedName>
    <definedName name="混凝土泵" localSheetId="8">[154]附表3机械台班!#REF!</definedName>
    <definedName name="混凝土垂直运输" localSheetId="8">[181]单位估价!#REF!</definedName>
    <definedName name="混凝土底盘" localSheetId="8">[154]附表2材料价格表!#REF!</definedName>
    <definedName name="混凝土底盘800×800×800" localSheetId="8">[154]附表2材料价格表!#REF!</definedName>
    <definedName name="混凝土底盘800800180" localSheetId="8">[161]附表2材料价格计算表!#REF!</definedName>
    <definedName name="混凝土拉盘LP6" localSheetId="8">[161]附表2材料价格计算表!#REF!</definedName>
    <definedName name="混凝土拉线盘LP8" localSheetId="8">[161]附表2材料价格计算表!#REF!</definedName>
    <definedName name="混凝土水平运输" localSheetId="8">[181]单位估价!#REF!</definedName>
    <definedName name="混凝土运输" localSheetId="8">[154]附表5直接工程费单价表!#REF!</definedName>
    <definedName name="混凝土柱" localSheetId="8">[154]附表2材料价格表!#REF!</definedName>
    <definedName name="机" localSheetId="8">[154]附表5直接工程费单价表!#REF!</definedName>
    <definedName name="机1_23_1" localSheetId="8">[154]附表5直接工程费单价表!#REF!</definedName>
    <definedName name="机100017" localSheetId="8">[161]附表4直接工程费单价表!#REF!</definedName>
    <definedName name="机100023" localSheetId="8">[161]附表4直接工程费单价表!#REF!</definedName>
    <definedName name="机100049" localSheetId="8">[161]附表4直接工程费单价表!#REF!</definedName>
    <definedName name="机10043" localSheetId="8">[161]附表4直接工程费单价表!#REF!</definedName>
    <definedName name="机10204" localSheetId="8">[154]附表5直接工程费单价表!#REF!</definedName>
    <definedName name="机10269" localSheetId="8">[154]附表5直接工程费单价表!#REF!</definedName>
    <definedName name="机10270" localSheetId="8">[154]附表5直接工程费单价表!#REF!</definedName>
    <definedName name="机10271" localSheetId="8">[154]附表5直接工程费单价表!#REF!</definedName>
    <definedName name="机10272" localSheetId="8">[154]附表5直接工程费单价表!#REF!</definedName>
    <definedName name="机10273" localSheetId="8">[154]附表5直接工程费单价表!#REF!</definedName>
    <definedName name="机10275" localSheetId="8">[154]附表5直接工程费单价表!#REF!</definedName>
    <definedName name="机10277" localSheetId="8">[154]附表5直接工程费单价表!#REF!</definedName>
    <definedName name="机10278" localSheetId="8">[154]附表5直接工程费单价表!#REF!</definedName>
    <definedName name="机10279" localSheetId="8">[154]附表5直接工程费单价表!#REF!</definedName>
    <definedName name="机10279A" localSheetId="8">[154]附表5直接工程费单价表!#REF!</definedName>
    <definedName name="机10280" localSheetId="8">[154]附表5直接工程费单价表!#REF!</definedName>
    <definedName name="机10280A" localSheetId="8">[154]附表5直接工程费单价表!#REF!</definedName>
    <definedName name="机10281" localSheetId="8">[154]附表5直接工程费单价表!#REF!</definedName>
    <definedName name="机10281A" localSheetId="8">[154]附表5直接工程费单价表!#REF!</definedName>
    <definedName name="机10282" localSheetId="8">[154]附表5直接工程费单价表!#REF!</definedName>
    <definedName name="机10282A" localSheetId="8">[154]附表5直接工程费单价表!#REF!</definedName>
    <definedName name="机10283" localSheetId="8">[154]附表5直接工程费单价表!#REF!</definedName>
    <definedName name="机10283A" localSheetId="8">[154]附表5直接工程费单价表!#REF!</definedName>
    <definedName name="机10305" localSheetId="8">[172]附表4工程费单价表!#REF!</definedName>
    <definedName name="机10306" localSheetId="8">[161]附表4直接工程费单价表!#REF!</definedName>
    <definedName name="机10309" localSheetId="8">[154]附表5直接工程费单价表!#REF!</definedName>
    <definedName name="机10310" localSheetId="8">[154]附表5直接工程费单价表!#REF!</definedName>
    <definedName name="机10311" localSheetId="8">[154]附表5直接工程费单价表!#REF!</definedName>
    <definedName name="机10315" localSheetId="8">[172]附表4工程费单价表!#REF!</definedName>
    <definedName name="机10332" localSheetId="8">0</definedName>
    <definedName name="机10333" localSheetId="8">[161]附表4直接工程费单价表!#REF!</definedName>
    <definedName name="机10334" localSheetId="8">[154]附表5直接工程费单价表!#REF!</definedName>
    <definedName name="机10339" localSheetId="8">[154]附表5直接工程费单价表!#REF!</definedName>
    <definedName name="机10344" localSheetId="8">[161]附表4直接工程费单价表!#REF!</definedName>
    <definedName name="机10345" localSheetId="8">[154]附表5直接工程费单价表!#REF!</definedName>
    <definedName name="机10360" localSheetId="8">[154]附表5直接工程费单价表!#REF!</definedName>
    <definedName name="机10361" localSheetId="8">[154]附表5直接工程费单价表!#REF!</definedName>
    <definedName name="机10365" localSheetId="8">[154]附表5直接工程费单价表!#REF!</definedName>
    <definedName name="机10366" localSheetId="8">[154]附表5直接工程费单价表!#REF!</definedName>
    <definedName name="机10367" localSheetId="8">[154]附表5直接工程费单价表!#REF!</definedName>
    <definedName name="机10465" localSheetId="8">[154]附表5直接工程费单价表!#REF!</definedName>
    <definedName name="机10469" localSheetId="8">[154]附表5直接工程费单价表!#REF!</definedName>
    <definedName name="机10469A" localSheetId="8">[154]附表5直接工程费单价表!#REF!</definedName>
    <definedName name="机10473" localSheetId="8">[154]附表5直接工程费单价表!#REF!</definedName>
    <definedName name="机10474" localSheetId="8">[154]附表5直接工程费单价表!#REF!</definedName>
    <definedName name="机12001" localSheetId="8">[154]附表5直接工程费单价表!#REF!</definedName>
    <definedName name="机12074" localSheetId="8">[154]附表5直接工程费单价表!#REF!</definedName>
    <definedName name="机12075" localSheetId="8">[154]附表5直接工程费单价表!#REF!</definedName>
    <definedName name="机2_19_3" localSheetId="8">[154]附表5直接工程费单价表!#REF!</definedName>
    <definedName name="机2_19_4" localSheetId="8">[154]附表5直接工程费单价表!#REF!</definedName>
    <definedName name="机20484" localSheetId="8">[154]附表5直接工程费单价表!#REF!</definedName>
    <definedName name="机20485" localSheetId="8">[154]附表5直接工程费单价表!#REF!</definedName>
    <definedName name="机20488" localSheetId="8">[154]附表5直接工程费单价表!#REF!</definedName>
    <definedName name="机30016" localSheetId="8">[154]附表5直接工程费单价表!#REF!</definedName>
    <definedName name="机30019" localSheetId="8">[154]附表5直接工程费单价表!#REF!</definedName>
    <definedName name="机30020" localSheetId="8">[154]附表5直接工程费单价表!#REF!</definedName>
    <definedName name="机30021" localSheetId="8">[154]附表5直接工程费单价表!#REF!</definedName>
    <definedName name="机30022" localSheetId="8">[154]附表5直接工程费单价表!#REF!</definedName>
    <definedName name="机30023" localSheetId="8">[154]附表5直接工程费单价表!#REF!</definedName>
    <definedName name="机30025" localSheetId="8">[154]附表5直接工程费单价表!#REF!</definedName>
    <definedName name="机30027" localSheetId="8">[154]附表5直接工程费单价表!#REF!</definedName>
    <definedName name="机30048" localSheetId="8">[154]附表5直接工程费单价表!#REF!</definedName>
    <definedName name="机30048、30051" localSheetId="8">[154]附表5直接工程费单价表!#REF!</definedName>
    <definedName name="机30049" localSheetId="8">[154]附表5直接工程费单价表!#REF!</definedName>
    <definedName name="机40004" localSheetId="8">[161]附表4直接工程费单价表!#REF!</definedName>
    <definedName name="机40006" localSheetId="8">[171]直接工程费!$F$203</definedName>
    <definedName name="机40006b" localSheetId="8">[161]附表4直接工程费单价表!#REF!</definedName>
    <definedName name="机40006细石" localSheetId="8">[161]附表4直接工程费单价表!#REF!</definedName>
    <definedName name="机40030" localSheetId="8">[161]附表4直接工程费单价表!#REF!</definedName>
    <definedName name="机40031" localSheetId="8">[154]附表5直接工程费单价表!#REF!</definedName>
    <definedName name="机4003115" localSheetId="8">[161]附表4直接工程费单价表!#REF!</definedName>
    <definedName name="机40031C15" localSheetId="8">[161]附表4直接工程费单价表!#REF!</definedName>
    <definedName name="机40041b" localSheetId="8">[161]附表4直接工程费单价表!#REF!</definedName>
    <definedName name="机40056" localSheetId="8">[153]附表4单价!#REF!</definedName>
    <definedName name="机40058" localSheetId="8">[154]附表5直接工程费单价表!#REF!</definedName>
    <definedName name="机40058A" localSheetId="8">[154]附表5直接工程费单价表!#REF!</definedName>
    <definedName name="机40061" localSheetId="8">[154]附表5直接工程费单价表!#REF!</definedName>
    <definedName name="机40062" localSheetId="8">[154]附表5直接工程费单价表!#REF!</definedName>
    <definedName name="机40063" localSheetId="8">[161]附表4直接工程费单价表!#REF!</definedName>
    <definedName name="机40064" localSheetId="8">[161]附表4直接工程费单价表!#REF!</definedName>
    <definedName name="机40067" localSheetId="8">[154]附表5直接工程费单价表!#REF!</definedName>
    <definedName name="机40067A" localSheetId="8">[154]附表5直接工程费单价表!#REF!</definedName>
    <definedName name="机40068" localSheetId="8">[154]附表5直接工程费单价表!#REF!</definedName>
    <definedName name="机40069" localSheetId="8">[154]附表5直接工程费单价表!#REF!</definedName>
    <definedName name="机40070" localSheetId="8">[154]附表5直接工程费单价表!#REF!</definedName>
    <definedName name="机40072" localSheetId="8">[154]附表5直接工程费单价表!#REF!</definedName>
    <definedName name="机40073" localSheetId="8">[161]附表4直接工程费单价表!#REF!</definedName>
    <definedName name="机40074" localSheetId="8">[154]附表5直接工程费单价表!#REF!</definedName>
    <definedName name="机40075" localSheetId="8">[154]附表5直接工程费单价表!#REF!</definedName>
    <definedName name="机40076" localSheetId="8">[154]附表5直接工程费单价表!#REF!</definedName>
    <definedName name="机4007620" localSheetId="8">[161]附表4直接工程费单价表!#REF!</definedName>
    <definedName name="机40077" localSheetId="8">[161]附表4直接工程费单价表!#REF!</definedName>
    <definedName name="机40079" localSheetId="8">[154]附表5直接工程费单价表!#REF!</definedName>
    <definedName name="机40090" localSheetId="8">[154]附表5直接工程费单价表!#REF!</definedName>
    <definedName name="机40096" localSheetId="8">[154]附表5直接工程费单价表!#REF!</definedName>
    <definedName name="机40101" localSheetId="8">[154]附表5直接工程费单价表!#REF!</definedName>
    <definedName name="机40101A" localSheetId="8">[154]附表5直接工程费单价表!#REF!</definedName>
    <definedName name="机40101B" localSheetId="8">[154]附表5直接工程费单价表!#REF!</definedName>
    <definedName name="机40109" localSheetId="8">[154]附表5直接工程费单价表!#REF!</definedName>
    <definedName name="机40110" localSheetId="8">[154]附表5直接工程费单价表!#REF!</definedName>
    <definedName name="机40111" localSheetId="8">[154]附表5直接工程费单价表!#REF!</definedName>
    <definedName name="机40112" localSheetId="8">[154]附表5直接工程费单价表!#REF!</definedName>
    <definedName name="机40113" localSheetId="8">[154]附表5直接工程费单价表!#REF!</definedName>
    <definedName name="机40114" localSheetId="8">[154]附表5直接工程费单价表!#REF!</definedName>
    <definedName name="机40115" localSheetId="8">[154]附表5直接工程费单价表!#REF!</definedName>
    <definedName name="机40116" localSheetId="8">0</definedName>
    <definedName name="机40120" localSheetId="8">[154]附表5直接工程费单价表!#REF!</definedName>
    <definedName name="机40124" localSheetId="8">[154]附表5直接工程费单价表!#REF!</definedName>
    <definedName name="机40125" localSheetId="8">[154]附表5直接工程费单价表!#REF!</definedName>
    <definedName name="机40133" localSheetId="8">[161]附表4直接工程费单价表!#REF!</definedName>
    <definedName name="机40134" localSheetId="8">[154]附表5直接工程费单价表!#REF!</definedName>
    <definedName name="机40143" localSheetId="8">[154]附表5直接工程费单价表!#REF!</definedName>
    <definedName name="机40192" localSheetId="8">[161]附表4直接工程费单价表!#REF!</definedName>
    <definedName name="机40203" localSheetId="8">[161]附表4直接工程费单价表!#REF!</definedName>
    <definedName name="机40214苯" localSheetId="8">[161]附表4直接工程费单价表!#REF!</definedName>
    <definedName name="机40224" localSheetId="8">[154]附表5直接工程费单价表!#REF!</definedName>
    <definedName name="机40260" localSheetId="8">[154]附表5直接工程费单价表!#REF!</definedName>
    <definedName name="机40286" localSheetId="8">[154]附表5直接工程费单价表!#REF!</definedName>
    <definedName name="机40287" localSheetId="8">[154]附表5直接工程费单价表!#REF!</definedName>
    <definedName name="机40288" localSheetId="8">[154]附表5直接工程费单价表!#REF!</definedName>
    <definedName name="机40289" localSheetId="8">[154]附表5直接工程费单价表!#REF!</definedName>
    <definedName name="机40289A" localSheetId="8">[154]附表5直接工程费单价表!#REF!</definedName>
    <definedName name="机40306" localSheetId="8">[154]附表5直接工程费单价表!#REF!</definedName>
    <definedName name="机40306A" localSheetId="8">[154]附表5直接工程费单价表!#REF!</definedName>
    <definedName name="机40306B" localSheetId="8">[154]附表5直接工程费单价表!#REF!</definedName>
    <definedName name="机50003" localSheetId="8">[154]附表5直接工程费单价表!#REF!</definedName>
    <definedName name="机50004" localSheetId="8">[154]附表5直接工程费单价表!#REF!</definedName>
    <definedName name="机50005" localSheetId="8">[154]附表5直接工程费单价表!#REF!</definedName>
    <definedName name="机50006" localSheetId="8">[154]附表5直接工程费单价表!#REF!</definedName>
    <definedName name="机50014" localSheetId="8">[172]附表4工程费单价表!#REF!</definedName>
    <definedName name="机50045" localSheetId="8">[154]附表5直接工程费单价表!#REF!</definedName>
    <definedName name="机50046" localSheetId="8">[154]附表5直接工程费单价表!#REF!</definedName>
    <definedName name="机50049" localSheetId="8">[154]附表5直接工程费单价表!#REF!</definedName>
    <definedName name="机50050" localSheetId="8">[154]附表5直接工程费单价表!#REF!</definedName>
    <definedName name="机50113" localSheetId="8">[172]附表4工程费单价表!#REF!</definedName>
    <definedName name="机70007" localSheetId="8">[161]附表4直接工程费单价表!#REF!</definedName>
    <definedName name="机70013" localSheetId="8">[161]附表4直接工程费单价表!#REF!</definedName>
    <definedName name="机70014" localSheetId="8">[161]附表4直接工程费单价表!#REF!</definedName>
    <definedName name="机70070" localSheetId="8">[161]附表4直接工程费单价表!#REF!</definedName>
    <definedName name="机70105" localSheetId="8">[161]附表4直接工程费单价表!#REF!</definedName>
    <definedName name="机70106" localSheetId="8">[161]附表4直接工程费单价表!#REF!</definedName>
    <definedName name="机70125" localSheetId="8">[161]附表4直接工程费单价表!#REF!</definedName>
    <definedName name="机70194" localSheetId="8">[154]附表5直接工程费单价表!#REF!</definedName>
    <definedName name="机70195" localSheetId="8">[154]附表5直接工程费单价表!#REF!</definedName>
    <definedName name="机70196" localSheetId="8">[154]附表5直接工程费单价表!#REF!</definedName>
    <definedName name="机80015" localSheetId="8">[161]附表4直接工程费单价表!#REF!</definedName>
    <definedName name="机80015加800162" localSheetId="8">[161]附表4直接工程费单价表!#REF!</definedName>
    <definedName name="机80015减80016" localSheetId="8">[161]附表4直接工程费单价表!#REF!</definedName>
    <definedName name="机80023加8002410" localSheetId="8">[161]附表4直接工程费单价表!#REF!</definedName>
    <definedName name="机80033" localSheetId="8">[161]附表4直接工程费单价表!#REF!</definedName>
    <definedName name="机80034" localSheetId="8">[161]附表4直接工程费单价表!#REF!</definedName>
    <definedName name="机90014" localSheetId="8">[154]附表5直接工程费单价表!#REF!</definedName>
    <definedName name="机90017" localSheetId="8">[154]附表5直接工程费单价表!#REF!</definedName>
    <definedName name="机90017A" localSheetId="8">[154]附表5直接工程费单价表!#REF!</definedName>
    <definedName name="机90085" localSheetId="8">[154]附表5直接工程费单价表!#REF!</definedName>
    <definedName name="机90086" localSheetId="8">[154]附表5直接工程费单价表!#REF!</definedName>
    <definedName name="机90087" localSheetId="8">[154]附表5直接工程费单价表!#REF!</definedName>
    <definedName name="机90087A" localSheetId="8">[154]附表5直接工程费单价表!#REF!</definedName>
    <definedName name="机90136" localSheetId="8">[154]附表5直接工程费单价表!#REF!</definedName>
    <definedName name="机90147" localSheetId="8">[154]附表5直接工程费单价表!#REF!</definedName>
    <definedName name="机补2" localSheetId="8">[154]附表5直接工程费单价表!#REF!</definedName>
    <definedName name="机补3" localSheetId="8">[154]附表5直接工程费单价表!#REF!</definedName>
    <definedName name="机电安装111" localSheetId="8">#REF!</definedName>
    <definedName name="机动翻斗车1t" localSheetId="8">[154]附表3机械台班!#REF!</definedName>
    <definedName name="机建11_25换" localSheetId="8">[154]附表5直接工程费单价表!#REF!</definedName>
    <definedName name="机建4_10换" localSheetId="8">[154]附表5直接工程费单价表!#REF!</definedName>
    <definedName name="机井" localSheetId="8">#REF!</definedName>
    <definedName name="机械库" localSheetId="8">#REF!</definedName>
    <definedName name="机械库1" localSheetId="8">#REF!</definedName>
    <definedName name="机械调差系数" localSheetId="8">#REF!</definedName>
    <definedName name="机油" localSheetId="8">[161]附表2材料价格计算表!#REF!</definedName>
    <definedName name="基本电价" localSheetId="8">[161]附表2材料价格计算表!#REF!</definedName>
    <definedName name="技工" localSheetId="8">[182]人工工资!$E$19</definedName>
    <definedName name="甲苯" localSheetId="8">[154]附表2材料价格表!#REF!</definedName>
    <definedName name="甲类工" localSheetId="8">[184]人工!$D$19</definedName>
    <definedName name="价_元" localSheetId="8">'[62]#REF'!$F$2</definedName>
    <definedName name="间接安装" localSheetId="8">[182]基础参数值!$I$23</definedName>
    <definedName name="间接钢筋" localSheetId="8">[182]基础参数值!$I$19</definedName>
    <definedName name="间接其它" localSheetId="8">[182]基础参数值!$I$22</definedName>
    <definedName name="间接砌石" localSheetId="8">[182]基础参数值!$I$17</definedName>
    <definedName name="间接砼" localSheetId="8">[182]基础参数值!$I$18</definedName>
    <definedName name="间接土方" localSheetId="8">[182]基础参数值!$I$15</definedName>
    <definedName name="间接钻孔" localSheetId="8">[182]基础参数值!$I$20</definedName>
    <definedName name="简易缆索机40t" localSheetId="8">[154]附表3机械台班!#REF!</definedName>
    <definedName name="碱粉" localSheetId="8">[154]附表2材料价格表!#REF!</definedName>
    <definedName name="交流电焊机30" localSheetId="8">#REF!</definedName>
    <definedName name="胶φ76" localSheetId="8">[154]附表2材料价格表!#REF!</definedName>
    <definedName name="胶轮车" localSheetId="8">[154]附表3机械台班!#REF!</definedName>
    <definedName name="胶轮架子车" localSheetId="8">#REF!</definedName>
    <definedName name="胶圈φ110" localSheetId="8">[154]附表2材料价格表!#REF!</definedName>
    <definedName name="胶圈φ125" localSheetId="8">[154]附表2材料价格表!#REF!</definedName>
    <definedName name="胶圈φ160" localSheetId="8">[154]附表2材料价格表!#REF!</definedName>
    <definedName name="胶圈φ200" localSheetId="8">[154]附表2材料价格表!#REF!</definedName>
    <definedName name="胶圈φ225" localSheetId="8">[154]附表2材料价格表!#REF!</definedName>
    <definedName name="胶圈φ250" localSheetId="8">[154]附表2材料价格表!#REF!</definedName>
    <definedName name="胶圈φ315" localSheetId="8">[154]附表2材料价格表!#REF!</definedName>
    <definedName name="胶圈φ355" localSheetId="8">[154]附表2材料价格表!#REF!</definedName>
    <definedName name="胶圈φ400" localSheetId="8">[154]附表2材料价格表!#REF!</definedName>
    <definedName name="胶圈φ76" localSheetId="8">[154]附表2材料价格表!#REF!</definedName>
    <definedName name="胶圈φ90" localSheetId="8">[154]附表2材料价格表!#REF!</definedName>
    <definedName name="焦油膏" localSheetId="8">[80]材价汇!$D$51</definedName>
    <definedName name="搅拌机0.25m3" localSheetId="8">[154]附表3机械台班!#REF!</definedName>
    <definedName name="搅拌机0.4m3" localSheetId="8">[154]附表3机械台班!#REF!</definedName>
    <definedName name="搅拌机出料0.4m3" localSheetId="8">[174]附表3机械!$K$54</definedName>
    <definedName name="接头" localSheetId="8">[161]附表2材料价格计算表!#REF!</definedName>
    <definedName name="截阀开关φ90×76" localSheetId="8">[154]附表2材料价格表!#REF!</definedName>
    <definedName name="截止阀开关φ90×76" localSheetId="8">[154]附表2材料价格表!#REF!</definedName>
    <definedName name="精制六角带帽螺栓M161460" localSheetId="8">[161]附表2材料价格计算表!#REF!</definedName>
    <definedName name="精致六角带帽螺栓M101470" localSheetId="8">[161]附表2材料价格计算表!#REF!</definedName>
    <definedName name="锯材" localSheetId="8">[154]附表2材料价格表!#REF!</definedName>
    <definedName name="聚氨酯" localSheetId="8">[161]附表2材料价格计算表!#REF!</definedName>
    <definedName name="聚乙烯胶泥" localSheetId="8">[161]附表2材料价格计算表!#REF!</definedName>
    <definedName name="卷板机" localSheetId="8">#REF!</definedName>
    <definedName name="卷扬机3t" localSheetId="8">[154]附表3机械台班!#REF!</definedName>
    <definedName name="卷扬机5t" localSheetId="8">#REF!</definedName>
    <definedName name="竣工验收费" localSheetId="8">#REF!</definedName>
    <definedName name="竣工验收费南" localSheetId="8">'[170]表5-3竣工验收费南 '!$E$9</definedName>
    <definedName name="卡扣" localSheetId="8">[174]附表2材料!$D$29</definedName>
    <definedName name="卡扣件" localSheetId="8">#REF!</definedName>
    <definedName name="卡子φ110" localSheetId="8">[154]附表2材料价格表!#REF!</definedName>
    <definedName name="卡子φ125" localSheetId="8">[154]附表2材料价格表!#REF!</definedName>
    <definedName name="卡子φ160" localSheetId="8">[154]附表2材料价格表!#REF!</definedName>
    <definedName name="卡子φ200" localSheetId="8">[154]附表2材料价格表!#REF!</definedName>
    <definedName name="卡子φ225" localSheetId="8">[154]附表2材料价格表!#REF!</definedName>
    <definedName name="卡子φ250" localSheetId="8">[154]附表2材料价格表!#REF!</definedName>
    <definedName name="卡子φ315" localSheetId="8">[154]附表2材料价格表!#REF!</definedName>
    <definedName name="卡子φ355" localSheetId="8">[154]附表2材料价格表!#REF!</definedName>
    <definedName name="卡子φ400" localSheetId="8">[154]附表2材料价格表!#REF!</definedName>
    <definedName name="卡子φ500" localSheetId="8">[154]附表2材料价格表!#REF!</definedName>
    <definedName name="卡子φ90" localSheetId="8">[154]附表2材料价格表!#REF!</definedName>
    <definedName name="空气阀φ120" localSheetId="8">[154]附表2材料价格表!#REF!</definedName>
    <definedName name="空气阀φ140" localSheetId="8">[154]附表2材料价格表!#REF!</definedName>
    <definedName name="空气阀φ160" localSheetId="8">[154]附表2材料价格表!#REF!</definedName>
    <definedName name="空心钢" localSheetId="8">#REF!</definedName>
    <definedName name="控制价" localSheetId="8">#REF!</definedName>
    <definedName name="块石" localSheetId="8">#REF!</definedName>
    <definedName name="扩大估算" localSheetId="8">[182]基础参数值!$F$5</definedName>
    <definedName name="拉模" localSheetId="8">#REF!</definedName>
    <definedName name="拉线板_60_12" localSheetId="8">[154]附表2材料价格表!#REF!</definedName>
    <definedName name="拉线棒￠16_2500" localSheetId="8">[154]附表2材料价格表!#REF!</definedName>
    <definedName name="拉线盘_LP_6_混凝土" localSheetId="8">[154]附表2材料价格表!#REF!</definedName>
    <definedName name="拉线盘_LP_6混凝土" localSheetId="8">[154]附表2材料价格表!#REF!</definedName>
    <definedName name="拉线盘_LP_8混凝土" localSheetId="8">[154]附表2材料价格表!#REF!</definedName>
    <definedName name="拉线盘0.3_0.6" localSheetId="8">[154]附表2材料价格表!#REF!</definedName>
    <definedName name="拉线盘LP_6混凝土" localSheetId="8">[154]附表2材料价格表!#REF!</definedName>
    <definedName name="拉线盘LP_8混凝土" localSheetId="8">[154]附表2材料价格表!#REF!</definedName>
    <definedName name="雷管" localSheetId="8">#REF!</definedName>
    <definedName name="离心式水泵7kw" localSheetId="8">#REF!</definedName>
    <definedName name="离心水泵17kw" localSheetId="8">#REF!</definedName>
    <definedName name="离心水泵55kw" localSheetId="8">#REF!</definedName>
    <definedName name="立" localSheetId="8">[169]定额!#REF!</definedName>
    <definedName name="立管φ33×1000" localSheetId="8">[154]附表2材料价格表!#REF!</definedName>
    <definedName name="立支柱" localSheetId="8">[168]定额!#REF!</definedName>
    <definedName name="立支柱1" localSheetId="8">[168]定额!#REF!</definedName>
    <definedName name="利润" localSheetId="8">[184]税率!$B$24</definedName>
    <definedName name="沥青" localSheetId="8">#REF!</definedName>
    <definedName name="砾料" localSheetId="8">[154]附表2材料价格表!#REF!</definedName>
    <definedName name="砾石" localSheetId="8">[154]附表2材料价格表!#REF!</definedName>
    <definedName name="砾石30mm" localSheetId="8">[154]附表2材料价格表!#REF!</definedName>
    <definedName name="砾石40mm" localSheetId="8">[154]附表2材料价格表!#REF!</definedName>
    <definedName name="砾石50mm" localSheetId="8">[154]附表2材料价格表!#REF!</definedName>
    <definedName name="联板LV_1214" localSheetId="8">[154]附表2材料价格表!#REF!</definedName>
    <definedName name="林施工费" localSheetId="8">'[170]表3工程施工费南 '!$H$511</definedName>
    <definedName name="零星卡具" localSheetId="8">[154]附表2材料价格表!#REF!</definedName>
    <definedName name="柳树" localSheetId="8">[161]附表2材料价格计算表!#REF!</definedName>
    <definedName name="六排沟涵洞_含56米渠道" localSheetId="8">#REF!</definedName>
    <definedName name="龙门式起重机10" localSheetId="8">#REF!</definedName>
    <definedName name="路措施费南" localSheetId="8">#REF!</definedName>
    <definedName name="路间接费南" localSheetId="8">#REF!</definedName>
    <definedName name="路施工费" localSheetId="8">'[170]表3工程施工费南 '!$H$483</definedName>
    <definedName name="卵石" localSheetId="8">[154]附表2材料价格表!#REF!</definedName>
    <definedName name="轮胎起重机16t" localSheetId="8">#REF!</definedName>
    <definedName name="螺杆" localSheetId="8">[154]附表2材料价格表!#REF!</definedName>
    <definedName name="螺杆16_60" localSheetId="8">[154]附表2材料价格表!#REF!</definedName>
    <definedName name="螺杆卡子" localSheetId="8">[154]附表2材料价格表!#REF!</definedName>
    <definedName name="螺杆卡子5_30" localSheetId="8">[154]附表2材料价格表!#REF!</definedName>
    <definedName name="螺栓" localSheetId="8">[154]附表2材料价格表!#REF!</definedName>
    <definedName name="螺栓、铁件" localSheetId="8">[154]附表2材料价格表!#REF!</definedName>
    <definedName name="螺栓φ18×80" localSheetId="8">[154]附表2材料价格表!#REF!</definedName>
    <definedName name="螺栓φ20×80" localSheetId="8">[154]附表2材料价格表!#REF!</definedName>
    <definedName name="螺丝￠16_300" localSheetId="8">[154]附表2材料价格表!#REF!</definedName>
    <definedName name="螺丝￠16_80" localSheetId="8">[154]附表2材料价格表!#REF!</definedName>
    <definedName name="螺丝￠18_300" localSheetId="8">[154]附表2材料价格表!#REF!</definedName>
    <definedName name="螺丝￠18_80" localSheetId="8">[154]附表2材料价格表!#REF!</definedName>
    <definedName name="铝包带" localSheetId="8">[154]附表2材料价格表!#REF!</definedName>
    <definedName name="铝包带10" localSheetId="8">[154]附表2材料价格表!#REF!</definedName>
    <definedName name="铝三通φ76×1.2×6000" localSheetId="8">[154]附表2材料价格表!#REF!</definedName>
    <definedName name="铝三通φ76×1.2×9000" localSheetId="8">[154]附表2材料价格表!#REF!</definedName>
    <definedName name="铝直管φ76×1.2×6000" localSheetId="8">[154]附表2材料价格表!#REF!</definedName>
    <definedName name="履带起重机10t" localSheetId="8">#REF!</definedName>
    <definedName name="履带起重机油动15t" localSheetId="8">[178]附表3机械台班计算表!$K$48</definedName>
    <definedName name="滤料" localSheetId="8">[154]附表2材料价格表!#REF!</definedName>
    <definedName name="滤网" localSheetId="8">[154]附表2材料价格表!#REF!</definedName>
    <definedName name="滤油纸" localSheetId="8">[161]附表2材料价格计算表!#REF!</definedName>
    <definedName name="麻刀" localSheetId="8">[161]附表2材料价格计算表!#REF!</definedName>
    <definedName name="麻絮" localSheetId="8">[154]附表2材料价格表!#REF!</definedName>
    <definedName name="毛石" localSheetId="8">[154]附表2材料价格表!#REF!</definedName>
    <definedName name="煤沥青" localSheetId="8">[161]附表2材料价格计算表!#REF!</definedName>
    <definedName name="煤油" localSheetId="8">[161]附表2材料价格计算表!#REF!</definedName>
    <definedName name="门窗用木材" localSheetId="8">[154]附表2材料价格表!#REF!</definedName>
    <definedName name="门式起重机10t" localSheetId="8">[154]附表3机械台班!#REF!</definedName>
    <definedName name="门式起重机25" localSheetId="8">#REF!</definedName>
    <definedName name="门座式起重机高架" localSheetId="8">#REF!</definedName>
    <definedName name="棉纱头" localSheetId="8">[154]附表2材料价格表!#REF!</definedName>
    <definedName name="名称及规格" localSheetId="8">'[62]#REF'!$B$2</definedName>
    <definedName name="模板用木材" localSheetId="8">[154]附表2材料价格表!#REF!</definedName>
    <definedName name="木材" localSheetId="8">[154]附表2材料价格表!#REF!</definedName>
    <definedName name="木柴" localSheetId="8">[154]附表2材料价格表!#REF!</definedName>
    <definedName name="木结构木材" localSheetId="8">[154]附表2材料价格表!#REF!</definedName>
    <definedName name="耐张线夹_NLD_2" localSheetId="8">[154]附表2材料价格表!#REF!</definedName>
    <definedName name="耐张线夹NLD_1" localSheetId="8">[154]附表2材料价格表!#REF!</definedName>
    <definedName name="耐张线夹NLD_2" localSheetId="8">[154]附表2材料价格表!#REF!</definedName>
    <definedName name="耐张线夹NLD2" localSheetId="8">[161]附表2材料价格计算表!#REF!</definedName>
    <definedName name="内燃压路机12_15t" localSheetId="8">[154]附表3机械台班!#REF!</definedName>
    <definedName name="内燃压路机重量68t" localSheetId="8">[80]机械汇总!$K$24</definedName>
    <definedName name="泥浆泵3PN" localSheetId="8">[154]附表3机械台班!#REF!</definedName>
    <definedName name="泥浆搅拌机" localSheetId="8">[154]附表3机械台班!#REF!</definedName>
    <definedName name="拟好" localSheetId="8">#REF!</definedName>
    <definedName name="逆止阀" localSheetId="8">[154]附表2材料价格表!#REF!</definedName>
    <definedName name="逆止阀200" localSheetId="8">[153]附表2!#REF!</definedName>
    <definedName name="宁水8028" localSheetId="8">[153]附表4单价!#REF!</definedName>
    <definedName name="宁水8029" localSheetId="8">[153]附表4单价!#REF!</definedName>
    <definedName name="宁水8029a" localSheetId="8">[153]附表4单价!#REF!</definedName>
    <definedName name="宁水8031" localSheetId="8">[153]附表4单价!#REF!</definedName>
    <definedName name="宁水8032" localSheetId="8">[153]附表4单价!#REF!</definedName>
    <definedName name="宁水8033" localSheetId="8">[153]附表4单价!#REF!</definedName>
    <definedName name="宁水8034" localSheetId="8">[153]附表4单价!#REF!</definedName>
    <definedName name="农田防护林" localSheetId="8">#REF!</definedName>
    <definedName name="农田水利" localSheetId="8">[175]表3工程施工费表!$I$9</definedName>
    <definedName name="噢噢噢噢" localSheetId="8">[154]附表5直接工程费单价表!#REF!</definedName>
    <definedName name="排气阀" localSheetId="8">[154]附表2材料价格表!#REF!</definedName>
    <definedName name="刨毛机" localSheetId="8">[154]附表3机械台班!#REF!</definedName>
    <definedName name="配电柜" localSheetId="8">[154]附表2材料价格表!#REF!</definedName>
    <definedName name="喷头6.5_3.1" localSheetId="8">[154]附表2材料价格表!#REF!</definedName>
    <definedName name="平板挂车40t" localSheetId="8">#REF!</definedName>
    <definedName name="平板式振动器2.2kw" localSheetId="8">[154]附表3机械台班!#REF!</definedName>
    <definedName name="平胶垫" localSheetId="8">[154]附表2材料价格表!#REF!</definedName>
    <definedName name="平胶垫90_3" localSheetId="8">[154]附表2材料价格表!#REF!</definedName>
    <definedName name="平胶垫φ200" localSheetId="8">[154]附表2材料价格表!#REF!</definedName>
    <definedName name="平胶垫φ225" localSheetId="8">[154]附表2材料价格表!#REF!</definedName>
    <definedName name="平胶垫φ250" localSheetId="8">[154]附表2材料价格表!#REF!</definedName>
    <definedName name="平胶垫φ315" localSheetId="8">[154]附表2材料价格表!#REF!</definedName>
    <definedName name="平胶垫φ355" localSheetId="8">[154]附表2材料价格表!#REF!</definedName>
    <definedName name="平胶垫φ400" localSheetId="8">[154]附表2材料价格表!#REF!</definedName>
    <definedName name="普工" localSheetId="8">[182]人工工资!$F$19</definedName>
    <definedName name="其他费用" localSheetId="8">#REF!</definedName>
    <definedName name="其他费用南" localSheetId="8">'[170]表5其他费用南 '!$C$9</definedName>
    <definedName name="其他工程" localSheetId="8">[154]表3工程施工费表!#REF!</definedName>
    <definedName name="其它安装" localSheetId="8">[182]基础参数值!$C$23</definedName>
    <definedName name="其它钢筋" localSheetId="8">[182]基础参数值!$C$19</definedName>
    <definedName name="其它工程" localSheetId="8">[154]表3工程施工费表!#REF!</definedName>
    <definedName name="其它其它" localSheetId="8">[182]基础参数值!$C$22</definedName>
    <definedName name="其它砌石" localSheetId="8">[182]基础参数值!$C$17</definedName>
    <definedName name="其它砼" localSheetId="8">[182]基础参数值!$C$18</definedName>
    <definedName name="其它土" localSheetId="8">[182]基础参数值!$C$15</definedName>
    <definedName name="其它钻孔" localSheetId="8">[182]基础参数值!$C$20</definedName>
    <definedName name="企业安装" localSheetId="8">[182]基础参数值!$L$23</definedName>
    <definedName name="企业钢筋" localSheetId="8">[182]基础参数值!$L$19</definedName>
    <definedName name="企业其它" localSheetId="8">[182]基础参数值!$L$22</definedName>
    <definedName name="企业砌石" localSheetId="8">[182]基础参数值!$L$17</definedName>
    <definedName name="企业砼" localSheetId="8">[182]基础参数值!$L$18</definedName>
    <definedName name="企业土方" localSheetId="8">[182]基础参数值!$L$15</definedName>
    <definedName name="企业钻孔" localSheetId="8">[182]基础参数值!$L$20</definedName>
    <definedName name="起重设备调差系数" localSheetId="8">#REF!</definedName>
    <definedName name="汽车起重机25t" localSheetId="8">[154]附表3机械台班!#REF!</definedName>
    <definedName name="汽车起重机5t" localSheetId="8">#REF!</definedName>
    <definedName name="汽车起重机5吨" localSheetId="8">[80]机械汇总!$K$84</definedName>
    <definedName name="汽车起重机8t" localSheetId="8">#REF!</definedName>
    <definedName name="汽车拖头40t" localSheetId="8">#REF!</definedName>
    <definedName name="汽油" localSheetId="8">#REF!</definedName>
    <definedName name="铅油" localSheetId="8">[161]附表2材料价格计算表!#REF!</definedName>
    <definedName name="前期工作费" localSheetId="8">#REF!</definedName>
    <definedName name="前期工作费南" localSheetId="8">'[170]表5-1前期工作费南'!$E$11</definedName>
    <definedName name="桥式起重机10t" localSheetId="8">#REF!</definedName>
    <definedName name="请问请问" localSheetId="8">#REF!</definedName>
    <definedName name="球阀50" localSheetId="8">[153]附表2!#REF!</definedName>
    <definedName name="球阀75" localSheetId="8">[153]附表2!#REF!</definedName>
    <definedName name="球头挂环QP_7" localSheetId="8">[154]附表2材料价格表!#REF!</definedName>
    <definedName name="人1_23_1" localSheetId="8">[154]附表5直接工程费单价表!#REF!</definedName>
    <definedName name="人10001" localSheetId="8">[154]附表5直接工程费单价表!#REF!</definedName>
    <definedName name="人100017" localSheetId="8">[161]附表4直接工程费单价表!#REF!</definedName>
    <definedName name="人10002" localSheetId="8">[154]附表5直接工程费单价表!#REF!</definedName>
    <definedName name="人100023" localSheetId="8">[161]附表4直接工程费单价表!#REF!</definedName>
    <definedName name="人10003" localSheetId="8">[154]附表5直接工程费单价表!#REF!</definedName>
    <definedName name="人100049" localSheetId="8">[161]附表4直接工程费单价表!#REF!</definedName>
    <definedName name="人10008" localSheetId="8">[154]附表5直接工程费单价表!#REF!</definedName>
    <definedName name="人10017" localSheetId="8">[161]附表4直接工程费单价表!#REF!</definedName>
    <definedName name="人10019" localSheetId="8">[154]附表5直接工程费单价表!#REF!</definedName>
    <definedName name="人10020" localSheetId="8">[154]附表5直接工程费单价表!#REF!</definedName>
    <definedName name="人10021" localSheetId="8">[154]附表5直接工程费单价表!#REF!</definedName>
    <definedName name="人10041" localSheetId="8">[161]附表4直接工程费单价表!#REF!</definedName>
    <definedName name="人10043" localSheetId="8">[161]附表4直接工程费单价表!#REF!</definedName>
    <definedName name="人10045" localSheetId="8">[154]附表5直接工程费单价表!#REF!</definedName>
    <definedName name="人10047" localSheetId="8">[154]附表5直接工程费单价表!#REF!</definedName>
    <definedName name="人10049" localSheetId="8">[154]附表5直接工程费单价表!#REF!</definedName>
    <definedName name="人10052" localSheetId="8">[154]附表5直接工程费单价表!#REF!</definedName>
    <definedName name="人10054" localSheetId="8">[154]附表5直接工程费单价表!#REF!</definedName>
    <definedName name="人10056" localSheetId="8">[154]附表5直接工程费单价表!#REF!</definedName>
    <definedName name="人10066" localSheetId="8">[154]附表5直接工程费单价表!#REF!</definedName>
    <definedName name="人10071" localSheetId="8">[154]附表5直接工程费单价表!#REF!</definedName>
    <definedName name="人10075" localSheetId="8">[154]附表5直接工程费单价表!#REF!</definedName>
    <definedName name="人10090" localSheetId="8">[154]附表5直接工程费单价表!#REF!</definedName>
    <definedName name="人10095" localSheetId="8">[154]附表5直接工程费单价表!#REF!</definedName>
    <definedName name="人10114" localSheetId="8">[154]附表5直接工程费单价表!#REF!</definedName>
    <definedName name="人10116" localSheetId="8">[154]附表5直接工程费单价表!#REF!</definedName>
    <definedName name="人10118" localSheetId="8">[154]附表5直接工程费单价表!#REF!</definedName>
    <definedName name="人10204" localSheetId="8">[154]附表5直接工程费单价表!#REF!</definedName>
    <definedName name="人10269" localSheetId="8">[154]附表5直接工程费单价表!#REF!</definedName>
    <definedName name="人10270" localSheetId="8">[154]附表5直接工程费单价表!#REF!</definedName>
    <definedName name="人10271" localSheetId="8">[154]附表5直接工程费单价表!#REF!</definedName>
    <definedName name="人10272" localSheetId="8">[154]附表5直接工程费单价表!#REF!</definedName>
    <definedName name="人10273" localSheetId="8">[154]附表5直接工程费单价表!#REF!</definedName>
    <definedName name="人10275" localSheetId="8">[154]附表5直接工程费单价表!#REF!</definedName>
    <definedName name="人10277" localSheetId="8">[154]附表5直接工程费单价表!#REF!</definedName>
    <definedName name="人10278" localSheetId="8">[154]附表5直接工程费单价表!#REF!</definedName>
    <definedName name="人10279" localSheetId="8">[154]附表5直接工程费单价表!#REF!</definedName>
    <definedName name="人10279A" localSheetId="8">[154]附表5直接工程费单价表!#REF!</definedName>
    <definedName name="人10280" localSheetId="8">[154]附表5直接工程费单价表!#REF!</definedName>
    <definedName name="人10280A" localSheetId="8">[154]附表5直接工程费单价表!#REF!</definedName>
    <definedName name="人10281" localSheetId="8">[154]附表5直接工程费单价表!#REF!</definedName>
    <definedName name="人10281A" localSheetId="8">[154]附表5直接工程费单价表!#REF!</definedName>
    <definedName name="人10282" localSheetId="8">[154]附表5直接工程费单价表!#REF!</definedName>
    <definedName name="人10282A" localSheetId="8">[154]附表5直接工程费单价表!#REF!</definedName>
    <definedName name="人10283" localSheetId="8">[154]附表5直接工程费单价表!#REF!</definedName>
    <definedName name="人10283A" localSheetId="8">[154]附表5直接工程费单价表!#REF!</definedName>
    <definedName name="人10306" localSheetId="8">[161]附表4直接工程费单价表!#REF!</definedName>
    <definedName name="人10309" localSheetId="8">[154]附表5直接工程费单价表!#REF!</definedName>
    <definedName name="人10310" localSheetId="8">[154]附表5直接工程费单价表!#REF!</definedName>
    <definedName name="人10311" localSheetId="8">[154]附表5直接工程费单价表!#REF!</definedName>
    <definedName name="人10332" localSheetId="8">[161]附表4直接工程费单价表!#REF!</definedName>
    <definedName name="人10333" localSheetId="8">[161]附表4直接工程费单价表!#REF!</definedName>
    <definedName name="人10339" localSheetId="8">[154]附表5直接工程费单价表!#REF!</definedName>
    <definedName name="人10344" localSheetId="8">[161]附表4直接工程费单价表!#REF!</definedName>
    <definedName name="人10345" localSheetId="8">[161]附表4直接工程费单价表!#REF!</definedName>
    <definedName name="人10360" localSheetId="8">[154]附表5直接工程费单价表!#REF!</definedName>
    <definedName name="人10361" localSheetId="8">[154]附表5直接工程费单价表!#REF!</definedName>
    <definedName name="人10365" localSheetId="8">[154]附表5直接工程费单价表!#REF!</definedName>
    <definedName name="人10366" localSheetId="8">[154]附表5直接工程费单价表!#REF!</definedName>
    <definedName name="人10367" localSheetId="8">[154]附表5直接工程费单价表!#REF!</definedName>
    <definedName name="人10464" localSheetId="8">[154]附表5直接工程费单价表!#REF!</definedName>
    <definedName name="人10465" localSheetId="8">[154]附表5直接工程费单价表!#REF!</definedName>
    <definedName name="人10469" localSheetId="8">[154]附表5直接工程费单价表!#REF!</definedName>
    <definedName name="人10469A" localSheetId="8">[154]附表5直接工程费单价表!#REF!</definedName>
    <definedName name="人10473" localSheetId="8">[154]附表5直接工程费单价表!#REF!</definedName>
    <definedName name="人10474" localSheetId="8">[154]附表5直接工程费单价表!#REF!</definedName>
    <definedName name="人12001" localSheetId="8">[154]附表5直接工程费单价表!#REF!</definedName>
    <definedName name="人12074" localSheetId="8">[154]附表5直接工程费单价表!#REF!</definedName>
    <definedName name="人12075" localSheetId="8">[154]附表5直接工程费单价表!#REF!</definedName>
    <definedName name="人2_19_3" localSheetId="8">[154]附表5直接工程费单价表!#REF!</definedName>
    <definedName name="人2_19_4" localSheetId="8">[154]附表5直接工程费单价表!#REF!</definedName>
    <definedName name="人20484" localSheetId="8">[154]附表5直接工程费单价表!#REF!</definedName>
    <definedName name="人20485" localSheetId="8">[154]附表5直接工程费单价表!#REF!</definedName>
    <definedName name="人20488" localSheetId="8">[154]附表5直接工程费单价表!#REF!</definedName>
    <definedName name="人30001" localSheetId="8">[154]附表5直接工程费单价表!#REF!</definedName>
    <definedName name="人30002" localSheetId="8">[154]附表5直接工程费单价表!#REF!</definedName>
    <definedName name="人30016" localSheetId="8">[154]附表5直接工程费单价表!#REF!</definedName>
    <definedName name="人30019" localSheetId="8">[154]附表5直接工程费单价表!#REF!</definedName>
    <definedName name="人30020" localSheetId="8">[154]附表5直接工程费单价表!#REF!</definedName>
    <definedName name="人30021" localSheetId="8">[154]附表5直接工程费单价表!#REF!</definedName>
    <definedName name="人30022" localSheetId="8">[154]附表5直接工程费单价表!#REF!</definedName>
    <definedName name="人30023" localSheetId="8">[154]附表5直接工程费单价表!#REF!</definedName>
    <definedName name="人30024" localSheetId="8">[154]附表5直接工程费单价表!#REF!</definedName>
    <definedName name="人30025" localSheetId="8">[154]附表5直接工程费单价表!#REF!</definedName>
    <definedName name="人30028" localSheetId="8">[154]附表5直接工程费单价表!#REF!</definedName>
    <definedName name="人30048" localSheetId="8">[154]附表5直接工程费单价表!#REF!</definedName>
    <definedName name="人30048、30051" localSheetId="8">[154]附表5直接工程费单价表!#REF!</definedName>
    <definedName name="人30049" localSheetId="8">[154]附表5直接工程费单价表!#REF!</definedName>
    <definedName name="人30064" localSheetId="8">[161]附表4直接工程费单价表!#REF!</definedName>
    <definedName name="人30067" localSheetId="8">[161]附表4直接工程费单价表!#REF!</definedName>
    <definedName name="人40004" localSheetId="8">[161]附表4直接工程费单价表!#REF!</definedName>
    <definedName name="人40006" localSheetId="8">[171]直接工程费!$F$188</definedName>
    <definedName name="人40006b" localSheetId="8">[161]附表4直接工程费单价表!#REF!</definedName>
    <definedName name="人40006细石" localSheetId="8">[161]附表4直接工程费单价表!#REF!</definedName>
    <definedName name="人40030" localSheetId="8">[161]附表4直接工程费单价表!#REF!</definedName>
    <definedName name="人40031" localSheetId="8">[154]附表5直接工程费单价表!#REF!</definedName>
    <definedName name="人4003115" localSheetId="8">[161]附表4直接工程费单价表!#REF!</definedName>
    <definedName name="人40041b" localSheetId="8">[161]附表4直接工程费单价表!#REF!</definedName>
    <definedName name="人40056" localSheetId="8">[161]附表4直接工程费单价表!#REF!</definedName>
    <definedName name="人40058" localSheetId="8">[154]附表5直接工程费单价表!#REF!</definedName>
    <definedName name="人40058A" localSheetId="8">[154]附表5直接工程费单价表!#REF!</definedName>
    <definedName name="人40061" localSheetId="8">[154]附表5直接工程费单价表!#REF!</definedName>
    <definedName name="人40062" localSheetId="8">[154]附表5直接工程费单价表!#REF!</definedName>
    <definedName name="人40063" localSheetId="8">[161]附表4直接工程费单价表!#REF!</definedName>
    <definedName name="人40064" localSheetId="8">[161]附表4直接工程费单价表!#REF!</definedName>
    <definedName name="人40067" localSheetId="8">[154]附表5直接工程费单价表!#REF!</definedName>
    <definedName name="人40067A" localSheetId="8">[154]附表5直接工程费单价表!#REF!</definedName>
    <definedName name="人40068" localSheetId="8">[154]附表5直接工程费单价表!#REF!</definedName>
    <definedName name="人40069" localSheetId="8">[154]附表5直接工程费单价表!#REF!</definedName>
    <definedName name="人40070" localSheetId="8">[154]附表5直接工程费单价表!#REF!</definedName>
    <definedName name="人40072" localSheetId="8">[154]附表5直接工程费单价表!#REF!</definedName>
    <definedName name="人40073" localSheetId="8">[161]附表4直接工程费单价表!#REF!</definedName>
    <definedName name="人40074" localSheetId="8">[154]附表5直接工程费单价表!#REF!</definedName>
    <definedName name="人40075" localSheetId="8">[154]附表5直接工程费单价表!#REF!</definedName>
    <definedName name="人40076" localSheetId="8">[154]附表5直接工程费单价表!#REF!</definedName>
    <definedName name="人4007620" localSheetId="8">[161]附表4直接工程费单价表!#REF!</definedName>
    <definedName name="人40077" localSheetId="8">[161]附表4直接工程费单价表!#REF!</definedName>
    <definedName name="人40079" localSheetId="8">[154]附表5直接工程费单价表!#REF!</definedName>
    <definedName name="人40090" localSheetId="8">[154]附表5直接工程费单价表!#REF!</definedName>
    <definedName name="人40096" localSheetId="8">[154]附表5直接工程费单价表!#REF!</definedName>
    <definedName name="人40101" localSheetId="8">[154]附表5直接工程费单价表!#REF!</definedName>
    <definedName name="人40101A" localSheetId="8">[154]附表5直接工程费单价表!#REF!</definedName>
    <definedName name="人40101B" localSheetId="8">[154]附表5直接工程费单价表!#REF!</definedName>
    <definedName name="人40109" localSheetId="8">[154]附表5直接工程费单价表!#REF!</definedName>
    <definedName name="人40110" localSheetId="8">[154]附表5直接工程费单价表!#REF!</definedName>
    <definedName name="人40111" localSheetId="8">[154]附表5直接工程费单价表!#REF!</definedName>
    <definedName name="人40112" localSheetId="8">[154]附表5直接工程费单价表!#REF!</definedName>
    <definedName name="人40113" localSheetId="8">[154]附表5直接工程费单价表!#REF!</definedName>
    <definedName name="人40114" localSheetId="8">[154]附表5直接工程费单价表!#REF!</definedName>
    <definedName name="人40115" localSheetId="8">[154]附表5直接工程费单价表!#REF!</definedName>
    <definedName name="人40116" localSheetId="8">[154]附表5直接工程费单价表!#REF!</definedName>
    <definedName name="人40117" localSheetId="8">[154]附表5直接工程费单价表!#REF!</definedName>
    <definedName name="人40118" localSheetId="8">[154]附表5直接工程费单价表!#REF!</definedName>
    <definedName name="人40120" localSheetId="8">[154]附表5直接工程费单价表!#REF!</definedName>
    <definedName name="人40124" localSheetId="8">[154]附表5直接工程费单价表!#REF!</definedName>
    <definedName name="人40125" localSheetId="8">[154]附表5直接工程费单价表!#REF!</definedName>
    <definedName name="人40133" localSheetId="8">[161]附表4直接工程费单价表!#REF!</definedName>
    <definedName name="人40134" localSheetId="8">[154]附表5直接工程费单价表!#REF!</definedName>
    <definedName name="人40143" localSheetId="8">[154]附表5直接工程费单价表!#REF!</definedName>
    <definedName name="人40192" localSheetId="8">[161]附表4直接工程费单价表!#REF!</definedName>
    <definedName name="人40203" localSheetId="8">[161]附表4直接工程费单价表!#REF!</definedName>
    <definedName name="人40210" localSheetId="8">[161]附表4直接工程费单价表!#REF!</definedName>
    <definedName name="人40214苯" localSheetId="8">[161]附表4直接工程费单价表!#REF!</definedName>
    <definedName name="人40224" localSheetId="8">[154]附表5直接工程费单价表!#REF!</definedName>
    <definedName name="人40260" localSheetId="8">[154]附表5直接工程费单价表!#REF!</definedName>
    <definedName name="人40263" localSheetId="8">[154]附表5直接工程费单价表!#REF!</definedName>
    <definedName name="人40271" localSheetId="8">[154]附表5直接工程费单价表!#REF!</definedName>
    <definedName name="人40286" localSheetId="8">[154]附表5直接工程费单价表!#REF!</definedName>
    <definedName name="人40287" localSheetId="8">[154]附表5直接工程费单价表!#REF!</definedName>
    <definedName name="人40288" localSheetId="8">[154]附表5直接工程费单价表!#REF!</definedName>
    <definedName name="人40289" localSheetId="8">[154]附表5直接工程费单价表!#REF!</definedName>
    <definedName name="人40289A" localSheetId="8">[154]附表5直接工程费单价表!#REF!</definedName>
    <definedName name="人40306" localSheetId="8">[154]附表5直接工程费单价表!#REF!</definedName>
    <definedName name="人40306A" localSheetId="8">[154]附表5直接工程费单价表!#REF!</definedName>
    <definedName name="人40306B" localSheetId="8">[154]附表5直接工程费单价表!#REF!</definedName>
    <definedName name="人50003" localSheetId="8">[154]附表5直接工程费单价表!#REF!</definedName>
    <definedName name="人50004" localSheetId="8">[154]附表5直接工程费单价表!#REF!</definedName>
    <definedName name="人50005" localSheetId="8">[154]附表5直接工程费单价表!#REF!</definedName>
    <definedName name="人50006" localSheetId="8">[154]附表5直接工程费单价表!#REF!</definedName>
    <definedName name="人50014" localSheetId="8">[172]附表4工程费单价表!#REF!</definedName>
    <definedName name="人50045" localSheetId="8">[154]附表5直接工程费单价表!#REF!</definedName>
    <definedName name="人50046" localSheetId="8">[154]附表5直接工程费单价表!#REF!</definedName>
    <definedName name="人50049" localSheetId="8">[154]附表5直接工程费单价表!#REF!</definedName>
    <definedName name="人50050" localSheetId="8">[154]附表5直接工程费单价表!#REF!</definedName>
    <definedName name="人50064" localSheetId="8">[161]附表4直接工程费单价表!#REF!</definedName>
    <definedName name="人50067" localSheetId="8">[161]附表4直接工程费单价表!#REF!</definedName>
    <definedName name="人50113" localSheetId="8">[172]附表4工程费单价表!#REF!</definedName>
    <definedName name="人50115" localSheetId="8">[154]附表5直接工程费单价表!#REF!</definedName>
    <definedName name="人70007" localSheetId="8">[161]附表4直接工程费单价表!#REF!</definedName>
    <definedName name="人70013" localSheetId="8">[161]附表4直接工程费单价表!#REF!</definedName>
    <definedName name="人70014" localSheetId="8">[161]附表4直接工程费单价表!#REF!</definedName>
    <definedName name="人70070" localSheetId="8">[161]附表4直接工程费单价表!#REF!</definedName>
    <definedName name="人70105" localSheetId="8">[161]附表4直接工程费单价表!#REF!</definedName>
    <definedName name="人70106" localSheetId="8">[161]附表4直接工程费单价表!#REF!</definedName>
    <definedName name="人70114" localSheetId="8">[161]附表4直接工程费单价表!#REF!</definedName>
    <definedName name="人70125" localSheetId="8">[161]附表4直接工程费单价表!#REF!</definedName>
    <definedName name="人70194" localSheetId="8">[154]附表5直接工程费单价表!#REF!</definedName>
    <definedName name="人70195" localSheetId="8">[154]附表5直接工程费单价表!#REF!</definedName>
    <definedName name="人70196" localSheetId="8">[154]附表5直接工程费单价表!#REF!</definedName>
    <definedName name="人80015" localSheetId="8">[161]附表4直接工程费单价表!#REF!</definedName>
    <definedName name="人80015加800162" localSheetId="8">[161]附表4直接工程费单价表!#REF!</definedName>
    <definedName name="人80015减80016" localSheetId="8">[161]附表4直接工程费单价表!#REF!</definedName>
    <definedName name="人80023加8002410" localSheetId="8">[161]附表4直接工程费单价表!#REF!</definedName>
    <definedName name="人80033" localSheetId="8">[161]附表4直接工程费单价表!#REF!</definedName>
    <definedName name="人80034" localSheetId="8">[161]附表4直接工程费单价表!#REF!</definedName>
    <definedName name="人90013" localSheetId="8">[161]附表4直接工程费单价表!#REF!</definedName>
    <definedName name="人90014" localSheetId="8">[154]附表5直接工程费单价表!#REF!</definedName>
    <definedName name="人90017" localSheetId="8">[154]附表5直接工程费单价表!#REF!</definedName>
    <definedName name="人90017A" localSheetId="8">[154]附表5直接工程费单价表!#REF!</definedName>
    <definedName name="人90085" localSheetId="8">[154]附表5直接工程费单价表!#REF!</definedName>
    <definedName name="人90086" localSheetId="8">[154]附表5直接工程费单价表!#REF!</definedName>
    <definedName name="人90087" localSheetId="8">[154]附表5直接工程费单价表!#REF!</definedName>
    <definedName name="人90087A" localSheetId="8">[154]附表5直接工程费单价表!#REF!</definedName>
    <definedName name="人90136" localSheetId="8">[154]附表5直接工程费单价表!#REF!</definedName>
    <definedName name="人90147" localSheetId="8">[154]附表5直接工程费单价表!#REF!</definedName>
    <definedName name="人90189" localSheetId="8">[154]附表5直接工程费单价表!#REF!</definedName>
    <definedName name="人补1" localSheetId="8">[154]附表5直接工程费单价表!#REF!</definedName>
    <definedName name="人补1A" localSheetId="8">[154]附表5直接工程费单价表!#REF!</definedName>
    <definedName name="人补2" localSheetId="8">[154]附表5直接工程费单价表!#REF!</definedName>
    <definedName name="人补3" localSheetId="8">[154]附表5直接工程费单价表!#REF!</definedName>
    <definedName name="人补4" localSheetId="8">[154]附表5直接工程费单价表!#REF!</definedName>
    <definedName name="人补5" localSheetId="8">[154]附表5直接工程费单价表!#REF!</definedName>
    <definedName name="人参60432" localSheetId="8">[154]附表5直接工程费单价表!#REF!</definedName>
    <definedName name="人工1" localSheetId="8">[179]人工单价!$D$13</definedName>
    <definedName name="人工填方" localSheetId="8">[189]单价表!$D$8</definedName>
    <definedName name="人工挖方" localSheetId="8">[189]单价表!$D$7</definedName>
    <definedName name="人工挖土、手扶运300m__工程" localSheetId="8">#REF!</definedName>
    <definedName name="人甲" localSheetId="8">[174]附表1人工!$E$20</definedName>
    <definedName name="人建11_25换" localSheetId="8">[154]附表5直接工程费单价表!#REF!</definedName>
    <definedName name="人建4_10换" localSheetId="8">[154]附表5直接工程费单价表!#REF!</definedName>
    <definedName name="人乙" localSheetId="8">[174]附表1人工!$G$20</definedName>
    <definedName name="软管接头" localSheetId="8">[154]附表2材料价格表!#REF!</definedName>
    <definedName name="润滑油" localSheetId="8">[161]附表2材料价格计算表!#REF!</definedName>
    <definedName name="洒水汽车6000L以内" localSheetId="8">[154]附表3机械台班!#REF!</definedName>
    <definedName name="三盘三通φ225×200×355" localSheetId="8">[154]附表2材料价格表!#REF!</definedName>
    <definedName name="三盘三通φ250×200×200" localSheetId="8">[154]附表2材料价格表!#REF!</definedName>
    <definedName name="三盘三通φ315×160×250" localSheetId="8">[154]附表2材料价格表!#REF!</definedName>
    <definedName name="三盘三通φ315×200×225" localSheetId="8">[154]附表2材料价格表!#REF!</definedName>
    <definedName name="三盘三通φ315×200×250" localSheetId="8">[154]附表2材料价格表!#REF!</definedName>
    <definedName name="三盘三通φ315×200×315" localSheetId="8">[154]附表2材料价格表!#REF!</definedName>
    <definedName name="三盘三通φ355×160×225" localSheetId="8">[154]附表2材料价格表!#REF!</definedName>
    <definedName name="三盘三通φ355×160×315" localSheetId="8">[154]附表2材料价格表!#REF!</definedName>
    <definedName name="三盘三通φ355×200×225" localSheetId="8">[154]附表2材料价格表!#REF!</definedName>
    <definedName name="三盘三通φ355×200×315" localSheetId="8">[154]附表2材料价格表!#REF!</definedName>
    <definedName name="三盘三通φ355×200×400" localSheetId="8">[154]附表2材料价格表!#REF!</definedName>
    <definedName name="三盘三通φ355×400×355" localSheetId="8">[154]附表2材料价格表!#REF!</definedName>
    <definedName name="三盘三通φ400×200×225" localSheetId="8">[154]附表2材料价格表!#REF!</definedName>
    <definedName name="三盘三通φ400×200×355" localSheetId="8">[154]附表2材料价格表!#REF!</definedName>
    <definedName name="三盘三通φ400×500×400" localSheetId="8">[154]附表2材料价格表!#REF!</definedName>
    <definedName name="三盘三通φ500×500×500" localSheetId="8">[154]附表2材料价格表!#REF!</definedName>
    <definedName name="三盘三通φ80×80×80" localSheetId="8">[154]附表2材料价格表!#REF!</definedName>
    <definedName name="三通11090" localSheetId="8">[153]附表2!#REF!</definedName>
    <definedName name="三通16090" localSheetId="8">[153]附表2!#REF!</definedName>
    <definedName name="三通20090" localSheetId="8">[153]附表2!#REF!</definedName>
    <definedName name="三通25090" localSheetId="8">[153]附表2!#REF!</definedName>
    <definedName name="三通90" localSheetId="8">[153]附表2!#REF!</definedName>
    <definedName name="三通φ160×180×160" localSheetId="8">[154]附表2材料价格表!#REF!</definedName>
    <definedName name="三通φ180×180×160" localSheetId="8">[154]附表2材料价格表!#REF!</definedName>
    <definedName name="三通φ180×180×90" localSheetId="8">[154]附表2材料价格表!#REF!</definedName>
    <definedName name="沙枣" localSheetId="8">[161]附表2材料价格计算表!#REF!</definedName>
    <definedName name="砂" localSheetId="8">[176]材料费!$D$5</definedName>
    <definedName name="砂浆" localSheetId="8">[154]附表5直接工程费单价表!#REF!</definedName>
    <definedName name="砂浆7.5" localSheetId="8">[178]附表7砂浆配比表!$I$7</definedName>
    <definedName name="砂砾石" localSheetId="8">#REF!</definedName>
    <definedName name="设备费南" localSheetId="8">'[170]表4设备费南 '!$N$37</definedName>
    <definedName name="设备购置费" localSheetId="8">#REF!</definedName>
    <definedName name="设计费" localSheetId="8">#REF!</definedName>
    <definedName name="伸缩节200" localSheetId="8">[153]附表2!#REF!</definedName>
    <definedName name="生产安置平衡" localSheetId="8">#REF!</definedName>
    <definedName name="生产列11" localSheetId="8">#REF!</definedName>
    <definedName name="生产列2" localSheetId="8">#REF!</definedName>
    <definedName name="生产列20" localSheetId="8">#REF!</definedName>
    <definedName name="生产列5" localSheetId="8">#REF!</definedName>
    <definedName name="生产列6" localSheetId="8">#REF!</definedName>
    <definedName name="生产列7" localSheetId="8">#REF!</definedName>
    <definedName name="生产列8" localSheetId="8">#REF!</definedName>
    <definedName name="生产列9" localSheetId="8">#REF!</definedName>
    <definedName name="生产期" localSheetId="8">#REF!</definedName>
    <definedName name="生产期11" localSheetId="8">#REF!</definedName>
    <definedName name="生产期2" localSheetId="8">#REF!</definedName>
    <definedName name="生产期20" localSheetId="8">#REF!</definedName>
    <definedName name="生产期5" localSheetId="8">#REF!</definedName>
    <definedName name="生产期6" localSheetId="8">#REF!</definedName>
    <definedName name="生产期7" localSheetId="8">#REF!</definedName>
    <definedName name="生产期8" localSheetId="8">#REF!</definedName>
    <definedName name="生产期9" localSheetId="8">#REF!</definedName>
    <definedName name="石灰" localSheetId="8">[154]附表2材料价格表!#REF!</definedName>
    <definedName name="石棉织布" localSheetId="8">[161]附表2材料价格计算表!#REF!</definedName>
    <definedName name="石屑" localSheetId="8">[154]附表2材料价格表!#REF!</definedName>
    <definedName name="手扶式拖拉机" localSheetId="8">[80]机械汇总!$K$20</definedName>
    <definedName name="竖管" localSheetId="8">[154]附表2材料价格表!#REF!</definedName>
    <definedName name="竖管75" localSheetId="8">[153]附表2!#REF!</definedName>
    <definedName name="竖管80_150" localSheetId="8">[154]附表2材料价格表!#REF!</definedName>
    <definedName name="数量" localSheetId="8">'[62]#REF'!$D$2</definedName>
    <definedName name="双承PVC塑管φ110×3.2×9000" localSheetId="8">[154]附表2材料价格表!#REF!</definedName>
    <definedName name="双承PVC塑管φ125×3.7×9000" localSheetId="8">[154]附表2材料价格表!#REF!</definedName>
    <definedName name="双承PVC塑管φ160×4.7×9000" localSheetId="8">[154]附表2材料价格表!#REF!</definedName>
    <definedName name="双承PVC塑管φ200×5.9×10000" localSheetId="8">[154]附表2材料价格表!#REF!</definedName>
    <definedName name="双承PVC塑管φ200×5.9×9000" localSheetId="8">[154]附表2材料价格表!#REF!</definedName>
    <definedName name="双承PVC塑管φ225×6.6×10000" localSheetId="8">[154]附表2材料价格表!#REF!</definedName>
    <definedName name="双承PVC塑管φ250×7.3×10000" localSheetId="8">[154]附表2材料价格表!#REF!</definedName>
    <definedName name="双承PVC塑管φ315×9.2×10000" localSheetId="8">[154]附表2材料价格表!#REF!</definedName>
    <definedName name="双承PVC塑管φ355×10.4×10000" localSheetId="8">[154]附表2材料价格表!#REF!</definedName>
    <definedName name="双承PVC塑管φ400×11.7×10000" localSheetId="8">[154]附表2材料价格表!#REF!</definedName>
    <definedName name="双承PVC塑管φ500×14.6×10000" localSheetId="8">[154]附表2材料价格表!#REF!</definedName>
    <definedName name="双承PVC塑管φ90×2.8×9000" localSheetId="8">[154]附表2材料价格表!#REF!</definedName>
    <definedName name="双法兰短管" localSheetId="8">[154]附表2材料价格表!#REF!</definedName>
    <definedName name="双法兰空气阀" localSheetId="8">[154]附表2材料价格表!#REF!</definedName>
    <definedName name="双轮胶车" localSheetId="8">[174]附表3机械!$K$76</definedName>
    <definedName name="双面刨床" localSheetId="8">[154]附表3机械台班!#REF!</definedName>
    <definedName name="双盘短管φ315×600" localSheetId="8">[154]附表2材料价格表!#REF!</definedName>
    <definedName name="双盘短管φ315×600、45" localSheetId="8">[154]附表2材料价格表!#REF!</definedName>
    <definedName name="双盘短管φ400×600" localSheetId="8">[154]附表2材料价格表!#REF!</definedName>
    <definedName name="双盘短管φ400×600、30" localSheetId="8">[154]附表2材料价格表!#REF!</definedName>
    <definedName name="双盘短管φ500×600" localSheetId="8">[154]附表2材料价格表!#REF!</definedName>
    <definedName name="双盘弯头φ200×200" localSheetId="8">[154]附表2材料价格表!#REF!</definedName>
    <definedName name="双盘弯头φ225×160" localSheetId="8">[154]附表2材料价格表!#REF!</definedName>
    <definedName name="双盘弯头φ225×200" localSheetId="8">[154]附表2材料价格表!#REF!</definedName>
    <definedName name="双盘弯头φ250×160" localSheetId="8">[154]附表2材料价格表!#REF!</definedName>
    <definedName name="双盘弯头φ250×200" localSheetId="8">[154]附表2材料价格表!#REF!</definedName>
    <definedName name="水" localSheetId="8">#REF!</definedName>
    <definedName name="水泵机组250QJ100_270_15" localSheetId="8">[154]附表2材料价格表!#REF!</definedName>
    <definedName name="水泵机组250QJ80_320_16" localSheetId="8">[154]附表2材料价格表!#REF!</definedName>
    <definedName name="水泵机组IS80_50_250" localSheetId="8">[154]附表2材料价格表!#REF!</definedName>
    <definedName name="水表" localSheetId="8">[154]附表2材料价格表!#REF!</definedName>
    <definedName name="水措施费南" localSheetId="8">#REF!</definedName>
    <definedName name="水价" localSheetId="8">[174]附表2材料!$D$16</definedName>
    <definedName name="水间接费南" localSheetId="8">#REF!</definedName>
    <definedName name="水力机械调差系数" localSheetId="8">#REF!</definedName>
    <definedName name="水利" localSheetId="8">#REF!</definedName>
    <definedName name="水泥" localSheetId="8">[154]附表2材料价格表!#REF!</definedName>
    <definedName name="水泥32.5" localSheetId="8">'[172]附表2 材料价格表'!#REF!</definedName>
    <definedName name="水泥325" localSheetId="8">#REF!</definedName>
    <definedName name="水泥42.5" localSheetId="8">'[96]附表2-1主材'!$L$5</definedName>
    <definedName name="水泥425" localSheetId="8">#REF!</definedName>
    <definedName name="水泥电杆￠190_12m" localSheetId="8">[154]附表2材料价格表!#REF!</definedName>
    <definedName name="水泥电杆79米" localSheetId="8">[161]附表2材料价格计算表!#REF!</definedName>
    <definedName name="水泥电杆911米" localSheetId="8">[161]附表2材料价格计算表!#REF!</definedName>
    <definedName name="水施工费" localSheetId="8">'[170]表3工程施工费南 '!$H$8</definedName>
    <definedName name="水直接工程费南" localSheetId="8">#REF!</definedName>
    <definedName name="税金" localSheetId="8">[182]基础参数值!$M$15</definedName>
    <definedName name="思想" localSheetId="8">#REF!</definedName>
    <definedName name="四盘四通φ315×200×400×355" localSheetId="8">[154]附表2材料价格表!#REF!</definedName>
    <definedName name="四盘四通φ400×355×355×200" localSheetId="8">[154]附表2材料价格表!#REF!</definedName>
    <definedName name="四盘四通φ400×500×200×400" localSheetId="8">[154]附表2材料价格表!#REF!</definedName>
    <definedName name="四通φ180×90×180×90" localSheetId="8">[154]附表2材料价格表!#REF!</definedName>
    <definedName name="俗人" localSheetId="8">#REF!</definedName>
    <definedName name="速生杨" localSheetId="8">[153]附表2!#REF!</definedName>
    <definedName name="塑料软管" localSheetId="8">[161]附表2材料价格计算表!#REF!</definedName>
    <definedName name="碎石" localSheetId="8">#REF!</definedName>
    <definedName name="碎石30mm" localSheetId="8">[154]附表2材料价格表!#REF!</definedName>
    <definedName name="碎石4" localSheetId="8">'[80]表3-1直接费预算表达式1'!$D$13</definedName>
    <definedName name="碎石40mm" localSheetId="8">[154]附表2材料价格表!#REF!</definedName>
    <definedName name="碎石50mm" localSheetId="8">[154]附表2材料价格表!#REF!</definedName>
    <definedName name="塔式起重机10t" localSheetId="8">#REF!</definedName>
    <definedName name="塔式起重机25t" localSheetId="8">#REF!</definedName>
    <definedName name="塔式起重机6t" localSheetId="8">[154]附表3机械台班!#REF!</definedName>
    <definedName name="摊铺机TX150" localSheetId="8">[154]附表3机械台班!#REF!</definedName>
    <definedName name="田间道路工程" localSheetId="8">#REF!</definedName>
    <definedName name="铁垫块" localSheetId="8">[80]材价汇!$D$22</definedName>
    <definedName name="铁钉" localSheetId="8">#REF!</definedName>
    <definedName name="铁横担_∠63×6×1500" localSheetId="8">[154]附表2材料价格表!#REF!</definedName>
    <definedName name="铁横担_∠8×8×1700" localSheetId="8">[154]附表2材料价格表!#REF!</definedName>
    <definedName name="铁横担∠8×8×1700" localSheetId="8">[154]附表2材料价格表!#REF!</definedName>
    <definedName name="铁横担L6361500" localSheetId="8">[161]附表2材料价格计算表!#REF!</definedName>
    <definedName name="铁横担L636800" localSheetId="8">[161]附表2材料价格计算表!#REF!</definedName>
    <definedName name="铁横担L8081700" localSheetId="8">[161]附表2材料价格计算表!#REF!</definedName>
    <definedName name="铁件" localSheetId="8">#REF!</definedName>
    <definedName name="铁六渠分水闸" localSheetId="8">#REF!</definedName>
    <definedName name="铁六渠节制闸" localSheetId="8">#REF!</definedName>
    <definedName name="铁六渠生产桥" localSheetId="8">#REF!</definedName>
    <definedName name="铁丝" localSheetId="8">#REF!</definedName>
    <definedName name="铁丝_综合" localSheetId="8">[154]附表2材料价格表!#REF!</definedName>
    <definedName name="铁丝10" localSheetId="8">[154]附表2材料价格表!#REF!</definedName>
    <definedName name="铁丝12" localSheetId="8">[154]附表2材料价格表!#REF!</definedName>
    <definedName name="铁丝14" localSheetId="8">[154]附表2材料价格表!#REF!</definedName>
    <definedName name="铁丝16" localSheetId="8">[154]附表2材料价格表!#REF!</definedName>
    <definedName name="铁丝20" localSheetId="8">[154]附表2材料价格表!#REF!</definedName>
    <definedName name="铁丝22" localSheetId="8">[154]附表2材料价格表!#REF!</definedName>
    <definedName name="铁丝8" localSheetId="8">[154]附表2材料价格表!#REF!</definedName>
    <definedName name="砼C10M2" localSheetId="8">'[80]表3-8'!$N$7</definedName>
    <definedName name="砼C15" localSheetId="8">[181]单位估价!#REF!</definedName>
    <definedName name="砼C20" localSheetId="8">[194]附表4砼、沙浆费计算表!$M$9</definedName>
    <definedName name="砼C20M2" localSheetId="8">[174]附表6砼配!$P$13</definedName>
    <definedName name="砼C20碎2" localSheetId="8">'[80]表3-8'!$N$9</definedName>
    <definedName name="砼C25M2" localSheetId="8">[178]附表6砼配比表!$P$9</definedName>
    <definedName name="砼C30M2" localSheetId="8">'[80]表3-8'!$N$17</definedName>
    <definedName name="砼拌制" localSheetId="8">[153]附表4单价!#REF!</definedName>
    <definedName name="砼垂直运输" localSheetId="8">[182]单价分析表!$F$336</definedName>
    <definedName name="砼吊罐1" localSheetId="8">#REF!</definedName>
    <definedName name="砼管1000" localSheetId="8">'[172]附表2 材料价格表'!#REF!</definedName>
    <definedName name="砼管1500" localSheetId="8">'[172]附表2 材料价格表'!#REF!</definedName>
    <definedName name="砼搅拌机0.4" localSheetId="8">#REF!</definedName>
    <definedName name="砼水平运输" localSheetId="8">[182]单价分析表!$F$323</definedName>
    <definedName name="砼运输" localSheetId="8">[153]附表4单价!#REF!</definedName>
    <definedName name="铜电焊条" localSheetId="8">[154]附表2材料价格表!#REF!</definedName>
    <definedName name="土措" localSheetId="8">[184]税率!$I$4</definedName>
    <definedName name="土措施费南" localSheetId="8">#REF!</definedName>
    <definedName name="土地平整" localSheetId="8">[175]表3工程施工费表!$I$8</definedName>
    <definedName name="土地平整工程" localSheetId="8">#REF!</definedName>
    <definedName name="土间" localSheetId="8">[184]税率!$F$15</definedName>
    <definedName name="土间接费南" localSheetId="8">#REF!</definedName>
    <definedName name="土建单价" localSheetId="8">#REF!</definedName>
    <definedName name="土建费率" localSheetId="8">#REF!</definedName>
    <definedName name="土建工程量" localSheetId="8">#REF!</definedName>
    <definedName name="土施工费南" localSheetId="8">'[170]表3工程施工费南 '!$H$6</definedName>
    <definedName name="土直接工程费南" localSheetId="8">#REF!</definedName>
    <definedName name="推土机103kw" localSheetId="8">[154]附表3机械台班!#REF!</definedName>
    <definedName name="推土机55kw" localSheetId="8">[154]附表3机械台班!#REF!</definedName>
    <definedName name="推土机59kw" localSheetId="8">#REF!</definedName>
    <definedName name="推土机74kw" localSheetId="8">#REF!</definedName>
    <definedName name="推土机88kw" localSheetId="8">[154]附表3机械台班!#REF!</definedName>
    <definedName name="推土机89kw" localSheetId="8">[154]附表3机械台班!#REF!</definedName>
    <definedName name="拖拉机55kw" localSheetId="8">[154]附表3机械台班!#REF!</definedName>
    <definedName name="拖拉机59KW" localSheetId="8">#REF!</definedName>
    <definedName name="拖拉机74kw" localSheetId="8">#REF!</definedName>
    <definedName name="拖拉机履带式功率59kw" localSheetId="8">[80]机械汇总!$K$16</definedName>
    <definedName name="拖拉机履带式功率74kw" localSheetId="8">[80]机械汇总!$K$18</definedName>
    <definedName name="挖掘机1.0油动" localSheetId="8">#REF!</definedName>
    <definedName name="挖掘机1m3" localSheetId="8">[154]附表3机械台班!#REF!</definedName>
    <definedName name="蛙式打夯机2.8k" localSheetId="8">[154]附表3机械台班!#REF!</definedName>
    <definedName name="蛙式打夯机2.8KW" localSheetId="8">#REF!</definedName>
    <definedName name="蛙式打夯机功率2.8kw" localSheetId="8">[80]机械汇总!$K$30</definedName>
    <definedName name="弯头12590" localSheetId="8">[153]附表2!#REF!</definedName>
    <definedName name="弯头20045" localSheetId="8">[153]附表2!#REF!</definedName>
    <definedName name="弯头25090" localSheetId="8">[153]附表2!#REF!</definedName>
    <definedName name="弯头Dg120" localSheetId="8">[154]附表2材料价格表!#REF!</definedName>
    <definedName name="弯头Dg160" localSheetId="8">[154]附表2材料价格表!#REF!</definedName>
    <definedName name="弯头Dg180" localSheetId="8">[154]附表2材料价格表!#REF!</definedName>
    <definedName name="弯头Dg90" localSheetId="8">[154]附表2材料价格表!#REF!</definedName>
    <definedName name="弯头φ110" localSheetId="8">[154]附表2材料价格表!#REF!</definedName>
    <definedName name="弯头φ120_90度" localSheetId="8">[154]附表2材料价格表!#REF!</definedName>
    <definedName name="弯头φ140_90度" localSheetId="8">[154]附表2材料价格表!#REF!</definedName>
    <definedName name="弯头φ160" localSheetId="8">[154]附表2材料价格表!#REF!</definedName>
    <definedName name="弯头φ160_90度" localSheetId="8">[154]附表2材料价格表!#REF!</definedName>
    <definedName name="弯头φ180" localSheetId="8">[154]附表2材料价格表!#REF!</definedName>
    <definedName name="弯头φ90" localSheetId="8">[154]附表2材料价格表!#REF!</definedName>
    <definedName name="碗头挂板W_7B" localSheetId="8">[154]附表2材料价格表!#REF!</definedName>
    <definedName name="万元" localSheetId="8">'[62]#REF'!$H$2</definedName>
    <definedName name="桅杆起重机10t" localSheetId="8">[80]机械汇总!$K$102</definedName>
    <definedName name="我" localSheetId="8">[182]人工工资!$K$8</definedName>
    <definedName name="系数1" localSheetId="8">#REF!</definedName>
    <definedName name="系数3" localSheetId="8">#REF!</definedName>
    <definedName name="现场安装" localSheetId="8">[182]基础参数值!$F$23</definedName>
    <definedName name="现场钢筋" localSheetId="8">[182]基础参数值!$F$19</definedName>
    <definedName name="现场其它" localSheetId="8">[182]基础参数值!$F$22</definedName>
    <definedName name="现场砌石" localSheetId="8">[182]基础参数值!$F$17</definedName>
    <definedName name="现场砼" localSheetId="8">[182]基础参数值!$F$18</definedName>
    <definedName name="现场土方" localSheetId="8">[182]基础参数值!$F$15</definedName>
    <definedName name="现场钻孔" localSheetId="8">[182]基础参数值!$F$20</definedName>
    <definedName name="线夹" localSheetId="8">[154]附表2材料价格表!#REF!</definedName>
    <definedName name="橡胶绝缘线" localSheetId="8">[161]附表2材料价格计算表!#REF!</definedName>
    <definedName name="橡胶石棉板" localSheetId="8">[154]附表2材料价格表!#REF!</definedName>
    <definedName name="橡胶止水带" localSheetId="8">[154]附表2材料价格表!#REF!</definedName>
    <definedName name="橡胶止水圈_1000" localSheetId="8">[154]附表2材料价格表!#REF!</definedName>
    <definedName name="橡胶止水圈_600" localSheetId="8">[154]附表2材料价格表!#REF!</definedName>
    <definedName name="橡胶止水圈DN1000" localSheetId="8">[80]材价汇!$D$47</definedName>
    <definedName name="橡胶止水圈DN400" localSheetId="8">[80]材价汇!$D$44</definedName>
    <definedName name="橡胶止水圈DN500" localSheetId="8">[80]材价汇!$D$45</definedName>
    <definedName name="橡胶止水圈DN600" localSheetId="8">[161]附表2材料价格计算表!#REF!</definedName>
    <definedName name="橡胶止水圈DN800" localSheetId="8">[80]材价汇!$D$46</definedName>
    <definedName name="橡皮绝缘线" localSheetId="8">[161]附表2材料价格计算表!#REF!</definedName>
    <definedName name="楔形线夹_NX_2" localSheetId="8">[154]附表2材料价格表!#REF!</definedName>
    <definedName name="楔形线夹NX_1" localSheetId="8">[154]附表2材料价格表!#REF!</definedName>
    <definedName name="楔形线夹NX_2" localSheetId="8">[154]附表2材料价格表!#REF!</definedName>
    <definedName name="楔型线夹NX2" localSheetId="8">[161]附表2材料价格计算表!#REF!</definedName>
    <definedName name="泄水阀" localSheetId="8">[154]附表2材料价格表!#REF!</definedName>
    <definedName name="泄水阀φ120" localSheetId="8">[154]附表2材料价格表!#REF!</definedName>
    <definedName name="泄水阀φ140" localSheetId="8">[154]附表2材料价格表!#REF!</definedName>
    <definedName name="泄水阀φ160" localSheetId="8">[154]附表2材料价格表!#REF!</definedName>
    <definedName name="新" localSheetId="8">#REF!</definedName>
    <definedName name="新疆杨" localSheetId="8">[153]附表2!#REF!</definedName>
    <definedName name="新年" localSheetId="8">#REF!</definedName>
    <definedName name="型钢" localSheetId="8">#REF!</definedName>
    <definedName name="型钢剪断机13kw" localSheetId="8">[154]附表3机械台班!#REF!</definedName>
    <definedName name="悬式瓷瓶XP_7" localSheetId="8">[154]附表2材料价格表!#REF!</definedName>
    <definedName name="悬式绝缘子_X_4.5" localSheetId="8">[154]附表2材料价格表!#REF!</definedName>
    <definedName name="悬式绝缘子X_4.5" localSheetId="8">[154]附表2材料价格表!#REF!</definedName>
    <definedName name="悬式绝缘子X4.5" localSheetId="8">[161]附表2材料价格计算表!#REF!</definedName>
    <definedName name="压力表" localSheetId="8">[154]附表2材料价格表!#REF!</definedName>
    <definedName name="压力表0.6MPa" localSheetId="8">[154]附表2材料价格表!#REF!</definedName>
    <definedName name="压力表弯管φ16" localSheetId="8">[154]附表2材料价格表!#REF!</definedName>
    <definedName name="压力钢管" localSheetId="8">#REF!</definedName>
    <definedName name="压力钢管调差系数" localSheetId="8">#REF!</definedName>
    <definedName name="羊脚碾5_7t" localSheetId="8">[154]附表3机械台班!#REF!</definedName>
    <definedName name="羊脚碾7T" localSheetId="8">#REF!</definedName>
    <definedName name="羊脚碾8_12t" localSheetId="8">[154]附表3机械台班!#REF!</definedName>
    <definedName name="杨树" localSheetId="8">[154]附表2材料价格表!#REF!</definedName>
    <definedName name="氧气" localSheetId="8">#REF!</definedName>
    <definedName name="摇臂钻床规格φ20m35mm" localSheetId="8">[80]机械汇总!$K$136</definedName>
    <definedName name="业主管理费" localSheetId="8">#REF!</definedName>
    <definedName name="业主管理费南" localSheetId="8">'[170]表5-4业主管理费南 '!$I$9</definedName>
    <definedName name="一般石方开挖风钻Ⅶ_工程" localSheetId="8">#REF!</definedName>
    <definedName name="乙二胺" localSheetId="8">[154]附表2材料价格表!#REF!</definedName>
    <definedName name="乙类工" localSheetId="8">[184]人工!$D$38</definedName>
    <definedName name="乙炔气" localSheetId="8">[154]附表2材料价格表!#REF!</definedName>
    <definedName name="溢流堰砼200__工程" localSheetId="8">#REF!</definedName>
    <definedName name="油浸石棉盘根250℃" localSheetId="8">[161]附表2材料价格计算表!#REF!</definedName>
    <definedName name="油毛毡" localSheetId="8">[154]附表2材料价格表!#REF!</definedName>
    <definedName name="油漆" localSheetId="8">[154]附表2材料价格表!#REF!</definedName>
    <definedName name="油毡" localSheetId="8">[161]附表2材料价格计算表!#REF!</definedName>
    <definedName name="预埋铁件" localSheetId="8">[154]附表2材料价格表!#REF!</definedName>
    <definedName name="预制砼防护管" localSheetId="8">[153]附表2!#REF!</definedName>
    <definedName name="预制砼柱" localSheetId="8">[181]单位估价!#REF!</definedName>
    <definedName name="原木" localSheetId="8">#REF!</definedName>
    <definedName name="圆盘锯" localSheetId="8">[154]附表3机械台班!#REF!</definedName>
    <definedName name="载重汽车10t" localSheetId="8">#REF!</definedName>
    <definedName name="载重汽车5t" localSheetId="8">#REF!</definedName>
    <definedName name="载重汽车5吨" localSheetId="8">[174]附表3机械!$K$62</definedName>
    <definedName name="闸墩21_21.9m接高200_砼" localSheetId="8">#REF!</definedName>
    <definedName name="闸阀" localSheetId="8">[154]附表2材料价格表!#REF!</definedName>
    <definedName name="闸阀110" localSheetId="8">[154]附表2材料价格表!#REF!</definedName>
    <definedName name="闸阀250" localSheetId="8">[153]附表2!#REF!</definedName>
    <definedName name="闸阀90" localSheetId="8">[153]附表2!#REF!</definedName>
    <definedName name="闸阀Dg120" localSheetId="8">[154]附表2材料价格表!#REF!</definedName>
    <definedName name="闸阀Dg160" localSheetId="8">[154]附表2材料价格表!#REF!</definedName>
    <definedName name="闸阀Dg180" localSheetId="8">[154]附表2材料价格表!#REF!</definedName>
    <definedName name="闸阀Dg90" localSheetId="8">[154]附表2材料价格表!#REF!</definedName>
    <definedName name="闸阀φ120" localSheetId="8">[154]附表2材料价格表!#REF!</definedName>
    <definedName name="闸阀φ140" localSheetId="8">[154]附表2材料价格表!#REF!</definedName>
    <definedName name="闸阀φ160" localSheetId="8">[154]附表2材料价格表!#REF!</definedName>
    <definedName name="闸阀φ180" localSheetId="8">[154]附表2材料价格表!#REF!</definedName>
    <definedName name="闸阀φ200" localSheetId="8">[154]附表2材料价格表!#REF!</definedName>
    <definedName name="闸阀φ225" localSheetId="8">[154]附表2材料价格表!#REF!</definedName>
    <definedName name="闸阀φ250" localSheetId="8">[154]附表2材料价格表!#REF!</definedName>
    <definedName name="闸阀φ315" localSheetId="8">[154]附表2材料价格表!#REF!</definedName>
    <definedName name="闸阀φ355" localSheetId="8">[154]附表2材料价格表!#REF!</definedName>
    <definedName name="闸阀φ400" localSheetId="8">[154]附表2材料价格表!#REF!</definedName>
    <definedName name="闸阀φ80" localSheetId="8">[154]附表2材料价格表!#REF!</definedName>
    <definedName name="闸阀φ90" localSheetId="8">[154]附表2材料价格表!#REF!</definedName>
    <definedName name="闸门0.3" localSheetId="8">[197]设备!#REF!</definedName>
    <definedName name="闸门0.4" localSheetId="8">[197]设备!#REF!</definedName>
    <definedName name="闸门0.5" localSheetId="8">[197]设备!#REF!</definedName>
    <definedName name="闸门0.6" localSheetId="8">[197]设备!#REF!</definedName>
    <definedName name="炸药" localSheetId="8">#REF!</definedName>
    <definedName name="粘土" localSheetId="8">[154]附表2材料价格表!#REF!</definedName>
    <definedName name="粘土球" localSheetId="8">[154]附表2材料价格表!#REF!</definedName>
    <definedName name="漳河柳" localSheetId="8">[153]附表2!#REF!</definedName>
    <definedName name="针式瓶P_20T" localSheetId="8">[154]附表2材料价格表!#REF!</definedName>
    <definedName name="支架φ33×1500" localSheetId="8">[154]附表2材料价格表!#REF!</definedName>
    <definedName name="直角挂板Z_7" localSheetId="8">[154]附表2材料价格表!#REF!</definedName>
    <definedName name="直流电焊机30" localSheetId="8">#REF!</definedName>
    <definedName name="直流电焊机30kVA" localSheetId="8">[80]机械汇总!$K$120</definedName>
    <definedName name="止回阀φ120" localSheetId="8">[154]附表2材料价格表!#REF!</definedName>
    <definedName name="止回阀φ140" localSheetId="8">[154]附表2材料价格表!#REF!</definedName>
    <definedName name="止回阀φ160" localSheetId="8">[154]附表2材料价格表!#REF!</definedName>
    <definedName name="中粗砂" localSheetId="8">#REF!</definedName>
    <definedName name="主1" localSheetId="8">#REF!</definedName>
    <definedName name="专用模板" localSheetId="8">[80]材价汇!$D$28</definedName>
    <definedName name="砖" localSheetId="8">[154]附表2材料价格表!#REF!</definedName>
    <definedName name="紫铜片厚15mm" localSheetId="8">[154]附表2材料价格表!#REF!</definedName>
    <definedName name="自行式平地机118kw" localSheetId="8">[80]机械汇总!$K$22</definedName>
    <definedName name="自行式平地机120kw以内" localSheetId="8">[154]附表3机械台班!#REF!</definedName>
    <definedName name="自卸汽车5t" localSheetId="8">#REF!</definedName>
    <definedName name="自卸汽车8t" localSheetId="8">[154]附表3机械台班!#REF!</definedName>
    <definedName name="总干渠石礼公路桥" localSheetId="8">#REF!</definedName>
    <definedName name="总投资" localSheetId="8">#REF!</definedName>
    <definedName name="总投资南" localSheetId="8">'[170]表2预算总表 南'!$C$9</definedName>
    <definedName name="组合钢模" localSheetId="8">#REF!</definedName>
    <definedName name="组合钢模板" localSheetId="8">[154]附表2材料价格表!#REF!</definedName>
    <definedName name="钻杆" localSheetId="8">[161]附表2材料价格计算表!#REF!</definedName>
    <definedName name="_______PVC20008" localSheetId="8">[200]附表2!#REF!</definedName>
    <definedName name="_____PE20" localSheetId="8">[200]附表2!#REF!</definedName>
    <definedName name="_____PE40" localSheetId="8">[200]附表2!#REF!</definedName>
    <definedName name="_____PVC11008" localSheetId="8">[200]附表2!#REF!</definedName>
    <definedName name="_____PVC16008" localSheetId="8">[200]附表2!#REF!</definedName>
    <definedName name="_____PVC25008" localSheetId="8">[200]附表2!#REF!</definedName>
    <definedName name="_____PVC31508" localSheetId="8">[200]附表2!#REF!</definedName>
    <definedName name="_____PVC9006" localSheetId="8">[200]附表2!#REF!</definedName>
    <definedName name="_____PVC9008" localSheetId="8">[200]附表2!#REF!</definedName>
    <definedName name="____PE20" localSheetId="8">[200]附表2!#REF!</definedName>
    <definedName name="____PE40" localSheetId="8">[200]附表2!#REF!</definedName>
    <definedName name="____PVC11008" localSheetId="8">[200]附表2!#REF!</definedName>
    <definedName name="____PVC16008" localSheetId="8">[200]附表2!#REF!</definedName>
    <definedName name="____PVC20008" localSheetId="8">[200]附表2!#REF!</definedName>
    <definedName name="____PVC25008" localSheetId="8">[200]附表2!#REF!</definedName>
    <definedName name="____PVC31508" localSheetId="8">[200]附表2!#REF!</definedName>
    <definedName name="____PVC9006" localSheetId="8">[200]附表2!#REF!</definedName>
    <definedName name="____PVC9008" localSheetId="8">[200]附表2!#REF!</definedName>
    <definedName name="___PE20" localSheetId="8">[200]附表2!#REF!</definedName>
    <definedName name="___PE40" localSheetId="8">[200]附表2!#REF!</definedName>
    <definedName name="___PVC11008" localSheetId="8">[200]附表2!#REF!</definedName>
    <definedName name="___PVC16008" localSheetId="8">[200]附表2!#REF!</definedName>
    <definedName name="___PVC20008" localSheetId="8">[200]附表2!#REF!</definedName>
    <definedName name="___PVC25008" localSheetId="8">[200]附表2!#REF!</definedName>
    <definedName name="___PVC31508" localSheetId="8">[200]附表2!#REF!</definedName>
    <definedName name="___PVC9006" localSheetId="8">[200]附表2!#REF!</definedName>
    <definedName name="___PVC9008" localSheetId="8">[200]附表2!#REF!</definedName>
    <definedName name="bu" localSheetId="8">[201]定额!#REF!</definedName>
    <definedName name="gc" localSheetId="8" hidden="1">[13]eqpmad2!#REF!</definedName>
    <definedName name="huangling" localSheetId="8">'[202]表5-2工程监理费南'!$E$10</definedName>
    <definedName name="l" localSheetId="8">#REF!</definedName>
    <definedName name="range_jxtb" localSheetId="8">[204]DE!$A$8:$M$405</definedName>
    <definedName name="sheet3" localSheetId="8">sheet3</definedName>
    <definedName name="宝丰" localSheetId="8">'[211]申请表（正面）'!宝丰</definedName>
    <definedName name="工50115" localSheetId="8">[205]附4工程费单价表!$F$2014</definedName>
    <definedName name="工50116" localSheetId="8">[205]附4工程费单价表!$F$2104</definedName>
    <definedName name="管件供货统计" localSheetId="8">#REF!</definedName>
    <definedName name="宁水4082" localSheetId="8">[205]附4工程费单价表!$F$1004</definedName>
    <definedName name="世行项目预算" localSheetId="8">#REF!</definedName>
    <definedName name="送审表" localSheetId="8" hidden="1">#REF!</definedName>
    <definedName name="纤细估算" localSheetId="8">#REF!</definedName>
    <definedName name="综合估算表" localSheetId="8">#REF!</definedName>
    <definedName name="______PE20" localSheetId="8">[199]附表2!#REF!</definedName>
    <definedName name="______________PE40" localSheetId="8">[199]附表2!#REF!</definedName>
    <definedName name="______PVC11008" localSheetId="8">[199]附表2!#REF!</definedName>
    <definedName name="______PVC16008" localSheetId="8">[199]附表2!#REF!</definedName>
    <definedName name="_____PVC20008" localSheetId="8">[199]附表2!#REF!</definedName>
    <definedName name="______PVC25008" localSheetId="8">[199]附表2!#REF!</definedName>
    <definedName name="______PVC31508" localSheetId="8">[199]附表2!#REF!</definedName>
    <definedName name="______PVC9006" localSheetId="8">[199]附表2!#REF!</definedName>
    <definedName name="______PVC9008" localSheetId="8">[199]附表2!#REF!</definedName>
    <definedName name="_______PE20" localSheetId="8">[212]附表2!#REF!</definedName>
    <definedName name="______PE40" localSheetId="8">[212]附表2!#REF!</definedName>
    <definedName name="_______PVC11008" localSheetId="8">[212]附表2!#REF!</definedName>
    <definedName name="_______PVC16008" localSheetId="8">[212]附表2!#REF!</definedName>
    <definedName name="______PVC20008" localSheetId="8">[212]附表2!#REF!</definedName>
    <definedName name="_______PVC25008" localSheetId="8">[212]附表2!#REF!</definedName>
    <definedName name="_______PVC31508" localSheetId="8">[212]附表2!#REF!</definedName>
    <definedName name="_______PVC9006" localSheetId="8">[212]附表2!#REF!</definedName>
    <definedName name="_______PVC9008" localSheetId="8">[212]附表2!#REF!</definedName>
    <definedName name="________PE20" localSheetId="8">[199]附表2!#REF!</definedName>
    <definedName name="_______PE40" localSheetId="8">[199]附表2!#REF!</definedName>
    <definedName name="________PVC11008" localSheetId="8">[199]附表2!#REF!</definedName>
    <definedName name="________PVC16008" localSheetId="8">[199]附表2!#REF!</definedName>
    <definedName name="________PVC20008" localSheetId="8">[199]附表2!#REF!</definedName>
    <definedName name="________PVC25008" localSheetId="8">[199]附表2!#REF!</definedName>
    <definedName name="________PVC31508" localSheetId="8">[199]附表2!#REF!</definedName>
    <definedName name="________PVC9006" localSheetId="8">[199]附表2!#REF!</definedName>
    <definedName name="________PVC9008" localSheetId="8">[199]附表2!#REF!</definedName>
    <definedName name="_________PE20" localSheetId="8">[199]附表2!#REF!</definedName>
    <definedName name="________PE40" localSheetId="8">[199]附表2!#REF!</definedName>
    <definedName name="_________PVC11008" localSheetId="8">[199]附表2!#REF!</definedName>
    <definedName name="_________PVC16008" localSheetId="8">[199]附表2!#REF!</definedName>
    <definedName name="_________PVC20008" localSheetId="8">[199]附表2!#REF!</definedName>
    <definedName name="_________PVC25008" localSheetId="8">[199]附表2!#REF!</definedName>
    <definedName name="_________PVC31508" localSheetId="8">[199]附表2!#REF!</definedName>
    <definedName name="_________PVC9006" localSheetId="8">[199]附表2!#REF!</definedName>
    <definedName name="_________PVC9008" localSheetId="8">[199]附表2!#REF!</definedName>
    <definedName name="__PE20" localSheetId="9">[153]附表2!#REF!</definedName>
    <definedName name="__PE40" localSheetId="9">[153]附表2!#REF!</definedName>
    <definedName name="__PVC11008" localSheetId="9">[153]附表2!#REF!</definedName>
    <definedName name="__PVC16008" localSheetId="9">[153]附表2!#REF!</definedName>
    <definedName name="__PVC20008" localSheetId="9">[153]附表2!#REF!</definedName>
    <definedName name="__PVC25008" localSheetId="9">[153]附表2!#REF!</definedName>
    <definedName name="__PVC31508" localSheetId="9">[153]附表2!#REF!</definedName>
    <definedName name="__PVC9006" localSheetId="9">[153]附表2!#REF!</definedName>
    <definedName name="__PVC9008" localSheetId="9">[153]附表2!#REF!</definedName>
    <definedName name="_1_125涵洞" localSheetId="9">#REF!</definedName>
    <definedName name="_120度弯头φ120" localSheetId="9">[154]附表2材料价格表!#REF!</definedName>
    <definedName name="_120度弯头φ140" localSheetId="9">[154]附表2材料价格表!#REF!</definedName>
    <definedName name="_120度弯头φ160" localSheetId="9">[154]附表2材料价格表!#REF!</definedName>
    <definedName name="_1单元" localSheetId="9">#REF!</definedName>
    <definedName name="_2_分水闸" localSheetId="9">#REF!</definedName>
    <definedName name="_2_涵洞" localSheetId="9">#REF!</definedName>
    <definedName name="_2m3装载机" localSheetId="9">[154]附表3机械台班!#REF!</definedName>
    <definedName name="_2单元" localSheetId="9">#REF!</definedName>
    <definedName name="_3_涵洞" localSheetId="9">#REF!</definedName>
    <definedName name="_32.5水泥" localSheetId="9">[154]附表2材料价格表!#REF!</definedName>
    <definedName name="_Fill" localSheetId="9" hidden="1">[13]eqpmad2!#REF!</definedName>
    <definedName name="_PE20" localSheetId="9">[155]附表2!#REF!</definedName>
    <definedName name="_PE40" localSheetId="9">[155]附表2!#REF!</definedName>
    <definedName name="_PVC11008" localSheetId="9">[155]附表2!#REF!</definedName>
    <definedName name="_PVC16008" localSheetId="9">[155]附表2!#REF!</definedName>
    <definedName name="_PVC20008" localSheetId="9">[155]附表2!#REF!</definedName>
    <definedName name="_PVC25008" localSheetId="9">[155]附表2!#REF!</definedName>
    <definedName name="_PVC31508" localSheetId="9">[155]附表2!#REF!</definedName>
    <definedName name="_PVC9006" localSheetId="9">[155]附表2!#REF!</definedName>
    <definedName name="_PVC9008" localSheetId="9">[155]附表2!#REF!</definedName>
    <definedName name="￠160PVC管_0.6pa" localSheetId="9">[154]附表2材料价格表!#REF!</definedName>
    <definedName name="￠180PVC管_0.6pa" localSheetId="9">[154]附表2材料价格表!#REF!</definedName>
    <definedName name="￠90PVC管_0.6pa" localSheetId="9">[154]附表2材料价格表!#REF!</definedName>
    <definedName name="aa" localSheetId="9">#REF!</definedName>
    <definedName name="aiu_bottom" localSheetId="9">'[16]Financ. Overview'!#REF!</definedName>
    <definedName name="Database" localSheetId="9" hidden="1">#REF!</definedName>
    <definedName name="dj" localSheetId="9">'[156]5'!$F$1</definedName>
    <definedName name="FRC" localSheetId="9">[31]Main!$C$9</definedName>
    <definedName name="hj" localSheetId="9">[157]机电设备!hj</definedName>
    <definedName name="hostfee" localSheetId="9">'[16]Financ. Overview'!$H$12</definedName>
    <definedName name="hraiu_bottom" localSheetId="9">'[16]Financ. Overview'!#REF!</definedName>
    <definedName name="hvac" localSheetId="9">'[16]Financ. Overview'!#REF!</definedName>
    <definedName name="IS80_50_250" localSheetId="9">[154]附表2材料价格表!#REF!</definedName>
    <definedName name="kl" localSheetId="9">#REF!</definedName>
    <definedName name="LCountry" localSheetId="9">[158]数据字典!$Q$2:$Q$246</definedName>
    <definedName name="LGender" localSheetId="9">[159]数据字典!$L$2:$L$3</definedName>
    <definedName name="LPZone" localSheetId="9">[158]数据字典!$L$12:$L$42</definedName>
    <definedName name="M10浆砌砖基础" localSheetId="9">[161]附表4直接工程费单价表!#REF!</definedName>
    <definedName name="Module.Prix_SMC" localSheetId="9">[213]材料预算价格分析表!Module.Prix_SMC</definedName>
    <definedName name="OS" localSheetId="9">[160]Open!#REF!</definedName>
    <definedName name="pr_toolbox" localSheetId="9">[16]Toolbox!$A$3:$I$80</definedName>
    <definedName name="_xlnm.Print_Titles" localSheetId="9">#REF!</definedName>
    <definedName name="Print_titles1" localSheetId="9">[163]定额!$A$1:$IV$3</definedName>
    <definedName name="Prix_SMC" localSheetId="9">[213]材料预算价格分析表!Prix_SMC</definedName>
    <definedName name="PVC变径短管1.5寸" localSheetId="9">[154]附表2材料价格表!#REF!</definedName>
    <definedName name="PVC堵头φ40" localSheetId="9">[154]附表2材料价格表!#REF!</definedName>
    <definedName name="PVC活节φ1.5寸" localSheetId="9">[154]附表2材料价格表!#REF!</definedName>
    <definedName name="PVC连丝1.5寸" localSheetId="9">[154]附表2材料价格表!#REF!</definedName>
    <definedName name="PVC球阀1.5寸" localSheetId="9">[154]附表2材料价格表!#REF!</definedName>
    <definedName name="PVC三通φ16×16×16" localSheetId="9">[154]附表2材料价格表!#REF!</definedName>
    <definedName name="PVC三通φ40×1.5×40" localSheetId="9">[154]附表2材料价格表!#REF!</definedName>
    <definedName name="PVC塑管φ40" localSheetId="9">[154]附表2材料价格表!#REF!</definedName>
    <definedName name="PVC直通φ16" localSheetId="9">[154]附表2材料价格表!#REF!</definedName>
    <definedName name="q" localSheetId="9">#REF!</definedName>
    <definedName name="QJ30_240_12_200" localSheetId="9">[154]附表2材料价格表!#REF!</definedName>
    <definedName name="QJ50_120_12_250" localSheetId="9">[154]附表2材料价格表!#REF!</definedName>
    <definedName name="qw" localSheetId="9">[164]定额!$A$1:$IV$3</definedName>
    <definedName name="s_c_list" localSheetId="9">[165]Toolbox!$A$7:$H$969</definedName>
    <definedName name="SCG" localSheetId="9">'[162]G.1R-Shou COP Gf'!#REF!</definedName>
    <definedName name="sdlfee" localSheetId="9">'[16]Financ. Overview'!$H$13</definedName>
    <definedName name="solar_ratio" localSheetId="9">'[166]POWER ASSUMPTIONS'!$H$7</definedName>
    <definedName name="ss7fee" localSheetId="9">'[16]Financ. Overview'!$H$18</definedName>
    <definedName name="subsfee" localSheetId="9">'[16]Financ. Overview'!$H$14</definedName>
    <definedName name="text" localSheetId="9">#REF!</definedName>
    <definedName name="toolbox" localSheetId="9">[59]Toolbox!$C$5:$T$1578</definedName>
    <definedName name="UPVC管道Φ100" localSheetId="9">[161]附表2材料价格计算表!#REF!</definedName>
    <definedName name="UPVC管道Φ50" localSheetId="9">[161]附表2材料价格计算表!#REF!</definedName>
    <definedName name="UT线夹_NUT_2" localSheetId="9">[154]附表2材料价格表!#REF!</definedName>
    <definedName name="UT线夹NUT_2" localSheetId="9">[154]附表2材料价格表!#REF!</definedName>
    <definedName name="UT型线夹NUT_1" localSheetId="9">[154]附表2材料价格表!#REF!</definedName>
    <definedName name="UT型线夹NUT2" localSheetId="9">[161]附表2材料价格计算表!#REF!</definedName>
    <definedName name="U型抱箍U16_200" localSheetId="9">[154]附表2材料价格表!#REF!</definedName>
    <definedName name="U型挂环U_16" localSheetId="9">[154]附表2材料价格表!#REF!</definedName>
    <definedName name="U型挂环U_7" localSheetId="9">[154]附表2材料价格表!#REF!</definedName>
    <definedName name="V5.1Fee" localSheetId="9">'[16]Financ. Overview'!$H$15</definedName>
    <definedName name="w" localSheetId="9">#REF!</definedName>
    <definedName name="we" localSheetId="9">[164]材料表!$E$1:$E$65536,[164]材料表!$J$1:$L$65536</definedName>
    <definedName name="x" localSheetId="9">#REF!</definedName>
    <definedName name="z" localSheetId="9">#REF!</definedName>
    <definedName name="Z_D416CCE0_90DA_11D2_8B33_444553540000_.wvu.Cols" localSheetId="9">[163]材料表!$E$1:$E$65536,[163]材料表!$J$1:$L$65536</definedName>
    <definedName name="Z_D416CCE0_90DA_11D2_8B33_444553540000_.wvu.PrintTitles" localSheetId="9">#REF!</definedName>
    <definedName name="Z_E7D01C20_B8FC_11D1_9E4F_B5D6E120E308_.wvu.Cols" localSheetId="9">[163]材料表!$E$1:$E$65536,[163]材料表!$J$1:$L$65536</definedName>
    <definedName name="Z_E7D01C20_B8FC_11D1_9E4F_B5D6E120E308_.wvu.PrintTitles" localSheetId="9">#REF!</definedName>
    <definedName name="Z32_Cost_red" localSheetId="9">'[16]Financ. Overview'!#REF!</definedName>
    <definedName name="φ10PVC管" localSheetId="9">[154]附表2材料价格表!#REF!</definedName>
    <definedName name="φ225沉淀管" localSheetId="9">[154]附表2材料价格表!#REF!</definedName>
    <definedName name="φ225滤水管" localSheetId="9">[154]附表2材料价格表!#REF!</definedName>
    <definedName name="φ310铸铁管" localSheetId="9">[154]附表2材料价格表!#REF!</definedName>
    <definedName name="φ350铸铁管" localSheetId="9">[154]附表2材料价格表!#REF!</definedName>
    <definedName name="安全阀Dg120" localSheetId="9">[154]附表2材料价格表!#REF!</definedName>
    <definedName name="安全阀Dg90" localSheetId="9">[154]附表2材料价格表!#REF!</definedName>
    <definedName name="安装" localSheetId="9">#REF!</definedName>
    <definedName name="安装单价" localSheetId="9">#REF!</definedName>
    <definedName name="安装工程机械系数" localSheetId="9">#REF!</definedName>
    <definedName name="安装工程量" localSheetId="9">#REF!</definedName>
    <definedName name="按" localSheetId="9">#REF!</definedName>
    <definedName name="柏树" localSheetId="9">[154]附表2材料价格表!#REF!</definedName>
    <definedName name="板枋材" localSheetId="9">#REF!</definedName>
    <definedName name="板枋材kg" localSheetId="9">[167]次要材料预算价格!#REF!</definedName>
    <definedName name="板枋材m3" localSheetId="9">[167]次要材料预算价格!#REF!</definedName>
    <definedName name="备" localSheetId="9">'[62]#REF'!$I$2</definedName>
    <definedName name="苯板" localSheetId="9">[161]附表2材料价格计算表!#REF!</definedName>
    <definedName name="避雷器HY5WS_17_50" localSheetId="9">[154]附表2材料价格表!#REF!</definedName>
    <definedName name="编" localSheetId="9">'[62]#REF'!$A$2</definedName>
    <definedName name="扁钢" localSheetId="9">[154]附表2材料价格表!#REF!</definedName>
    <definedName name="变电构架安装__离心杆构架独" localSheetId="9">[168]定额!#REF!</definedName>
    <definedName name="变电构架安装离心杆构架" localSheetId="9">[169]定额!#REF!</definedName>
    <definedName name="变径11090" localSheetId="9">[153]附表2!#REF!</definedName>
    <definedName name="变径160110" localSheetId="9">[153]附表2!#REF!</definedName>
    <definedName name="变径16090" localSheetId="9">[153]附表2!#REF!</definedName>
    <definedName name="变径200125" localSheetId="9">[153]附表2!#REF!</definedName>
    <definedName name="变径200160" localSheetId="9">[153]附表2!#REF!</definedName>
    <definedName name="变径250125" localSheetId="9">[153]附表2!#REF!</definedName>
    <definedName name="变径250200" localSheetId="9">[153]附表2!#REF!</definedName>
    <definedName name="变径250300" localSheetId="9">[153]附表2!#REF!</definedName>
    <definedName name="变径315200" localSheetId="9">[153]附表2!#REF!</definedName>
    <definedName name="变径315250" localSheetId="9">[153]附表2!#REF!</definedName>
    <definedName name="变径三通Dg180×90" localSheetId="9">[154]附表2材料价格表!#REF!</definedName>
    <definedName name="变径三通φ110×80×90" localSheetId="9">[154]附表2材料价格表!#REF!</definedName>
    <definedName name="变径三通φ125×80×110" localSheetId="9">[154]附表2材料价格表!#REF!</definedName>
    <definedName name="变径三通φ160×80×110" localSheetId="9">[154]附表2材料价格表!#REF!</definedName>
    <definedName name="变径三通φ160×80×125" localSheetId="9">[154]附表2材料价格表!#REF!</definedName>
    <definedName name="变径三通φ200×80×160" localSheetId="9">[154]附表2材料价格表!#REF!</definedName>
    <definedName name="变频机组8.5kvA" localSheetId="9">[154]附表3机械台班!#REF!</definedName>
    <definedName name="变频振捣器4.5kw" localSheetId="9">#REF!</definedName>
    <definedName name="变压器160KVA" localSheetId="9">[154]附表2材料价格表!#REF!</definedName>
    <definedName name="变压器80KVA" localSheetId="9">[154]附表2材料价格表!#REF!</definedName>
    <definedName name="变压器油" localSheetId="9">[161]附表2材料价格计算表!#REF!</definedName>
    <definedName name="标准砖" localSheetId="9">[167]次要材料预算价格!#REF!</definedName>
    <definedName name="并沟线夹_BJ_2" localSheetId="9">[154]附表2材料价格表!#REF!</definedName>
    <definedName name="并沟线夹1635mm" localSheetId="9">[161]附表2材料价格计算表!#REF!</definedName>
    <definedName name="并沟线夹BJ_2" localSheetId="9">[154]附表2材料价格表!#REF!</definedName>
    <definedName name="并沟线夹JB2" localSheetId="9">[161]附表2材料价格计算表!#REF!</definedName>
    <definedName name="玻璃" localSheetId="9">[154]附表2材料价格表!#REF!</definedName>
    <definedName name="补充" localSheetId="9">[153]附表4单价!#REF!</definedName>
    <definedName name="不可预见费" localSheetId="9">#REF!</definedName>
    <definedName name="不可预见费南" localSheetId="9">'[170]表6不可预见费南 '!$H$10</definedName>
    <definedName name="材" localSheetId="9">[154]附表5直接工程费单价表!#REF!</definedName>
    <definedName name="材10001" localSheetId="9">[154]附表5直接工程费单价表!#REF!</definedName>
    <definedName name="材100017" localSheetId="9">[161]附表4直接工程费单价表!#REF!</definedName>
    <definedName name="材10002" localSheetId="9">[154]附表5直接工程费单价表!#REF!</definedName>
    <definedName name="材100023" localSheetId="9">[161]附表4直接工程费单价表!#REF!</definedName>
    <definedName name="材10003" localSheetId="9">[154]附表5直接工程费单价表!#REF!</definedName>
    <definedName name="材100049" localSheetId="9">[161]附表4直接工程费单价表!#REF!</definedName>
    <definedName name="材10008" localSheetId="9">[154]附表5直接工程费单价表!#REF!</definedName>
    <definedName name="材10019" localSheetId="9">[154]附表5直接工程费单价表!#REF!</definedName>
    <definedName name="材10020" localSheetId="9">[154]附表5直接工程费单价表!#REF!</definedName>
    <definedName name="材10021" localSheetId="9">[154]附表5直接工程费单价表!#REF!</definedName>
    <definedName name="材10045" localSheetId="9">[154]附表5直接工程费单价表!#REF!</definedName>
    <definedName name="材10047" localSheetId="9">[154]附表5直接工程费单价表!#REF!</definedName>
    <definedName name="材10049" localSheetId="9">[154]附表5直接工程费单价表!#REF!</definedName>
    <definedName name="材10052" localSheetId="9">[154]附表5直接工程费单价表!#REF!</definedName>
    <definedName name="材10054" localSheetId="9">[154]附表5直接工程费单价表!#REF!</definedName>
    <definedName name="材10056" localSheetId="9">[154]附表5直接工程费单价表!#REF!</definedName>
    <definedName name="材10066" localSheetId="9">[154]附表5直接工程费单价表!#REF!</definedName>
    <definedName name="材10071" localSheetId="9">[154]附表5直接工程费单价表!#REF!</definedName>
    <definedName name="材10075" localSheetId="9">[154]附表5直接工程费单价表!#REF!</definedName>
    <definedName name="材10090" localSheetId="9">[154]附表5直接工程费单价表!#REF!</definedName>
    <definedName name="材10095" localSheetId="9">[154]附表5直接工程费单价表!#REF!</definedName>
    <definedName name="材10114" localSheetId="9">[154]附表5直接工程费单价表!#REF!</definedName>
    <definedName name="材10116" localSheetId="9">[154]附表5直接工程费单价表!#REF!</definedName>
    <definedName name="材10118" localSheetId="9">[154]附表5直接工程费单价表!#REF!</definedName>
    <definedName name="材10204" localSheetId="9">[154]附表5直接工程费单价表!#REF!</definedName>
    <definedName name="材10269" localSheetId="9">[154]附表5直接工程费单价表!#REF!</definedName>
    <definedName name="材10270" localSheetId="9">[154]附表5直接工程费单价表!#REF!</definedName>
    <definedName name="材10271" localSheetId="9">[154]附表5直接工程费单价表!#REF!</definedName>
    <definedName name="材10272" localSheetId="9">[154]附表5直接工程费单价表!#REF!</definedName>
    <definedName name="材10273" localSheetId="9">[154]附表5直接工程费单价表!#REF!</definedName>
    <definedName name="材10275" localSheetId="9">[154]附表5直接工程费单价表!#REF!</definedName>
    <definedName name="材10277" localSheetId="9">[154]附表5直接工程费单价表!#REF!</definedName>
    <definedName name="材10278" localSheetId="9">[154]附表5直接工程费单价表!#REF!</definedName>
    <definedName name="材10279" localSheetId="9">[154]附表5直接工程费单价表!#REF!</definedName>
    <definedName name="材10279A" localSheetId="9">[154]附表5直接工程费单价表!#REF!</definedName>
    <definedName name="材10280" localSheetId="9">[154]附表5直接工程费单价表!#REF!</definedName>
    <definedName name="材10280A" localSheetId="9">[154]附表5直接工程费单价表!#REF!</definedName>
    <definedName name="材10281" localSheetId="9">[154]附表5直接工程费单价表!#REF!</definedName>
    <definedName name="材10281A" localSheetId="9">[154]附表5直接工程费单价表!#REF!</definedName>
    <definedName name="材10282" localSheetId="9">[154]附表5直接工程费单价表!#REF!</definedName>
    <definedName name="材10282A" localSheetId="9">[154]附表5直接工程费单价表!#REF!</definedName>
    <definedName name="材10283" localSheetId="9">[154]附表5直接工程费单价表!#REF!</definedName>
    <definedName name="材10283A" localSheetId="9">[154]附表5直接工程费单价表!#REF!</definedName>
    <definedName name="材10309" localSheetId="9">[154]附表5直接工程费单价表!#REF!</definedName>
    <definedName name="材10310" localSheetId="9">[154]附表5直接工程费单价表!#REF!</definedName>
    <definedName name="材10311" localSheetId="9">[154]附表5直接工程费单价表!#REF!</definedName>
    <definedName name="材10339" localSheetId="9">[154]附表5直接工程费单价表!#REF!</definedName>
    <definedName name="材10345" localSheetId="9">[154]附表5直接工程费单价表!#REF!</definedName>
    <definedName name="材10360" localSheetId="9">[154]附表5直接工程费单价表!#REF!</definedName>
    <definedName name="材10361" localSheetId="9">[154]附表5直接工程费单价表!#REF!</definedName>
    <definedName name="材10365" localSheetId="9">[154]附表5直接工程费单价表!#REF!</definedName>
    <definedName name="材10366" localSheetId="9">[154]附表5直接工程费单价表!#REF!</definedName>
    <definedName name="材10367" localSheetId="9">[154]附表5直接工程费单价表!#REF!</definedName>
    <definedName name="材10464" localSheetId="9">[154]附表5直接工程费单价表!#REF!</definedName>
    <definedName name="材10465" localSheetId="9">[154]附表5直接工程费单价表!#REF!</definedName>
    <definedName name="材10469" localSheetId="9">[154]附表5直接工程费单价表!#REF!</definedName>
    <definedName name="材10469A" localSheetId="9">[154]附表5直接工程费单价表!#REF!</definedName>
    <definedName name="材10473" localSheetId="9">[154]附表5直接工程费单价表!#REF!</definedName>
    <definedName name="材10474" localSheetId="9">[154]附表5直接工程费单价表!#REF!</definedName>
    <definedName name="材12001" localSheetId="9">[154]附表5直接工程费单价表!#REF!</definedName>
    <definedName name="材12074" localSheetId="9">[154]附表5直接工程费单价表!#REF!</definedName>
    <definedName name="材12075" localSheetId="9">[154]附表5直接工程费单价表!#REF!</definedName>
    <definedName name="材2_19_3" localSheetId="9">[154]附表5直接工程费单价表!#REF!</definedName>
    <definedName name="材2_19_4" localSheetId="9">[154]附表5直接工程费单价表!#REF!</definedName>
    <definedName name="材20484" localSheetId="9">[154]附表5直接工程费单价表!#REF!</definedName>
    <definedName name="材20485" localSheetId="9">[154]附表5直接工程费单价表!#REF!</definedName>
    <definedName name="材20488" localSheetId="9">[154]附表5直接工程费单价表!#REF!</definedName>
    <definedName name="材30001" localSheetId="9">[154]附表5直接工程费单价表!#REF!</definedName>
    <definedName name="材30002" localSheetId="9">[154]附表5直接工程费单价表!#REF!</definedName>
    <definedName name="材30016" localSheetId="9">[154]附表5直接工程费单价表!#REF!</definedName>
    <definedName name="材30019" localSheetId="9">[154]附表5直接工程费单价表!#REF!</definedName>
    <definedName name="材30020" localSheetId="9">[154]附表5直接工程费单价表!#REF!</definedName>
    <definedName name="材30021" localSheetId="9">[154]附表5直接工程费单价表!#REF!</definedName>
    <definedName name="材30022" localSheetId="9">[154]附表5直接工程费单价表!#REF!</definedName>
    <definedName name="材30023" localSheetId="9">[154]附表5直接工程费单价表!#REF!</definedName>
    <definedName name="材30024" localSheetId="9">[154]附表5直接工程费单价表!#REF!</definedName>
    <definedName name="材30025" localSheetId="9">[154]附表5直接工程费单价表!#REF!</definedName>
    <definedName name="材30027" localSheetId="9">[154]附表5直接工程费单价表!#REF!</definedName>
    <definedName name="材30028" localSheetId="9">[154]附表5直接工程费单价表!#REF!</definedName>
    <definedName name="材30038" localSheetId="9">[154]附表5直接工程费单价表!#REF!</definedName>
    <definedName name="材30048" localSheetId="9">[154]附表5直接工程费单价表!#REF!</definedName>
    <definedName name="材30048、30051" localSheetId="9">[154]附表5直接工程费单价表!#REF!</definedName>
    <definedName name="材30049" localSheetId="9">[154]附表5直接工程费单价表!#REF!</definedName>
    <definedName name="材30064" localSheetId="9">[161]附表4直接工程费单价表!#REF!</definedName>
    <definedName name="材30067" localSheetId="9">[161]附表4直接工程费单价表!#REF!</definedName>
    <definedName name="材40004" localSheetId="9">[161]附表4直接工程费单价表!#REF!</definedName>
    <definedName name="材40006" localSheetId="9">[171]直接工程费!$F$192</definedName>
    <definedName name="材40006b" localSheetId="9">[161]附表4直接工程费单价表!#REF!</definedName>
    <definedName name="材40006细石" localSheetId="9">[161]附表4直接工程费单价表!#REF!</definedName>
    <definedName name="材40030" localSheetId="9">[161]附表4直接工程费单价表!#REF!</definedName>
    <definedName name="材40031" localSheetId="9">[154]附表5直接工程费单价表!#REF!</definedName>
    <definedName name="材4003115" localSheetId="9">[161]附表4直接工程费单价表!#REF!</definedName>
    <definedName name="材40041b" localSheetId="9">[161]附表4直接工程费单价表!#REF!</definedName>
    <definedName name="材40056" localSheetId="9">[161]附表4直接工程费单价表!#REF!</definedName>
    <definedName name="材40058" localSheetId="9">[154]附表5直接工程费单价表!#REF!</definedName>
    <definedName name="材40058A" localSheetId="9">[154]附表5直接工程费单价表!#REF!</definedName>
    <definedName name="材40061" localSheetId="9">[154]附表5直接工程费单价表!#REF!</definedName>
    <definedName name="材40062" localSheetId="9">[154]附表5直接工程费单价表!#REF!</definedName>
    <definedName name="材40063" localSheetId="9">[161]附表4直接工程费单价表!#REF!</definedName>
    <definedName name="材40064" localSheetId="9">[161]附表4直接工程费单价表!#REF!</definedName>
    <definedName name="材40067" localSheetId="9">[154]附表5直接工程费单价表!#REF!</definedName>
    <definedName name="材40067A" localSheetId="9">[154]附表5直接工程费单价表!#REF!</definedName>
    <definedName name="材40068" localSheetId="9">[154]附表5直接工程费单价表!#REF!</definedName>
    <definedName name="材40069" localSheetId="9">[154]附表5直接工程费单价表!#REF!</definedName>
    <definedName name="材40070" localSheetId="9">[154]附表5直接工程费单价表!#REF!</definedName>
    <definedName name="材40072" localSheetId="9">[154]附表5直接工程费单价表!#REF!</definedName>
    <definedName name="材40073" localSheetId="9">[161]附表4直接工程费单价表!#REF!</definedName>
    <definedName name="材40074" localSheetId="9">[154]附表5直接工程费单价表!#REF!</definedName>
    <definedName name="材40075" localSheetId="9">[154]附表5直接工程费单价表!#REF!</definedName>
    <definedName name="材40076" localSheetId="9">[154]附表5直接工程费单价表!#REF!</definedName>
    <definedName name="材4007620" localSheetId="9">[161]附表4直接工程费单价表!#REF!</definedName>
    <definedName name="材40077" localSheetId="9">[161]附表4直接工程费单价表!#REF!</definedName>
    <definedName name="材40079" localSheetId="9">[154]附表5直接工程费单价表!#REF!</definedName>
    <definedName name="材40090" localSheetId="9">[154]附表5直接工程费单价表!#REF!</definedName>
    <definedName name="材40096" localSheetId="9">[154]附表5直接工程费单价表!#REF!</definedName>
    <definedName name="材40101" localSheetId="9">[154]附表5直接工程费单价表!#REF!</definedName>
    <definedName name="材40101A" localSheetId="9">[154]附表5直接工程费单价表!#REF!</definedName>
    <definedName name="材40101B" localSheetId="9">[154]附表5直接工程费单价表!#REF!</definedName>
    <definedName name="材40109" localSheetId="9">[154]附表5直接工程费单价表!#REF!</definedName>
    <definedName name="材40110" localSheetId="9">[154]附表5直接工程费单价表!#REF!</definedName>
    <definedName name="材40111" localSheetId="9">[154]附表5直接工程费单价表!#REF!</definedName>
    <definedName name="材40112" localSheetId="9">[154]附表5直接工程费单价表!#REF!</definedName>
    <definedName name="材40113" localSheetId="9">[154]附表5直接工程费单价表!#REF!</definedName>
    <definedName name="材40114" localSheetId="9">[154]附表5直接工程费单价表!#REF!</definedName>
    <definedName name="材40115" localSheetId="9">[154]附表5直接工程费单价表!#REF!</definedName>
    <definedName name="材40116" localSheetId="9">[154]附表5直接工程费单价表!#REF!</definedName>
    <definedName name="材40117" localSheetId="9">[154]附表5直接工程费单价表!#REF!</definedName>
    <definedName name="材40118" localSheetId="9">[154]附表5直接工程费单价表!#REF!</definedName>
    <definedName name="材40120" localSheetId="9">[154]附表5直接工程费单价表!#REF!</definedName>
    <definedName name="材40124" localSheetId="9">[154]附表5直接工程费单价表!#REF!</definedName>
    <definedName name="材40125" localSheetId="9">[154]附表5直接工程费单价表!#REF!</definedName>
    <definedName name="材40133" localSheetId="9">[161]附表4直接工程费单价表!#REF!</definedName>
    <definedName name="材40134" localSheetId="9">[154]附表5直接工程费单价表!#REF!</definedName>
    <definedName name="材40143" localSheetId="9">[154]附表5直接工程费单价表!#REF!</definedName>
    <definedName name="材40203" localSheetId="9">[161]附表4直接工程费单价表!#REF!</definedName>
    <definedName name="材40210" localSheetId="9">[161]附表4直接工程费单价表!#REF!</definedName>
    <definedName name="材40214苯" localSheetId="9">[161]附表4直接工程费单价表!#REF!</definedName>
    <definedName name="材40224" localSheetId="9">[154]附表5直接工程费单价表!#REF!</definedName>
    <definedName name="材40260" localSheetId="9">[154]附表5直接工程费单价表!#REF!</definedName>
    <definedName name="材40263" localSheetId="9">[154]附表5直接工程费单价表!#REF!</definedName>
    <definedName name="材40271" localSheetId="9">[154]附表5直接工程费单价表!#REF!</definedName>
    <definedName name="材40286" localSheetId="9">[154]附表5直接工程费单价表!#REF!</definedName>
    <definedName name="材40287" localSheetId="9">[154]附表5直接工程费单价表!#REF!</definedName>
    <definedName name="材40288" localSheetId="9">[154]附表5直接工程费单价表!#REF!</definedName>
    <definedName name="材40289" localSheetId="9">[154]附表5直接工程费单价表!#REF!</definedName>
    <definedName name="材40289A" localSheetId="9">[154]附表5直接工程费单价表!#REF!</definedName>
    <definedName name="材40306" localSheetId="9">[154]附表5直接工程费单价表!#REF!</definedName>
    <definedName name="材40306A" localSheetId="9">[154]附表5直接工程费单价表!#REF!</definedName>
    <definedName name="材40306B" localSheetId="9">[154]附表5直接工程费单价表!#REF!</definedName>
    <definedName name="材50003" localSheetId="9">[154]附表5直接工程费单价表!#REF!</definedName>
    <definedName name="材50004" localSheetId="9">[154]附表5直接工程费单价表!#REF!</definedName>
    <definedName name="材50005" localSheetId="9">[154]附表5直接工程费单价表!#REF!</definedName>
    <definedName name="材50006" localSheetId="9">[154]附表5直接工程费单价表!#REF!</definedName>
    <definedName name="材50014" localSheetId="9">[172]附表4工程费单价表!#REF!</definedName>
    <definedName name="材50045" localSheetId="9">[154]附表5直接工程费单价表!#REF!</definedName>
    <definedName name="材50046" localSheetId="9">[154]附表5直接工程费单价表!#REF!</definedName>
    <definedName name="材50049" localSheetId="9">[154]附表5直接工程费单价表!#REF!</definedName>
    <definedName name="材50050" localSheetId="9">[154]附表5直接工程费单价表!#REF!</definedName>
    <definedName name="材50064" localSheetId="9">[161]附表4直接工程费单价表!#REF!</definedName>
    <definedName name="材50067" localSheetId="9">[161]附表4直接工程费单价表!#REF!</definedName>
    <definedName name="材50113" localSheetId="9">[172]附表4工程费单价表!#REF!</definedName>
    <definedName name="材70007" localSheetId="9">[161]附表4直接工程费单价表!#REF!</definedName>
    <definedName name="材70013" localSheetId="9">[161]附表4直接工程费单价表!#REF!</definedName>
    <definedName name="材70014" localSheetId="9">[161]附表4直接工程费单价表!#REF!</definedName>
    <definedName name="材70070" localSheetId="9">[161]附表4直接工程费单价表!#REF!</definedName>
    <definedName name="材70105" localSheetId="9">[161]附表4直接工程费单价表!#REF!</definedName>
    <definedName name="材70106" localSheetId="9">[161]附表4直接工程费单价表!#REF!</definedName>
    <definedName name="材70125" localSheetId="9">[161]附表4直接工程费单价表!#REF!</definedName>
    <definedName name="材70194" localSheetId="9">[154]附表5直接工程费单价表!#REF!</definedName>
    <definedName name="材70195" localSheetId="9">[154]附表5直接工程费单价表!#REF!</definedName>
    <definedName name="材70196" localSheetId="9">[154]附表5直接工程费单价表!#REF!</definedName>
    <definedName name="材80023加8002410" localSheetId="9">[161]附表4直接工程费单价表!#REF!</definedName>
    <definedName name="材80033" localSheetId="9">[161]附表4直接工程费单价表!#REF!</definedName>
    <definedName name="材80034" localSheetId="9">[161]附表4直接工程费单价表!#REF!</definedName>
    <definedName name="材90013" localSheetId="9">[161]附表4直接工程费单价表!#REF!</definedName>
    <definedName name="材90014" localSheetId="9">[154]附表5直接工程费单价表!#REF!</definedName>
    <definedName name="材90017" localSheetId="9">[154]附表5直接工程费单价表!#REF!</definedName>
    <definedName name="材90017A" localSheetId="9">[154]附表5直接工程费单价表!#REF!</definedName>
    <definedName name="材90085" localSheetId="9">[154]附表5直接工程费单价表!#REF!</definedName>
    <definedName name="材90086" localSheetId="9">[154]附表5直接工程费单价表!#REF!</definedName>
    <definedName name="材90087" localSheetId="9">[154]附表5直接工程费单价表!#REF!</definedName>
    <definedName name="材90087A" localSheetId="9">[154]附表5直接工程费单价表!#REF!</definedName>
    <definedName name="材90136" localSheetId="9">[154]附表5直接工程费单价表!#REF!</definedName>
    <definedName name="材90147" localSheetId="9">[154]附表5直接工程费单价表!#REF!</definedName>
    <definedName name="材90189" localSheetId="9">[154]附表5直接工程费单价表!#REF!</definedName>
    <definedName name="材补1" localSheetId="9">[154]附表5直接工程费单价表!#REF!</definedName>
    <definedName name="材补1A" localSheetId="9">[154]附表5直接工程费单价表!#REF!</definedName>
    <definedName name="材补2" localSheetId="9">[154]附表5直接工程费单价表!#REF!</definedName>
    <definedName name="材补3" localSheetId="9">[154]附表5直接工程费单价表!#REF!</definedName>
    <definedName name="材补4" localSheetId="9">[154]附表5直接工程费单价表!#REF!</definedName>
    <definedName name="材补5" localSheetId="9">[154]附表5直接工程费单价表!#REF!</definedName>
    <definedName name="材参60432" localSheetId="9">[154]附表5直接工程费单价表!#REF!</definedName>
    <definedName name="材建11_25换" localSheetId="9">[154]附表5直接工程费单价表!#REF!</definedName>
    <definedName name="材建4_10换" localSheetId="9">[154]附表5直接工程费单价表!#REF!</definedName>
    <definedName name="材井" localSheetId="9">#REF!</definedName>
    <definedName name="材料差价" localSheetId="9">'[173]#REF'!$C$2</definedName>
    <definedName name="槽钢" localSheetId="9">[161]附表2材料价格计算表!#REF!</definedName>
    <definedName name="插入式振捣器2.2kw" localSheetId="9">#REF!</definedName>
    <definedName name="插入式振动器1.1kw" localSheetId="9">[154]附表3机械台班!#REF!</definedName>
    <definedName name="插入式振动器1.5kw" localSheetId="9">[154]附表3机械台班!#REF!</definedName>
    <definedName name="插入式振动器2.2kw" localSheetId="9">[174]附表3机械!$K$56</definedName>
    <definedName name="插座φ33" localSheetId="9">[154]附表2材料价格表!#REF!</definedName>
    <definedName name="拆迁补偿费" localSheetId="9">#REF!</definedName>
    <definedName name="柴油" localSheetId="9">#REF!</definedName>
    <definedName name="铲运机2.75m3" localSheetId="9">[154]附表3机械台班!#REF!</definedName>
    <definedName name="承插式三通" localSheetId="9">[153]附表2!#REF!</definedName>
    <definedName name="冲击钻机CZ_22型" localSheetId="9">[154]附表3机械台班!#REF!</definedName>
    <definedName name="瓷横担_S210" localSheetId="9">[154]附表2材料价格表!#REF!</definedName>
    <definedName name="瓷横担S210" localSheetId="9">[154]附表2材料价格表!#REF!</definedName>
    <definedName name="瓷横担S210Z" localSheetId="9">[161]附表2材料价格计算表!#REF!</definedName>
    <definedName name="瓷瓶" localSheetId="9">[154]附表2材料价格表!#REF!</definedName>
    <definedName name="刺槐" localSheetId="9">[153]附表2!#REF!</definedName>
    <definedName name="粗砂" localSheetId="9">[154]附表2材料价格表!#REF!</definedName>
    <definedName name="单" localSheetId="9">'[62]#REF'!$E$2</definedName>
    <definedName name="单10245c" localSheetId="9">[172]附表4工程费单价表!#REF!</definedName>
    <definedName name="单承PVC塑管φ110×3.2×9000" localSheetId="9">[154]附表2材料价格表!#REF!</definedName>
    <definedName name="单承PVC塑管φ125×3.7×9000" localSheetId="9">[154]附表2材料价格表!#REF!</definedName>
    <definedName name="单承PVC塑管φ160×4.7×9000" localSheetId="9">[154]附表2材料价格表!#REF!</definedName>
    <definedName name="单承PVC塑管φ200×5.9×10000" localSheetId="9">[154]附表2材料价格表!#REF!</definedName>
    <definedName name="单承PVC塑管φ200×5.9×9000" localSheetId="9">[154]附表2材料价格表!#REF!</definedName>
    <definedName name="单承PVC塑管φ225×6.6×10000" localSheetId="9">[154]附表2材料价格表!#REF!</definedName>
    <definedName name="单承PVC塑管φ250×7.3×10000" localSheetId="9">[154]附表2材料价格表!#REF!</definedName>
    <definedName name="单承PVC塑管φ315×9.2×10000" localSheetId="9">[154]附表2材料价格表!#REF!</definedName>
    <definedName name="单承PVC塑管φ355×10.4×10000" localSheetId="9">[154]附表2材料价格表!#REF!</definedName>
    <definedName name="单承PVC塑管φ400×11.7×10000" localSheetId="9">[154]附表2材料价格表!#REF!</definedName>
    <definedName name="单承PVC塑管φ500×14.6×10000" localSheetId="9">[154]附表2材料价格表!#REF!</definedName>
    <definedName name="单承PVC塑管φ90×2.8×9000" localSheetId="9">[154]附表2材料价格表!#REF!</definedName>
    <definedName name="单斗挖掘机油动斗容0.5m3" localSheetId="9">[80]机械汇总!$K$6</definedName>
    <definedName name="单价" localSheetId="9">[154]附表5直接工程费单价表!#REF!</definedName>
    <definedName name="单盘插头" localSheetId="9">[154]附表2材料价格表!#REF!</definedName>
    <definedName name="单盘插头110" localSheetId="9">[154]附表2材料价格表!#REF!</definedName>
    <definedName name="单盘插头φ160" localSheetId="9">[154]附表2材料价格表!#REF!</definedName>
    <definedName name="单盘插头φ200" localSheetId="9">[154]附表2材料价格表!#REF!</definedName>
    <definedName name="单盘插头φ225" localSheetId="9">[154]附表2材料价格表!#REF!</definedName>
    <definedName name="单盘插头φ250" localSheetId="9">[154]附表2材料价格表!#REF!</definedName>
    <definedName name="单盘插头φ315" localSheetId="9">[154]附表2材料价格表!#REF!</definedName>
    <definedName name="单盘插头φ355" localSheetId="9">[154]附表2材料价格表!#REF!</definedName>
    <definedName name="单盘插头φ400" localSheetId="9">[154]附表2材料价格表!#REF!</definedName>
    <definedName name="单盘插头φ500" localSheetId="9">[154]附表2材料价格表!#REF!</definedName>
    <definedName name="单盘铝承头φ76" localSheetId="9">[154]附表2材料价格表!#REF!</definedName>
    <definedName name="单盘三通φ110×80×110" localSheetId="9">[154]附表2材料价格表!#REF!</definedName>
    <definedName name="单盘三通φ125×80×125" localSheetId="9">[154]附表2材料价格表!#REF!</definedName>
    <definedName name="单盘三通φ160×80×160" localSheetId="9">[154]附表2材料价格表!#REF!</definedName>
    <definedName name="单盘三通φ200×80×200" localSheetId="9">[154]附表2材料价格表!#REF!</definedName>
    <definedName name="单位" localSheetId="9">'[62]#REF'!$C$2</definedName>
    <definedName name="挡浸沟涵洞" localSheetId="9">#REF!</definedName>
    <definedName name="导火线" localSheetId="9">#REF!</definedName>
    <definedName name="导线" localSheetId="9">[154]附表2材料价格表!#REF!</definedName>
    <definedName name="导线_BLX_16" localSheetId="9">[154]附表2材料价格表!#REF!</definedName>
    <definedName name="导线_LGJ" localSheetId="9">[154]附表2材料价格表!#REF!</definedName>
    <definedName name="导线BLGJ" localSheetId="9">[161]附表2材料价格计算表!#REF!</definedName>
    <definedName name="导线BLX_16" localSheetId="9">[154]附表2材料价格表!#REF!</definedName>
    <definedName name="导线BLX16" localSheetId="9">[161]附表2材料价格计算表!#REF!</definedName>
    <definedName name="导线L_G_J" localSheetId="9">[154]附表2材料价格表!#REF!</definedName>
    <definedName name="导线LGJ" localSheetId="9">[154]附表2材料价格表!#REF!</definedName>
    <definedName name="导线LGJ_1" localSheetId="9">[154]附表2材料价格表!#REF!</definedName>
    <definedName name="导线LGJ1" localSheetId="9">[154]附表2材料价格表!#REF!</definedName>
    <definedName name="道路工程" localSheetId="9">[175]表3工程施工费表!$I$10</definedName>
    <definedName name="道路影响投资" localSheetId="9">#REF!</definedName>
    <definedName name="的" localSheetId="9">#REF!</definedName>
    <definedName name="滴灌带φ16" localSheetId="9">[154]附表2材料价格表!#REF!</definedName>
    <definedName name="滴头" localSheetId="9">[153]附表2!#REF!</definedName>
    <definedName name="电" localSheetId="9">#REF!</definedName>
    <definedName name="电动葫芦3t" localSheetId="9">[154]附表3机械台班!#REF!</definedName>
    <definedName name="电杆" localSheetId="9">[154]附表2材料价格表!#REF!</definedName>
    <definedName name="电杆_10m" localSheetId="9">[154]附表2材料价格表!#REF!</definedName>
    <definedName name="电焊机25kvA" localSheetId="9">[154]附表3机械台班!#REF!</definedName>
    <definedName name="电焊机30KVA" localSheetId="9">[154]附表3机械台班!#REF!</definedName>
    <definedName name="电焊机交流30kVA" localSheetId="9">[174]附表3机械!$K$120</definedName>
    <definedName name="电焊条" localSheetId="9">#REF!</definedName>
    <definedName name="电焊条结32" localSheetId="9">[161]附表2材料价格计算表!#REF!</definedName>
    <definedName name="电气设备调差系数" localSheetId="9">#REF!</definedName>
    <definedName name="电石" localSheetId="9">#REF!</definedName>
    <definedName name="跌落开关RW11_200_10" localSheetId="9">[154]附表2材料价格表!#REF!</definedName>
    <definedName name="定额编号_1213" localSheetId="9">#REF!</definedName>
    <definedName name="定额编号_2154" localSheetId="9">#REF!</definedName>
    <definedName name="定额编号_3007" localSheetId="9">#REF!</definedName>
    <definedName name="定额编号_4067" localSheetId="9">#REF!</definedName>
    <definedName name="定额编号_4069" localSheetId="9">#REF!</definedName>
    <definedName name="定额编号_6091" localSheetId="9">#REF!</definedName>
    <definedName name="定额编号_6093" localSheetId="9">#REF!</definedName>
    <definedName name="定额编号_8020" localSheetId="9">#REF!</definedName>
    <definedName name="定额编号_8243" localSheetId="9">#REF!</definedName>
    <definedName name="堵头φ76" localSheetId="9">[154]附表2材料价格表!#REF!</definedName>
    <definedName name="镀锌扁钢" localSheetId="9">[161]附表2材料价格计算表!#REF!</definedName>
    <definedName name="镀锌钢管" localSheetId="9">#REF!</definedName>
    <definedName name="镀锌钢绞拉线GJ_50" localSheetId="9">[154]附表2材料价格表!#REF!</definedName>
    <definedName name="镀锌钢绞线GL35" localSheetId="9">[161]附表2材料价格计算表!#REF!</definedName>
    <definedName name="镀锌钢绞线GL50" localSheetId="9">[161]附表2材料价格计算表!#REF!</definedName>
    <definedName name="镀锌铁皮0.35" localSheetId="9">[167]次要材料预算价格!#REF!</definedName>
    <definedName name="镀锌铁丝8" localSheetId="9">[154]附表2材料价格表!#REF!</definedName>
    <definedName name="对焊机150型" localSheetId="9">[154]附表3机械台班!#REF!</definedName>
    <definedName name="对焊机电弧150kvA" localSheetId="9">#REF!</definedName>
    <definedName name="镦" localSheetId="9">[176]材料费!$D$6</definedName>
    <definedName name="多" localSheetId="9">[177]单价表!#REF!</definedName>
    <definedName name="多眼拉板_60_6_300" localSheetId="9">[154]附表2材料价格表!#REF!</definedName>
    <definedName name="多眼拉板_60_6_350" localSheetId="9">[154]附表2材料价格表!#REF!</definedName>
    <definedName name="二丁脂" localSheetId="9">[154]附表2材料价格表!#REF!</definedName>
    <definedName name="二合抱箍抱1_190" localSheetId="9">[154]附表2材料价格表!#REF!</definedName>
    <definedName name="二合抱箍抱2_200" localSheetId="9">[154]附表2材料价格表!#REF!</definedName>
    <definedName name="阀兰阀体" localSheetId="9">[154]附表2材料价格表!#REF!</definedName>
    <definedName name="阀兰阀体80" localSheetId="9">[154]附表2材料价格表!#REF!</definedName>
    <definedName name="阀门φ120" localSheetId="9">[154]附表2材料价格表!#REF!</definedName>
    <definedName name="阀门φ90" localSheetId="9">[154]附表2材料价格表!#REF!</definedName>
    <definedName name="法兰螺栓" localSheetId="9">[154]附表2材料价格表!#REF!</definedName>
    <definedName name="法兰盘φ120" localSheetId="9">[154]附表2材料价格表!#REF!</definedName>
    <definedName name="法兰盘φ90" localSheetId="9">[154]附表2材料价格表!#REF!</definedName>
    <definedName name="放空管φ150×1500" localSheetId="9">[154]附表2材料价格表!#REF!</definedName>
    <definedName name="风" localSheetId="9">#REF!</definedName>
    <definedName name="风砂水枪" localSheetId="9">[178]附表3机械台班计算表!$K$36</definedName>
    <definedName name="风水枪" localSheetId="9">[154]附表3机械台班!#REF!</definedName>
    <definedName name="封井泥球" localSheetId="9">[154]附表2材料价格表!#REF!</definedName>
    <definedName name="浮力塞" localSheetId="9">[154]附表2材料价格表!#REF!</definedName>
    <definedName name="复合土工膜" localSheetId="9">[154]附表2材料价格表!#REF!</definedName>
    <definedName name="杆顶帽_帽_11" localSheetId="9">[154]附表2材料价格表!#REF!</definedName>
    <definedName name="杆顶帽_帽_3" localSheetId="9">[154]附表2材料价格表!#REF!</definedName>
    <definedName name="钢板" localSheetId="9">[154]附表2材料价格表!#REF!</definedName>
    <definedName name="钢板4mm" localSheetId="9">[154]附表2材料价格表!#REF!</definedName>
    <definedName name="钢材" localSheetId="9">[154]附表2材料价格表!#REF!</definedName>
    <definedName name="钢垫板" localSheetId="9">[161]附表2材料价格计算表!#REF!</definedName>
    <definedName name="钢管" localSheetId="9">[154]附表2材料价格表!#REF!</definedName>
    <definedName name="钢管200" localSheetId="9">[153]附表2!#REF!</definedName>
    <definedName name="钢管250" localSheetId="9">[153]附表2!#REF!</definedName>
    <definedName name="钢管300" localSheetId="9">[153]附表2!#REF!</definedName>
    <definedName name="钢管φ120" localSheetId="9">[154]附表2材料价格表!#REF!</definedName>
    <definedName name="钢管φ140" localSheetId="9">[154]附表2材料价格表!#REF!</definedName>
    <definedName name="钢管φ160" localSheetId="9">[154]附表2材料价格表!#REF!</definedName>
    <definedName name="钢绞拉线GJ_35" localSheetId="9">[154]附表2材料价格表!#REF!</definedName>
    <definedName name="钢绞线GJ_25" localSheetId="9">[154]附表2材料价格表!#REF!</definedName>
    <definedName name="钢绞线GJ_35" localSheetId="9">[154]附表2材料价格表!#REF!</definedName>
    <definedName name="钢绞线GJ_35kg" localSheetId="9">[154]附表2材料价格表!#REF!</definedName>
    <definedName name="钢筋" localSheetId="9">#REF!</definedName>
    <definedName name="钢筋1" localSheetId="9">[179]材料调差!$L$5</definedName>
    <definedName name="钢筋10上" localSheetId="9">'[96]附表2-1主材'!$L$7</definedName>
    <definedName name="钢筋10下" localSheetId="9">'[96]附表2-1主材'!$L$6</definedName>
    <definedName name="钢筋10以内" localSheetId="9">[154]附表2材料价格表!#REF!</definedName>
    <definedName name="钢筋10以外" localSheetId="9">[154]附表2材料价格表!#REF!</definedName>
    <definedName name="钢筋φ12" localSheetId="9">[154]附表2材料价格表!#REF!</definedName>
    <definedName name="钢筋φ16" localSheetId="9">[154]附表2材料价格表!#REF!</definedName>
    <definedName name="钢筋φ8" localSheetId="9">[154]附表2材料价格表!#REF!</definedName>
    <definedName name="钢筋切断机10kw" localSheetId="9">#REF!</definedName>
    <definedName name="钢筋切断机20kw" localSheetId="9">[154]附表3机械台班!#REF!</definedName>
    <definedName name="钢筋调直机14kw" localSheetId="9">#REF!</definedName>
    <definedName name="钢筋砼C20管" localSheetId="9">[154]附表2材料价格表!#REF!</definedName>
    <definedName name="钢筋砼C20管_DN600" localSheetId="9">[154]附表2材料价格表!#REF!</definedName>
    <definedName name="钢筋砼管1000" localSheetId="9">[167]次要材料预算价格!#REF!</definedName>
    <definedName name="钢筋砼管300" localSheetId="9">[167]次要材料预算价格!#REF!</definedName>
    <definedName name="钢筋砼管400" localSheetId="9">[167]次要材料预算价格!#REF!</definedName>
    <definedName name="钢筋砼管500" localSheetId="9">[167]次要材料预算价格!#REF!</definedName>
    <definedName name="钢筋砼管600" localSheetId="9">[167]次要材料预算价格!#REF!</definedName>
    <definedName name="钢筋砼管800" localSheetId="9">[167]次要材料预算价格!#REF!</definedName>
    <definedName name="钢筋砼管C25Φ1000" localSheetId="9">[80]材价汇!$D$43</definedName>
    <definedName name="钢筋砼管C25Φ400" localSheetId="9">[80]材价汇!$D$40</definedName>
    <definedName name="钢筋砼管C25Φ500" localSheetId="9">[80]材价汇!$D$41</definedName>
    <definedName name="钢筋砼管C25Φ600" localSheetId="9">[161]附表2材料价格计算表!#REF!</definedName>
    <definedName name="钢筋砼管C25Φ800" localSheetId="9">[80]材价汇!$D$42</definedName>
    <definedName name="钢筋弯曲机40mm" localSheetId="9">#REF!</definedName>
    <definedName name="钢筋弯曲机φ6_40" localSheetId="9">[154]附表3机械台班!#REF!</definedName>
    <definedName name="钢模板" localSheetId="9">[154]附表2材料价格表!#REF!</definedName>
    <definedName name="钢芯铝绞线LGJ_50_8" localSheetId="9">[154]附表2材料价格表!#REF!</definedName>
    <definedName name="给水栓" localSheetId="9">[154]附表2材料价格表!#REF!</definedName>
    <definedName name="给水栓三通Dg160×60" localSheetId="9">[154]附表2材料价格表!#REF!</definedName>
    <definedName name="给水栓三通Dg180×60" localSheetId="9">[154]附表2材料价格表!#REF!</definedName>
    <definedName name="给水栓三通Dg90×60" localSheetId="9">[154]附表2材料价格表!#REF!</definedName>
    <definedName name="工" localSheetId="9">#REF!</definedName>
    <definedName name="工100002" localSheetId="9">[153]附表4单价!#REF!</definedName>
    <definedName name="工10015" localSheetId="9">[180]单价宁夏新!$F$1980</definedName>
    <definedName name="工10017" localSheetId="9">[161]附表4直接工程费单价表!#REF!</definedName>
    <definedName name="工10020" localSheetId="9">[153]附表4单价!$F$60</definedName>
    <definedName name="工10029" localSheetId="9">[153]附表4单价!$F$74</definedName>
    <definedName name="工10042" localSheetId="9">[161]附表4直接工程费单价表!#REF!</definedName>
    <definedName name="工10043" localSheetId="9">[161]附表4直接工程费单价表!#REF!</definedName>
    <definedName name="工10203" localSheetId="9">[161]附表4直接工程费单价表!$F$46</definedName>
    <definedName name="工10269" localSheetId="9">[161]附表4直接工程费单价表!#REF!</definedName>
    <definedName name="工10302" localSheetId="9">[153]附表4单价!$F$110</definedName>
    <definedName name="工10305" localSheetId="9">[153]附表4单价!$F$144</definedName>
    <definedName name="工10333" localSheetId="9">[161]附表4直接工程费单价表!#REF!</definedName>
    <definedName name="工10334" localSheetId="9">[153]附表4单价!$F$196</definedName>
    <definedName name="工10344" localSheetId="9">[161]附表4直接工程费单价表!#REF!</definedName>
    <definedName name="工10345" localSheetId="9">[161]附表4直接工程费单价表!$F$83</definedName>
    <definedName name="工10364" localSheetId="9">[153]附表4单价!$F$256</definedName>
    <definedName name="工30003" localSheetId="9">[161]附表4直接工程费单价表!$F$100</definedName>
    <definedName name="工30017" localSheetId="9">[153]附表4单价!$F$337</definedName>
    <definedName name="工30018" localSheetId="9">[153]附表4单价!$F$359</definedName>
    <definedName name="工30019" localSheetId="9">[153]附表4单价!$F$379</definedName>
    <definedName name="工30019b" localSheetId="9">[161]附表4直接工程费单价表!$F$172</definedName>
    <definedName name="工30020" localSheetId="9">[153]附表4单价!$F$400</definedName>
    <definedName name="工30021" localSheetId="9">[153]附表4单价!$F$421</definedName>
    <definedName name="工30021b" localSheetId="9">[161]附表4直接工程费单价表!$F$226</definedName>
    <definedName name="工30028" localSheetId="9">[161]附表4直接工程费单价表!#REF!</definedName>
    <definedName name="工30058" localSheetId="9">[153]附表4单价!$F$730</definedName>
    <definedName name="工30064" localSheetId="9">[161]附表4直接工程费单价表!#REF!</definedName>
    <definedName name="工30065" localSheetId="9">[153]附表4单价!$F$1560</definedName>
    <definedName name="工30066" localSheetId="9">[161]附表4直接工程费单价表!$F$278</definedName>
    <definedName name="工3007" localSheetId="9">[180]单价宁夏新!$F$1953</definedName>
    <definedName name="工40004" localSheetId="9">[161]附表4直接工程费单价表!#REF!</definedName>
    <definedName name="工40006" localSheetId="9">[161]附表4直接工程费单价表!$F$311</definedName>
    <definedName name="工40006b" localSheetId="9">[161]附表4直接工程费单价表!#REF!</definedName>
    <definedName name="工40006d" localSheetId="9">[153]附表4单价!$F$492</definedName>
    <definedName name="工40006细石" localSheetId="9">[161]附表4直接工程费单价表!#REF!</definedName>
    <definedName name="工40023b" localSheetId="9">[153]附表4单价!$F$607</definedName>
    <definedName name="工40030" localSheetId="9">[161]附表4直接工程费单价表!#REF!</definedName>
    <definedName name="工40031a" localSheetId="9">[161]附表4直接工程费单价表!#REF!</definedName>
    <definedName name="工40041a" localSheetId="9">[161]附表4直接工程费单价表!$F$408</definedName>
    <definedName name="工40041b" localSheetId="9">[161]附表4直接工程费单价表!#REF!</definedName>
    <definedName name="工40056" localSheetId="9">[153]附表4单价!#REF!</definedName>
    <definedName name="工40056a" localSheetId="9">[153]附表4单价!#REF!</definedName>
    <definedName name="工40066" localSheetId="9">[153]附表4单价!$F$776</definedName>
    <definedName name="工40073" localSheetId="9">[161]附表4直接工程费单价表!#REF!</definedName>
    <definedName name="工40076" localSheetId="9">[161]附表4直接工程费单价表!#REF!</definedName>
    <definedName name="工40076d" localSheetId="9">[153]附表4单价!$F$842</definedName>
    <definedName name="工40077" localSheetId="9">[161]附表4直接工程费单价表!#REF!</definedName>
    <definedName name="工40079" localSheetId="9">[161]附表4直接工程费单价表!$F$565</definedName>
    <definedName name="工40115" localSheetId="9">[153]附表4单价!$F$989</definedName>
    <definedName name="工40116" localSheetId="9">[161]附表4直接工程费单价表!$F$629</definedName>
    <definedName name="工40123" localSheetId="9">[153]附表4单价!$F$1012</definedName>
    <definedName name="工40124" localSheetId="9">[153]附表4单价!$F$1040</definedName>
    <definedName name="工40136" localSheetId="9">[153]附表4单价!$F$1096</definedName>
    <definedName name="工40139" localSheetId="9">[153]附表4单价!$F$1129</definedName>
    <definedName name="工40159" localSheetId="9">[153]附表4单价!$F$1174</definedName>
    <definedName name="工40172" localSheetId="9">[153]附表4单价!#REF!</definedName>
    <definedName name="工40190" localSheetId="9">[153]附表4单价!#REF!</definedName>
    <definedName name="工40192" localSheetId="9">[161]附表4直接工程费单价表!#REF!</definedName>
    <definedName name="工40199" localSheetId="9">[153]附表4单价!#REF!</definedName>
    <definedName name="工40203" localSheetId="9">[161]附表4直接工程费单价表!#REF!</definedName>
    <definedName name="工40211" localSheetId="9">[161]附表4直接工程费单价表!$F$853</definedName>
    <definedName name="工40211补" localSheetId="9">[153]附表4单价!#REF!</definedName>
    <definedName name="工40215" localSheetId="9">[161]附表4直接工程费单价表!$F$900</definedName>
    <definedName name="工40215补" localSheetId="9">[153]附表4单价!$F$1222</definedName>
    <definedName name="工40216" localSheetId="9">[153]附表4单价!$F$2138</definedName>
    <definedName name="工40218" localSheetId="9">[153]附表4单价!$F$2192</definedName>
    <definedName name="工40220" localSheetId="9">[153]附表4单价!$F$2220</definedName>
    <definedName name="工40226" localSheetId="9">[153]附表4单价!$F$2240</definedName>
    <definedName name="工40231" localSheetId="9">[153]附表4单价!$F$2291</definedName>
    <definedName name="工40233" localSheetId="9">[153]附表4单价!$F$2337</definedName>
    <definedName name="工40235" localSheetId="9">[153]附表4单价!$F$2360</definedName>
    <definedName name="工4124a" localSheetId="9">[180]单价宁夏新!$F$2201</definedName>
    <definedName name="工50060" localSheetId="9">[153]附表4单价!#REF!</definedName>
    <definedName name="工50061" localSheetId="9">[153]附表4单价!#REF!</definedName>
    <definedName name="工50062" localSheetId="9">[153]附表4单价!#REF!</definedName>
    <definedName name="工50064" localSheetId="9">[161]附表4直接工程费单价表!#REF!</definedName>
    <definedName name="工50067" localSheetId="9">[161]附表4直接工程费单价表!#REF!</definedName>
    <definedName name="工50079改1" localSheetId="9">[153]附表4单价!#REF!</definedName>
    <definedName name="工50079改2" localSheetId="9">[153]附表4单价!#REF!</definedName>
    <definedName name="工50079改3" localSheetId="9">[153]附表4单价!#REF!</definedName>
    <definedName name="工50079改4" localSheetId="9">[153]附表4单价!#REF!</definedName>
    <definedName name="工50079改5" localSheetId="9">[153]附表4单价!#REF!</definedName>
    <definedName name="工50079改6" localSheetId="9">[153]附表4单价!#REF!</definedName>
    <definedName name="工50079改7" localSheetId="9">[153]附表4单价!#REF!</definedName>
    <definedName name="工50079改8" localSheetId="9">[153]附表4单价!#REF!</definedName>
    <definedName name="工50079改9" localSheetId="9">[153]附表4单价!#REF!</definedName>
    <definedName name="工50110a" localSheetId="9">[153]附表4单价!#REF!</definedName>
    <definedName name="工50111" localSheetId="9">[153]附表4单价!$F$1367</definedName>
    <definedName name="工50112" localSheetId="9">[153]附表4单价!#REF!</definedName>
    <definedName name="工50113" localSheetId="9">[153]附表4单价!#REF!</definedName>
    <definedName name="工70001" localSheetId="9">[153]附表4单价!$F$1502</definedName>
    <definedName name="工70007" localSheetId="9">[161]附表4直接工程费单价表!#REF!</definedName>
    <definedName name="工70014" localSheetId="9">[161]附表4直接工程费单价表!#REF!</definedName>
    <definedName name="工70046" localSheetId="9">[153]附表4单价!#REF!</definedName>
    <definedName name="工70048" localSheetId="9">[153]附表4单价!#REF!</definedName>
    <definedName name="工80014a" localSheetId="9">[153]附表4单价!#REF!</definedName>
    <definedName name="工80014b" localSheetId="9">[153]附表4单价!#REF!</definedName>
    <definedName name="工80015" localSheetId="9">[153]附表4单价!$F$1282</definedName>
    <definedName name="工80015加80016" localSheetId="9">[161]附表4直接工程费单价表!#REF!</definedName>
    <definedName name="工80015加800166" localSheetId="9">[161]附表4直接工程费单价表!$F$1067</definedName>
    <definedName name="工80015减80016" localSheetId="9">[161]附表4直接工程费单价表!#REF!</definedName>
    <definedName name="工80023" localSheetId="9">[161]附表4直接工程费单价表!$F$1089</definedName>
    <definedName name="工80023a" localSheetId="9">[153]附表4单价!$F$1336</definedName>
    <definedName name="工90001" localSheetId="9">[153]附表4单价!#REF!</definedName>
    <definedName name="工90001a" localSheetId="9">[153]附表4单价!#REF!</definedName>
    <definedName name="工90001b" localSheetId="9">[161]附表4直接工程费单价表!$F$1125</definedName>
    <definedName name="工90001c" localSheetId="9">[161]附表4直接工程费单价表!#REF!</definedName>
    <definedName name="工90013" localSheetId="9">[161]附表4直接工程费单价表!#REF!</definedName>
    <definedName name="工9001c" localSheetId="9">[161]附表4直接工程费单价表!#REF!</definedName>
    <definedName name="工程监理费" localSheetId="9">#REF!</definedName>
    <definedName name="工程监理费南" localSheetId="9">'[170]表5-2工程监理费南'!$E$10</definedName>
    <definedName name="工程胶" localSheetId="9">[154]附表2材料价格表!#REF!</definedName>
    <definedName name="工程量清单" localSheetId="9">#REF!</definedName>
    <definedName name="工程量调整系数" localSheetId="9">#REF!</definedName>
    <definedName name="工程施工费" localSheetId="9">#REF!</definedName>
    <definedName name="工程施工费工" localSheetId="9">[80]表2预算汇总表!$H$338</definedName>
    <definedName name="工程施工费南" localSheetId="9">'[170]表3工程施工费南 '!$H$515</definedName>
    <definedName name="工土地平整" localSheetId="9">[161]表3工程施工费用!#REF!</definedName>
    <definedName name="沟槽石方开挖_______________工程" localSheetId="9">#REF!</definedName>
    <definedName name="关键" localSheetId="9">#REF!</definedName>
    <definedName name="管件" localSheetId="9">[154]附表2材料价格表!#REF!</definedName>
    <definedName name="管件φ120" localSheetId="9">[154]附表2材料价格表!#REF!</definedName>
    <definedName name="管件φ90" localSheetId="9">[154]附表2材料价格表!#REF!</definedName>
    <definedName name="灌排工程" localSheetId="9">#REF!</definedName>
    <definedName name="灌渠影响投资" localSheetId="9">#REF!</definedName>
    <definedName name="光轮压路机12_15t" localSheetId="9">[154]附表3机械台班!#REF!</definedName>
    <definedName name="光轮压路机6_8t" localSheetId="9">[154]附表3机械台班!#REF!</definedName>
    <definedName name="光轮压路机8_10t" localSheetId="9">[154]附表3机械台班!#REF!</definedName>
    <definedName name="国槐" localSheetId="9">[161]附表2材料价格计算表!#REF!</definedName>
    <definedName name="好" localSheetId="9">#REF!</definedName>
    <definedName name="好入" localSheetId="9">#REF!</definedName>
    <definedName name="合计" localSheetId="9">'[62]#REF'!$G$2</definedName>
    <definedName name="合金钻头" localSheetId="9">#REF!</definedName>
    <definedName name="合作杨" localSheetId="9">[80]材价汇!$D$48</definedName>
    <definedName name="黑龙沟涵洞_含60米渠道" localSheetId="9">#REF!</definedName>
    <definedName name="环氧树脂" localSheetId="9">[154]附表2材料价格表!#REF!</definedName>
    <definedName name="黄油" localSheetId="9">[154]附表2材料价格表!#REF!</definedName>
    <definedName name="灰浆搅拌机" localSheetId="9">[154]附表3机械台班!#REF!</definedName>
    <definedName name="恢复认得" localSheetId="9">#REF!,#REF!</definedName>
    <definedName name="汇率" localSheetId="9">#REF!</definedName>
    <definedName name="汇总" localSheetId="9">#REF!</definedName>
    <definedName name="汇总表" localSheetId="9">#REF!</definedName>
    <definedName name="混凝土拌制" localSheetId="9">[181]单位估价!#REF!</definedName>
    <definedName name="混凝土拌制1" localSheetId="9">[181]单位估价!#REF!</definedName>
    <definedName name="混凝土泵" localSheetId="9">[154]附表3机械台班!#REF!</definedName>
    <definedName name="混凝土垂直运输" localSheetId="9">[181]单位估价!#REF!</definedName>
    <definedName name="混凝土底盘" localSheetId="9">[154]附表2材料价格表!#REF!</definedName>
    <definedName name="混凝土底盘800×800×800" localSheetId="9">[154]附表2材料价格表!#REF!</definedName>
    <definedName name="混凝土底盘800800180" localSheetId="9">[161]附表2材料价格计算表!#REF!</definedName>
    <definedName name="混凝土拉盘LP6" localSheetId="9">[161]附表2材料价格计算表!#REF!</definedName>
    <definedName name="混凝土拉线盘LP8" localSheetId="9">[161]附表2材料价格计算表!#REF!</definedName>
    <definedName name="混凝土水平运输" localSheetId="9">[181]单位估价!#REF!</definedName>
    <definedName name="混凝土运输" localSheetId="9">[154]附表5直接工程费单价表!#REF!</definedName>
    <definedName name="混凝土柱" localSheetId="9">[154]附表2材料价格表!#REF!</definedName>
    <definedName name="机" localSheetId="9">[154]附表5直接工程费单价表!#REF!</definedName>
    <definedName name="机1_23_1" localSheetId="9">[154]附表5直接工程费单价表!#REF!</definedName>
    <definedName name="机100017" localSheetId="9">[161]附表4直接工程费单价表!#REF!</definedName>
    <definedName name="机100023" localSheetId="9">[161]附表4直接工程费单价表!#REF!</definedName>
    <definedName name="机100049" localSheetId="9">[161]附表4直接工程费单价表!#REF!</definedName>
    <definedName name="机10043" localSheetId="9">[161]附表4直接工程费单价表!#REF!</definedName>
    <definedName name="机10204" localSheetId="9">[154]附表5直接工程费单价表!#REF!</definedName>
    <definedName name="机10269" localSheetId="9">[154]附表5直接工程费单价表!#REF!</definedName>
    <definedName name="机10270" localSheetId="9">[154]附表5直接工程费单价表!#REF!</definedName>
    <definedName name="机10271" localSheetId="9">[154]附表5直接工程费单价表!#REF!</definedName>
    <definedName name="机10272" localSheetId="9">[154]附表5直接工程费单价表!#REF!</definedName>
    <definedName name="机10273" localSheetId="9">[154]附表5直接工程费单价表!#REF!</definedName>
    <definedName name="机10275" localSheetId="9">[154]附表5直接工程费单价表!#REF!</definedName>
    <definedName name="机10277" localSheetId="9">[154]附表5直接工程费单价表!#REF!</definedName>
    <definedName name="机10278" localSheetId="9">[154]附表5直接工程费单价表!#REF!</definedName>
    <definedName name="机10279" localSheetId="9">[154]附表5直接工程费单价表!#REF!</definedName>
    <definedName name="机10279A" localSheetId="9">[154]附表5直接工程费单价表!#REF!</definedName>
    <definedName name="机10280" localSheetId="9">[154]附表5直接工程费单价表!#REF!</definedName>
    <definedName name="机10280A" localSheetId="9">[154]附表5直接工程费单价表!#REF!</definedName>
    <definedName name="机10281" localSheetId="9">[154]附表5直接工程费单价表!#REF!</definedName>
    <definedName name="机10281A" localSheetId="9">[154]附表5直接工程费单价表!#REF!</definedName>
    <definedName name="机10282" localSheetId="9">[154]附表5直接工程费单价表!#REF!</definedName>
    <definedName name="机10282A" localSheetId="9">[154]附表5直接工程费单价表!#REF!</definedName>
    <definedName name="机10283" localSheetId="9">[154]附表5直接工程费单价表!#REF!</definedName>
    <definedName name="机10283A" localSheetId="9">[154]附表5直接工程费单价表!#REF!</definedName>
    <definedName name="机10305" localSheetId="9">[172]附表4工程费单价表!#REF!</definedName>
    <definedName name="机10306" localSheetId="9">[161]附表4直接工程费单价表!#REF!</definedName>
    <definedName name="机10309" localSheetId="9">[154]附表5直接工程费单价表!#REF!</definedName>
    <definedName name="机10310" localSheetId="9">[154]附表5直接工程费单价表!#REF!</definedName>
    <definedName name="机10311" localSheetId="9">[154]附表5直接工程费单价表!#REF!</definedName>
    <definedName name="机10315" localSheetId="9">[172]附表4工程费单价表!#REF!</definedName>
    <definedName name="机10332" localSheetId="9">0</definedName>
    <definedName name="机10333" localSheetId="9">[161]附表4直接工程费单价表!#REF!</definedName>
    <definedName name="机10334" localSheetId="9">[154]附表5直接工程费单价表!#REF!</definedName>
    <definedName name="机10339" localSheetId="9">[154]附表5直接工程费单价表!#REF!</definedName>
    <definedName name="机10344" localSheetId="9">[161]附表4直接工程费单价表!#REF!</definedName>
    <definedName name="机10345" localSheetId="9">[154]附表5直接工程费单价表!#REF!</definedName>
    <definedName name="机10360" localSheetId="9">[154]附表5直接工程费单价表!#REF!</definedName>
    <definedName name="机10361" localSheetId="9">[154]附表5直接工程费单价表!#REF!</definedName>
    <definedName name="机10365" localSheetId="9">[154]附表5直接工程费单价表!#REF!</definedName>
    <definedName name="机10366" localSheetId="9">[154]附表5直接工程费单价表!#REF!</definedName>
    <definedName name="机10367" localSheetId="9">[154]附表5直接工程费单价表!#REF!</definedName>
    <definedName name="机10465" localSheetId="9">[154]附表5直接工程费单价表!#REF!</definedName>
    <definedName name="机10469" localSheetId="9">[154]附表5直接工程费单价表!#REF!</definedName>
    <definedName name="机10469A" localSheetId="9">[154]附表5直接工程费单价表!#REF!</definedName>
    <definedName name="机10473" localSheetId="9">[154]附表5直接工程费单价表!#REF!</definedName>
    <definedName name="机10474" localSheetId="9">[154]附表5直接工程费单价表!#REF!</definedName>
    <definedName name="机12001" localSheetId="9">[154]附表5直接工程费单价表!#REF!</definedName>
    <definedName name="机12074" localSheetId="9">[154]附表5直接工程费单价表!#REF!</definedName>
    <definedName name="机12075" localSheetId="9">[154]附表5直接工程费单价表!#REF!</definedName>
    <definedName name="机2_19_3" localSheetId="9">[154]附表5直接工程费单价表!#REF!</definedName>
    <definedName name="机2_19_4" localSheetId="9">[154]附表5直接工程费单价表!#REF!</definedName>
    <definedName name="机20484" localSheetId="9">[154]附表5直接工程费单价表!#REF!</definedName>
    <definedName name="机20485" localSheetId="9">[154]附表5直接工程费单价表!#REF!</definedName>
    <definedName name="机20488" localSheetId="9">[154]附表5直接工程费单价表!#REF!</definedName>
    <definedName name="机30016" localSheetId="9">[154]附表5直接工程费单价表!#REF!</definedName>
    <definedName name="机30019" localSheetId="9">[154]附表5直接工程费单价表!#REF!</definedName>
    <definedName name="机30020" localSheetId="9">[154]附表5直接工程费单价表!#REF!</definedName>
    <definedName name="机30021" localSheetId="9">[154]附表5直接工程费单价表!#REF!</definedName>
    <definedName name="机30022" localSheetId="9">[154]附表5直接工程费单价表!#REF!</definedName>
    <definedName name="机30023" localSheetId="9">[154]附表5直接工程费单价表!#REF!</definedName>
    <definedName name="机30025" localSheetId="9">[154]附表5直接工程费单价表!#REF!</definedName>
    <definedName name="机30027" localSheetId="9">[154]附表5直接工程费单价表!#REF!</definedName>
    <definedName name="机30048" localSheetId="9">[154]附表5直接工程费单价表!#REF!</definedName>
    <definedName name="机30048、30051" localSheetId="9">[154]附表5直接工程费单价表!#REF!</definedName>
    <definedName name="机30049" localSheetId="9">[154]附表5直接工程费单价表!#REF!</definedName>
    <definedName name="机40004" localSheetId="9">[161]附表4直接工程费单价表!#REF!</definedName>
    <definedName name="机40006" localSheetId="9">[171]直接工程费!$F$203</definedName>
    <definedName name="机40006b" localSheetId="9">[161]附表4直接工程费单价表!#REF!</definedName>
    <definedName name="机40006细石" localSheetId="9">[161]附表4直接工程费单价表!#REF!</definedName>
    <definedName name="机40030" localSheetId="9">[161]附表4直接工程费单价表!#REF!</definedName>
    <definedName name="机40031" localSheetId="9">[154]附表5直接工程费单价表!#REF!</definedName>
    <definedName name="机4003115" localSheetId="9">[161]附表4直接工程费单价表!#REF!</definedName>
    <definedName name="机40031C15" localSheetId="9">[161]附表4直接工程费单价表!#REF!</definedName>
    <definedName name="机40041b" localSheetId="9">[161]附表4直接工程费单价表!#REF!</definedName>
    <definedName name="机40056" localSheetId="9">[153]附表4单价!#REF!</definedName>
    <definedName name="机40058" localSheetId="9">[154]附表5直接工程费单价表!#REF!</definedName>
    <definedName name="机40058A" localSheetId="9">[154]附表5直接工程费单价表!#REF!</definedName>
    <definedName name="机40061" localSheetId="9">[154]附表5直接工程费单价表!#REF!</definedName>
    <definedName name="机40062" localSheetId="9">[154]附表5直接工程费单价表!#REF!</definedName>
    <definedName name="机40063" localSheetId="9">[161]附表4直接工程费单价表!#REF!</definedName>
    <definedName name="机40064" localSheetId="9">[161]附表4直接工程费单价表!#REF!</definedName>
    <definedName name="机40067" localSheetId="9">[154]附表5直接工程费单价表!#REF!</definedName>
    <definedName name="机40067A" localSheetId="9">[154]附表5直接工程费单价表!#REF!</definedName>
    <definedName name="机40068" localSheetId="9">[154]附表5直接工程费单价表!#REF!</definedName>
    <definedName name="机40069" localSheetId="9">[154]附表5直接工程费单价表!#REF!</definedName>
    <definedName name="机40070" localSheetId="9">[154]附表5直接工程费单价表!#REF!</definedName>
    <definedName name="机40072" localSheetId="9">[154]附表5直接工程费单价表!#REF!</definedName>
    <definedName name="机40073" localSheetId="9">[161]附表4直接工程费单价表!#REF!</definedName>
    <definedName name="机40074" localSheetId="9">[154]附表5直接工程费单价表!#REF!</definedName>
    <definedName name="机40075" localSheetId="9">[154]附表5直接工程费单价表!#REF!</definedName>
    <definedName name="机40076" localSheetId="9">[154]附表5直接工程费单价表!#REF!</definedName>
    <definedName name="机4007620" localSheetId="9">[161]附表4直接工程费单价表!#REF!</definedName>
    <definedName name="机40077" localSheetId="9">[161]附表4直接工程费单价表!#REF!</definedName>
    <definedName name="机40079" localSheetId="9">[154]附表5直接工程费单价表!#REF!</definedName>
    <definedName name="机40090" localSheetId="9">[154]附表5直接工程费单价表!#REF!</definedName>
    <definedName name="机40096" localSheetId="9">[154]附表5直接工程费单价表!#REF!</definedName>
    <definedName name="机40101" localSheetId="9">[154]附表5直接工程费单价表!#REF!</definedName>
    <definedName name="机40101A" localSheetId="9">[154]附表5直接工程费单价表!#REF!</definedName>
    <definedName name="机40101B" localSheetId="9">[154]附表5直接工程费单价表!#REF!</definedName>
    <definedName name="机40109" localSheetId="9">[154]附表5直接工程费单价表!#REF!</definedName>
    <definedName name="机40110" localSheetId="9">[154]附表5直接工程费单价表!#REF!</definedName>
    <definedName name="机40111" localSheetId="9">[154]附表5直接工程费单价表!#REF!</definedName>
    <definedName name="机40112" localSheetId="9">[154]附表5直接工程费单价表!#REF!</definedName>
    <definedName name="机40113" localSheetId="9">[154]附表5直接工程费单价表!#REF!</definedName>
    <definedName name="机40114" localSheetId="9">[154]附表5直接工程费单价表!#REF!</definedName>
    <definedName name="机40115" localSheetId="9">[154]附表5直接工程费单价表!#REF!</definedName>
    <definedName name="机40116" localSheetId="9">0</definedName>
    <definedName name="机40120" localSheetId="9">[154]附表5直接工程费单价表!#REF!</definedName>
    <definedName name="机40124" localSheetId="9">[154]附表5直接工程费单价表!#REF!</definedName>
    <definedName name="机40125" localSheetId="9">[154]附表5直接工程费单价表!#REF!</definedName>
    <definedName name="机40133" localSheetId="9">[161]附表4直接工程费单价表!#REF!</definedName>
    <definedName name="机40134" localSheetId="9">[154]附表5直接工程费单价表!#REF!</definedName>
    <definedName name="机40143" localSheetId="9">[154]附表5直接工程费单价表!#REF!</definedName>
    <definedName name="机40192" localSheetId="9">[161]附表4直接工程费单价表!#REF!</definedName>
    <definedName name="机40203" localSheetId="9">[161]附表4直接工程费单价表!#REF!</definedName>
    <definedName name="机40214苯" localSheetId="9">[161]附表4直接工程费单价表!#REF!</definedName>
    <definedName name="机40224" localSheetId="9">[154]附表5直接工程费单价表!#REF!</definedName>
    <definedName name="机40260" localSheetId="9">[154]附表5直接工程费单价表!#REF!</definedName>
    <definedName name="机40286" localSheetId="9">[154]附表5直接工程费单价表!#REF!</definedName>
    <definedName name="机40287" localSheetId="9">[154]附表5直接工程费单价表!#REF!</definedName>
    <definedName name="机40288" localSheetId="9">[154]附表5直接工程费单价表!#REF!</definedName>
    <definedName name="机40289" localSheetId="9">[154]附表5直接工程费单价表!#REF!</definedName>
    <definedName name="机40289A" localSheetId="9">[154]附表5直接工程费单价表!#REF!</definedName>
    <definedName name="机40306" localSheetId="9">[154]附表5直接工程费单价表!#REF!</definedName>
    <definedName name="机40306A" localSheetId="9">[154]附表5直接工程费单价表!#REF!</definedName>
    <definedName name="机40306B" localSheetId="9">[154]附表5直接工程费单价表!#REF!</definedName>
    <definedName name="机50003" localSheetId="9">[154]附表5直接工程费单价表!#REF!</definedName>
    <definedName name="机50004" localSheetId="9">[154]附表5直接工程费单价表!#REF!</definedName>
    <definedName name="机50005" localSheetId="9">[154]附表5直接工程费单价表!#REF!</definedName>
    <definedName name="机50006" localSheetId="9">[154]附表5直接工程费单价表!#REF!</definedName>
    <definedName name="机50014" localSheetId="9">[172]附表4工程费单价表!#REF!</definedName>
    <definedName name="机50045" localSheetId="9">[154]附表5直接工程费单价表!#REF!</definedName>
    <definedName name="机50046" localSheetId="9">[154]附表5直接工程费单价表!#REF!</definedName>
    <definedName name="机50049" localSheetId="9">[154]附表5直接工程费单价表!#REF!</definedName>
    <definedName name="机50050" localSheetId="9">[154]附表5直接工程费单价表!#REF!</definedName>
    <definedName name="机50113" localSheetId="9">[172]附表4工程费单价表!#REF!</definedName>
    <definedName name="机70007" localSheetId="9">[161]附表4直接工程费单价表!#REF!</definedName>
    <definedName name="机70013" localSheetId="9">[161]附表4直接工程费单价表!#REF!</definedName>
    <definedName name="机70014" localSheetId="9">[161]附表4直接工程费单价表!#REF!</definedName>
    <definedName name="机70070" localSheetId="9">[161]附表4直接工程费单价表!#REF!</definedName>
    <definedName name="机70105" localSheetId="9">[161]附表4直接工程费单价表!#REF!</definedName>
    <definedName name="机70106" localSheetId="9">[161]附表4直接工程费单价表!#REF!</definedName>
    <definedName name="机70125" localSheetId="9">[161]附表4直接工程费单价表!#REF!</definedName>
    <definedName name="机70194" localSheetId="9">[154]附表5直接工程费单价表!#REF!</definedName>
    <definedName name="机70195" localSheetId="9">[154]附表5直接工程费单价表!#REF!</definedName>
    <definedName name="机70196" localSheetId="9">[154]附表5直接工程费单价表!#REF!</definedName>
    <definedName name="机80015" localSheetId="9">[161]附表4直接工程费单价表!#REF!</definedName>
    <definedName name="机80015加800162" localSheetId="9">[161]附表4直接工程费单价表!#REF!</definedName>
    <definedName name="机80015减80016" localSheetId="9">[161]附表4直接工程费单价表!#REF!</definedName>
    <definedName name="机80023加8002410" localSheetId="9">[161]附表4直接工程费单价表!#REF!</definedName>
    <definedName name="机80033" localSheetId="9">[161]附表4直接工程费单价表!#REF!</definedName>
    <definedName name="机80034" localSheetId="9">[161]附表4直接工程费单价表!#REF!</definedName>
    <definedName name="机90014" localSheetId="9">[154]附表5直接工程费单价表!#REF!</definedName>
    <definedName name="机90017" localSheetId="9">[154]附表5直接工程费单价表!#REF!</definedName>
    <definedName name="机90017A" localSheetId="9">[154]附表5直接工程费单价表!#REF!</definedName>
    <definedName name="机90085" localSheetId="9">[154]附表5直接工程费单价表!#REF!</definedName>
    <definedName name="机90086" localSheetId="9">[154]附表5直接工程费单价表!#REF!</definedName>
    <definedName name="机90087" localSheetId="9">[154]附表5直接工程费单价表!#REF!</definedName>
    <definedName name="机90087A" localSheetId="9">[154]附表5直接工程费单价表!#REF!</definedName>
    <definedName name="机90136" localSheetId="9">[154]附表5直接工程费单价表!#REF!</definedName>
    <definedName name="机90147" localSheetId="9">[154]附表5直接工程费单价表!#REF!</definedName>
    <definedName name="机补2" localSheetId="9">[154]附表5直接工程费单价表!#REF!</definedName>
    <definedName name="机补3" localSheetId="9">[154]附表5直接工程费单价表!#REF!</definedName>
    <definedName name="机电安装111" localSheetId="9">#REF!</definedName>
    <definedName name="机动翻斗车1t" localSheetId="9">[154]附表3机械台班!#REF!</definedName>
    <definedName name="机建11_25换" localSheetId="9">[154]附表5直接工程费单价表!#REF!</definedName>
    <definedName name="机建4_10换" localSheetId="9">[154]附表5直接工程费单价表!#REF!</definedName>
    <definedName name="机井" localSheetId="9">#REF!</definedName>
    <definedName name="机械库" localSheetId="9">#REF!</definedName>
    <definedName name="机械库1" localSheetId="9">#REF!</definedName>
    <definedName name="机械调差系数" localSheetId="9">#REF!</definedName>
    <definedName name="机油" localSheetId="9">[161]附表2材料价格计算表!#REF!</definedName>
    <definedName name="基本电价" localSheetId="9">[161]附表2材料价格计算表!#REF!</definedName>
    <definedName name="技工" localSheetId="9">[182]人工工资!$E$19</definedName>
    <definedName name="甲苯" localSheetId="9">[154]附表2材料价格表!#REF!</definedName>
    <definedName name="甲类工" localSheetId="9">[184]人工!$D$19</definedName>
    <definedName name="价_元" localSheetId="9">'[62]#REF'!$F$2</definedName>
    <definedName name="间接安装" localSheetId="9">[182]基础参数值!$I$23</definedName>
    <definedName name="间接钢筋" localSheetId="9">[182]基础参数值!$I$19</definedName>
    <definedName name="间接其它" localSheetId="9">[182]基础参数值!$I$22</definedName>
    <definedName name="间接砌石" localSheetId="9">[182]基础参数值!$I$17</definedName>
    <definedName name="间接砼" localSheetId="9">[182]基础参数值!$I$18</definedName>
    <definedName name="间接土方" localSheetId="9">[182]基础参数值!$I$15</definedName>
    <definedName name="间接钻孔" localSheetId="9">[182]基础参数值!$I$20</definedName>
    <definedName name="简易缆索机40t" localSheetId="9">[154]附表3机械台班!#REF!</definedName>
    <definedName name="碱粉" localSheetId="9">[154]附表2材料价格表!#REF!</definedName>
    <definedName name="交流电焊机30" localSheetId="9">#REF!</definedName>
    <definedName name="胶φ76" localSheetId="9">[154]附表2材料价格表!#REF!</definedName>
    <definedName name="胶轮车" localSheetId="9">[154]附表3机械台班!#REF!</definedName>
    <definedName name="胶轮架子车" localSheetId="9">#REF!</definedName>
    <definedName name="胶圈φ110" localSheetId="9">[154]附表2材料价格表!#REF!</definedName>
    <definedName name="胶圈φ125" localSheetId="9">[154]附表2材料价格表!#REF!</definedName>
    <definedName name="胶圈φ160" localSheetId="9">[154]附表2材料价格表!#REF!</definedName>
    <definedName name="胶圈φ200" localSheetId="9">[154]附表2材料价格表!#REF!</definedName>
    <definedName name="胶圈φ225" localSheetId="9">[154]附表2材料价格表!#REF!</definedName>
    <definedName name="胶圈φ250" localSheetId="9">[154]附表2材料价格表!#REF!</definedName>
    <definedName name="胶圈φ315" localSheetId="9">[154]附表2材料价格表!#REF!</definedName>
    <definedName name="胶圈φ355" localSheetId="9">[154]附表2材料价格表!#REF!</definedName>
    <definedName name="胶圈φ400" localSheetId="9">[154]附表2材料价格表!#REF!</definedName>
    <definedName name="胶圈φ76" localSheetId="9">[154]附表2材料价格表!#REF!</definedName>
    <definedName name="胶圈φ90" localSheetId="9">[154]附表2材料价格表!#REF!</definedName>
    <definedName name="焦油膏" localSheetId="9">[80]材价汇!$D$51</definedName>
    <definedName name="搅拌机0.25m3" localSheetId="9">[154]附表3机械台班!#REF!</definedName>
    <definedName name="搅拌机0.4m3" localSheetId="9">[154]附表3机械台班!#REF!</definedName>
    <definedName name="搅拌机出料0.4m3" localSheetId="9">[174]附表3机械!$K$54</definedName>
    <definedName name="接头" localSheetId="9">[161]附表2材料价格计算表!#REF!</definedName>
    <definedName name="截阀开关φ90×76" localSheetId="9">[154]附表2材料价格表!#REF!</definedName>
    <definedName name="截止阀开关φ90×76" localSheetId="9">[154]附表2材料价格表!#REF!</definedName>
    <definedName name="精制六角带帽螺栓M161460" localSheetId="9">[161]附表2材料价格计算表!#REF!</definedName>
    <definedName name="精致六角带帽螺栓M101470" localSheetId="9">[161]附表2材料价格计算表!#REF!</definedName>
    <definedName name="锯材" localSheetId="9">[154]附表2材料价格表!#REF!</definedName>
    <definedName name="聚氨酯" localSheetId="9">[161]附表2材料价格计算表!#REF!</definedName>
    <definedName name="聚乙烯胶泥" localSheetId="9">[161]附表2材料价格计算表!#REF!</definedName>
    <definedName name="卷板机" localSheetId="9">#REF!</definedName>
    <definedName name="卷扬机3t" localSheetId="9">[154]附表3机械台班!#REF!</definedName>
    <definedName name="卷扬机5t" localSheetId="9">#REF!</definedName>
    <definedName name="竣工验收费" localSheetId="9">#REF!</definedName>
    <definedName name="竣工验收费南" localSheetId="9">'[170]表5-3竣工验收费南 '!$E$9</definedName>
    <definedName name="卡扣" localSheetId="9">[174]附表2材料!$D$29</definedName>
    <definedName name="卡扣件" localSheetId="9">#REF!</definedName>
    <definedName name="卡子φ110" localSheetId="9">[154]附表2材料价格表!#REF!</definedName>
    <definedName name="卡子φ125" localSheetId="9">[154]附表2材料价格表!#REF!</definedName>
    <definedName name="卡子φ160" localSheetId="9">[154]附表2材料价格表!#REF!</definedName>
    <definedName name="卡子φ200" localSheetId="9">[154]附表2材料价格表!#REF!</definedName>
    <definedName name="卡子φ225" localSheetId="9">[154]附表2材料价格表!#REF!</definedName>
    <definedName name="卡子φ250" localSheetId="9">[154]附表2材料价格表!#REF!</definedName>
    <definedName name="卡子φ315" localSheetId="9">[154]附表2材料价格表!#REF!</definedName>
    <definedName name="卡子φ355" localSheetId="9">[154]附表2材料价格表!#REF!</definedName>
    <definedName name="卡子φ400" localSheetId="9">[154]附表2材料价格表!#REF!</definedName>
    <definedName name="卡子φ500" localSheetId="9">[154]附表2材料价格表!#REF!</definedName>
    <definedName name="卡子φ90" localSheetId="9">[154]附表2材料价格表!#REF!</definedName>
    <definedName name="空气阀φ120" localSheetId="9">[154]附表2材料价格表!#REF!</definedName>
    <definedName name="空气阀φ140" localSheetId="9">[154]附表2材料价格表!#REF!</definedName>
    <definedName name="空气阀φ160" localSheetId="9">[154]附表2材料价格表!#REF!</definedName>
    <definedName name="空心钢" localSheetId="9">#REF!</definedName>
    <definedName name="控制价" localSheetId="9">#REF!</definedName>
    <definedName name="块石" localSheetId="9">#REF!</definedName>
    <definedName name="扩大估算" localSheetId="9">[182]基础参数值!$F$5</definedName>
    <definedName name="拉模" localSheetId="9">#REF!</definedName>
    <definedName name="拉线板_60_12" localSheetId="9">[154]附表2材料价格表!#REF!</definedName>
    <definedName name="拉线棒￠16_2500" localSheetId="9">[154]附表2材料价格表!#REF!</definedName>
    <definedName name="拉线盘_LP_6_混凝土" localSheetId="9">[154]附表2材料价格表!#REF!</definedName>
    <definedName name="拉线盘_LP_6混凝土" localSheetId="9">[154]附表2材料价格表!#REF!</definedName>
    <definedName name="拉线盘_LP_8混凝土" localSheetId="9">[154]附表2材料价格表!#REF!</definedName>
    <definedName name="拉线盘0.3_0.6" localSheetId="9">[154]附表2材料价格表!#REF!</definedName>
    <definedName name="拉线盘LP_6混凝土" localSheetId="9">[154]附表2材料价格表!#REF!</definedName>
    <definedName name="拉线盘LP_8混凝土" localSheetId="9">[154]附表2材料价格表!#REF!</definedName>
    <definedName name="雷管" localSheetId="9">#REF!</definedName>
    <definedName name="离心式水泵7kw" localSheetId="9">#REF!</definedName>
    <definedName name="离心水泵17kw" localSheetId="9">#REF!</definedName>
    <definedName name="离心水泵55kw" localSheetId="9">#REF!</definedName>
    <definedName name="立" localSheetId="9">[169]定额!#REF!</definedName>
    <definedName name="立管φ33×1000" localSheetId="9">[154]附表2材料价格表!#REF!</definedName>
    <definedName name="立支柱" localSheetId="9">[168]定额!#REF!</definedName>
    <definedName name="立支柱1" localSheetId="9">[168]定额!#REF!</definedName>
    <definedName name="利润" localSheetId="9">[184]税率!$B$24</definedName>
    <definedName name="沥青" localSheetId="9">#REF!</definedName>
    <definedName name="砾料" localSheetId="9">[154]附表2材料价格表!#REF!</definedName>
    <definedName name="砾石" localSheetId="9">[154]附表2材料价格表!#REF!</definedName>
    <definedName name="砾石30mm" localSheetId="9">[154]附表2材料价格表!#REF!</definedName>
    <definedName name="砾石40mm" localSheetId="9">[154]附表2材料价格表!#REF!</definedName>
    <definedName name="砾石50mm" localSheetId="9">[154]附表2材料价格表!#REF!</definedName>
    <definedName name="联板LV_1214" localSheetId="9">[154]附表2材料价格表!#REF!</definedName>
    <definedName name="林施工费" localSheetId="9">'[170]表3工程施工费南 '!$H$511</definedName>
    <definedName name="零星卡具" localSheetId="9">[154]附表2材料价格表!#REF!</definedName>
    <definedName name="柳树" localSheetId="9">[161]附表2材料价格计算表!#REF!</definedName>
    <definedName name="六排沟涵洞_含56米渠道" localSheetId="9">#REF!</definedName>
    <definedName name="龙门式起重机10" localSheetId="9">#REF!</definedName>
    <definedName name="路措施费南" localSheetId="9">#REF!</definedName>
    <definedName name="路间接费南" localSheetId="9">#REF!</definedName>
    <definedName name="路施工费" localSheetId="9">'[170]表3工程施工费南 '!$H$483</definedName>
    <definedName name="卵石" localSheetId="9">[154]附表2材料价格表!#REF!</definedName>
    <definedName name="轮胎起重机16t" localSheetId="9">#REF!</definedName>
    <definedName name="螺杆" localSheetId="9">[154]附表2材料价格表!#REF!</definedName>
    <definedName name="螺杆16_60" localSheetId="9">[154]附表2材料价格表!#REF!</definedName>
    <definedName name="螺杆卡子" localSheetId="9">[154]附表2材料价格表!#REF!</definedName>
    <definedName name="螺杆卡子5_30" localSheetId="9">[154]附表2材料价格表!#REF!</definedName>
    <definedName name="螺栓" localSheetId="9">[154]附表2材料价格表!#REF!</definedName>
    <definedName name="螺栓、铁件" localSheetId="9">[154]附表2材料价格表!#REF!</definedName>
    <definedName name="螺栓φ18×80" localSheetId="9">[154]附表2材料价格表!#REF!</definedName>
    <definedName name="螺栓φ20×80" localSheetId="9">[154]附表2材料价格表!#REF!</definedName>
    <definedName name="螺丝￠16_300" localSheetId="9">[154]附表2材料价格表!#REF!</definedName>
    <definedName name="螺丝￠16_80" localSheetId="9">[154]附表2材料价格表!#REF!</definedName>
    <definedName name="螺丝￠18_300" localSheetId="9">[154]附表2材料价格表!#REF!</definedName>
    <definedName name="螺丝￠18_80" localSheetId="9">[154]附表2材料价格表!#REF!</definedName>
    <definedName name="铝包带" localSheetId="9">[154]附表2材料价格表!#REF!</definedName>
    <definedName name="铝包带10" localSheetId="9">[154]附表2材料价格表!#REF!</definedName>
    <definedName name="铝三通φ76×1.2×6000" localSheetId="9">[154]附表2材料价格表!#REF!</definedName>
    <definedName name="铝三通φ76×1.2×9000" localSheetId="9">[154]附表2材料价格表!#REF!</definedName>
    <definedName name="铝直管φ76×1.2×6000" localSheetId="9">[154]附表2材料价格表!#REF!</definedName>
    <definedName name="履带起重机10t" localSheetId="9">#REF!</definedName>
    <definedName name="履带起重机油动15t" localSheetId="9">[178]附表3机械台班计算表!$K$48</definedName>
    <definedName name="滤料" localSheetId="9">[154]附表2材料价格表!#REF!</definedName>
    <definedName name="滤网" localSheetId="9">[154]附表2材料价格表!#REF!</definedName>
    <definedName name="滤油纸" localSheetId="9">[161]附表2材料价格计算表!#REF!</definedName>
    <definedName name="麻刀" localSheetId="9">[161]附表2材料价格计算表!#REF!</definedName>
    <definedName name="麻絮" localSheetId="9">[154]附表2材料价格表!#REF!</definedName>
    <definedName name="毛石" localSheetId="9">[154]附表2材料价格表!#REF!</definedName>
    <definedName name="煤沥青" localSheetId="9">[161]附表2材料价格计算表!#REF!</definedName>
    <definedName name="煤油" localSheetId="9">[161]附表2材料价格计算表!#REF!</definedName>
    <definedName name="门窗用木材" localSheetId="9">[154]附表2材料价格表!#REF!</definedName>
    <definedName name="门式起重机10t" localSheetId="9">[154]附表3机械台班!#REF!</definedName>
    <definedName name="门式起重机25" localSheetId="9">#REF!</definedName>
    <definedName name="门座式起重机高架" localSheetId="9">#REF!</definedName>
    <definedName name="棉纱头" localSheetId="9">[154]附表2材料价格表!#REF!</definedName>
    <definedName name="名称及规格" localSheetId="9">'[62]#REF'!$B$2</definedName>
    <definedName name="模板用木材" localSheetId="9">[154]附表2材料价格表!#REF!</definedName>
    <definedName name="木材" localSheetId="9">[154]附表2材料价格表!#REF!</definedName>
    <definedName name="木柴" localSheetId="9">[154]附表2材料价格表!#REF!</definedName>
    <definedName name="木结构木材" localSheetId="9">[154]附表2材料价格表!#REF!</definedName>
    <definedName name="耐张线夹_NLD_2" localSheetId="9">[154]附表2材料价格表!#REF!</definedName>
    <definedName name="耐张线夹NLD_1" localSheetId="9">[154]附表2材料价格表!#REF!</definedName>
    <definedName name="耐张线夹NLD_2" localSheetId="9">[154]附表2材料价格表!#REF!</definedName>
    <definedName name="耐张线夹NLD2" localSheetId="9">[161]附表2材料价格计算表!#REF!</definedName>
    <definedName name="内燃压路机12_15t" localSheetId="9">[154]附表3机械台班!#REF!</definedName>
    <definedName name="内燃压路机重量68t" localSheetId="9">[80]机械汇总!$K$24</definedName>
    <definedName name="泥浆泵3PN" localSheetId="9">[154]附表3机械台班!#REF!</definedName>
    <definedName name="泥浆搅拌机" localSheetId="9">[154]附表3机械台班!#REF!</definedName>
    <definedName name="拟好" localSheetId="9">#REF!</definedName>
    <definedName name="逆止阀" localSheetId="9">[154]附表2材料价格表!#REF!</definedName>
    <definedName name="逆止阀200" localSheetId="9">[153]附表2!#REF!</definedName>
    <definedName name="宁水8028" localSheetId="9">[153]附表4单价!#REF!</definedName>
    <definedName name="宁水8029" localSheetId="9">[153]附表4单价!#REF!</definedName>
    <definedName name="宁水8029a" localSheetId="9">[153]附表4单价!#REF!</definedName>
    <definedName name="宁水8031" localSheetId="9">[153]附表4单价!#REF!</definedName>
    <definedName name="宁水8032" localSheetId="9">[153]附表4单价!#REF!</definedName>
    <definedName name="宁水8033" localSheetId="9">[153]附表4单价!#REF!</definedName>
    <definedName name="宁水8034" localSheetId="9">[153]附表4单价!#REF!</definedName>
    <definedName name="农田防护林" localSheetId="9">#REF!</definedName>
    <definedName name="农田水利" localSheetId="9">[175]表3工程施工费表!$I$9</definedName>
    <definedName name="噢噢噢噢" localSheetId="9">[154]附表5直接工程费单价表!#REF!</definedName>
    <definedName name="排气阀" localSheetId="9">[154]附表2材料价格表!#REF!</definedName>
    <definedName name="刨毛机" localSheetId="9">[154]附表3机械台班!#REF!</definedName>
    <definedName name="配电柜" localSheetId="9">[154]附表2材料价格表!#REF!</definedName>
    <definedName name="喷头6.5_3.1" localSheetId="9">[154]附表2材料价格表!#REF!</definedName>
    <definedName name="平板挂车40t" localSheetId="9">#REF!</definedName>
    <definedName name="平板式振动器2.2kw" localSheetId="9">[154]附表3机械台班!#REF!</definedName>
    <definedName name="平胶垫" localSheetId="9">[154]附表2材料价格表!#REF!</definedName>
    <definedName name="平胶垫90_3" localSheetId="9">[154]附表2材料价格表!#REF!</definedName>
    <definedName name="平胶垫φ200" localSheetId="9">[154]附表2材料价格表!#REF!</definedName>
    <definedName name="平胶垫φ225" localSheetId="9">[154]附表2材料价格表!#REF!</definedName>
    <definedName name="平胶垫φ250" localSheetId="9">[154]附表2材料价格表!#REF!</definedName>
    <definedName name="平胶垫φ315" localSheetId="9">[154]附表2材料价格表!#REF!</definedName>
    <definedName name="平胶垫φ355" localSheetId="9">[154]附表2材料价格表!#REF!</definedName>
    <definedName name="平胶垫φ400" localSheetId="9">[154]附表2材料价格表!#REF!</definedName>
    <definedName name="普工" localSheetId="9">[182]人工工资!$F$19</definedName>
    <definedName name="其他费用" localSheetId="9">#REF!</definedName>
    <definedName name="其他费用南" localSheetId="9">'[170]表5其他费用南 '!$C$9</definedName>
    <definedName name="其他工程" localSheetId="9">[154]表3工程施工费表!#REF!</definedName>
    <definedName name="其它安装" localSheetId="9">[182]基础参数值!$C$23</definedName>
    <definedName name="其它钢筋" localSheetId="9">[182]基础参数值!$C$19</definedName>
    <definedName name="其它工程" localSheetId="9">[154]表3工程施工费表!#REF!</definedName>
    <definedName name="其它其它" localSheetId="9">[182]基础参数值!$C$22</definedName>
    <definedName name="其它砌石" localSheetId="9">[182]基础参数值!$C$17</definedName>
    <definedName name="其它砼" localSheetId="9">[182]基础参数值!$C$18</definedName>
    <definedName name="其它土" localSheetId="9">[182]基础参数值!$C$15</definedName>
    <definedName name="其它钻孔" localSheetId="9">[182]基础参数值!$C$20</definedName>
    <definedName name="企业安装" localSheetId="9">[182]基础参数值!$L$23</definedName>
    <definedName name="企业钢筋" localSheetId="9">[182]基础参数值!$L$19</definedName>
    <definedName name="企业其它" localSheetId="9">[182]基础参数值!$L$22</definedName>
    <definedName name="企业砌石" localSheetId="9">[182]基础参数值!$L$17</definedName>
    <definedName name="企业砼" localSheetId="9">[182]基础参数值!$L$18</definedName>
    <definedName name="企业土方" localSheetId="9">[182]基础参数值!$L$15</definedName>
    <definedName name="企业钻孔" localSheetId="9">[182]基础参数值!$L$20</definedName>
    <definedName name="起重设备调差系数" localSheetId="9">#REF!</definedName>
    <definedName name="汽车起重机25t" localSheetId="9">[154]附表3机械台班!#REF!</definedName>
    <definedName name="汽车起重机5t" localSheetId="9">#REF!</definedName>
    <definedName name="汽车起重机5吨" localSheetId="9">[80]机械汇总!$K$84</definedName>
    <definedName name="汽车起重机8t" localSheetId="9">#REF!</definedName>
    <definedName name="汽车拖头40t" localSheetId="9">#REF!</definedName>
    <definedName name="汽油" localSheetId="9">#REF!</definedName>
    <definedName name="铅油" localSheetId="9">[161]附表2材料价格计算表!#REF!</definedName>
    <definedName name="前期工作费" localSheetId="9">#REF!</definedName>
    <definedName name="前期工作费南" localSheetId="9">'[170]表5-1前期工作费南'!$E$11</definedName>
    <definedName name="桥式起重机10t" localSheetId="9">#REF!</definedName>
    <definedName name="请问请问" localSheetId="9">#REF!</definedName>
    <definedName name="球阀50" localSheetId="9">[153]附表2!#REF!</definedName>
    <definedName name="球阀75" localSheetId="9">[153]附表2!#REF!</definedName>
    <definedName name="球头挂环QP_7" localSheetId="9">[154]附表2材料价格表!#REF!</definedName>
    <definedName name="人1_23_1" localSheetId="9">[154]附表5直接工程费单价表!#REF!</definedName>
    <definedName name="人10001" localSheetId="9">[154]附表5直接工程费单价表!#REF!</definedName>
    <definedName name="人100017" localSheetId="9">[161]附表4直接工程费单价表!#REF!</definedName>
    <definedName name="人10002" localSheetId="9">[154]附表5直接工程费单价表!#REF!</definedName>
    <definedName name="人100023" localSheetId="9">[161]附表4直接工程费单价表!#REF!</definedName>
    <definedName name="人10003" localSheetId="9">[154]附表5直接工程费单价表!#REF!</definedName>
    <definedName name="人100049" localSheetId="9">[161]附表4直接工程费单价表!#REF!</definedName>
    <definedName name="人10008" localSheetId="9">[154]附表5直接工程费单价表!#REF!</definedName>
    <definedName name="人10017" localSheetId="9">[161]附表4直接工程费单价表!#REF!</definedName>
    <definedName name="人10019" localSheetId="9">[154]附表5直接工程费单价表!#REF!</definedName>
    <definedName name="人10020" localSheetId="9">[154]附表5直接工程费单价表!#REF!</definedName>
    <definedName name="人10021" localSheetId="9">[154]附表5直接工程费单价表!#REF!</definedName>
    <definedName name="人10041" localSheetId="9">[161]附表4直接工程费单价表!#REF!</definedName>
    <definedName name="人10043" localSheetId="9">[161]附表4直接工程费单价表!#REF!</definedName>
    <definedName name="人10045" localSheetId="9">[154]附表5直接工程费单价表!#REF!</definedName>
    <definedName name="人10047" localSheetId="9">[154]附表5直接工程费单价表!#REF!</definedName>
    <definedName name="人10049" localSheetId="9">[154]附表5直接工程费单价表!#REF!</definedName>
    <definedName name="人10052" localSheetId="9">[154]附表5直接工程费单价表!#REF!</definedName>
    <definedName name="人10054" localSheetId="9">[154]附表5直接工程费单价表!#REF!</definedName>
    <definedName name="人10056" localSheetId="9">[154]附表5直接工程费单价表!#REF!</definedName>
    <definedName name="人10066" localSheetId="9">[154]附表5直接工程费单价表!#REF!</definedName>
    <definedName name="人10071" localSheetId="9">[154]附表5直接工程费单价表!#REF!</definedName>
    <definedName name="人10075" localSheetId="9">[154]附表5直接工程费单价表!#REF!</definedName>
    <definedName name="人10090" localSheetId="9">[154]附表5直接工程费单价表!#REF!</definedName>
    <definedName name="人10095" localSheetId="9">[154]附表5直接工程费单价表!#REF!</definedName>
    <definedName name="人10114" localSheetId="9">[154]附表5直接工程费单价表!#REF!</definedName>
    <definedName name="人10116" localSheetId="9">[154]附表5直接工程费单价表!#REF!</definedName>
    <definedName name="人10118" localSheetId="9">[154]附表5直接工程费单价表!#REF!</definedName>
    <definedName name="人10204" localSheetId="9">[154]附表5直接工程费单价表!#REF!</definedName>
    <definedName name="人10269" localSheetId="9">[154]附表5直接工程费单价表!#REF!</definedName>
    <definedName name="人10270" localSheetId="9">[154]附表5直接工程费单价表!#REF!</definedName>
    <definedName name="人10271" localSheetId="9">[154]附表5直接工程费单价表!#REF!</definedName>
    <definedName name="人10272" localSheetId="9">[154]附表5直接工程费单价表!#REF!</definedName>
    <definedName name="人10273" localSheetId="9">[154]附表5直接工程费单价表!#REF!</definedName>
    <definedName name="人10275" localSheetId="9">[154]附表5直接工程费单价表!#REF!</definedName>
    <definedName name="人10277" localSheetId="9">[154]附表5直接工程费单价表!#REF!</definedName>
    <definedName name="人10278" localSheetId="9">[154]附表5直接工程费单价表!#REF!</definedName>
    <definedName name="人10279" localSheetId="9">[154]附表5直接工程费单价表!#REF!</definedName>
    <definedName name="人10279A" localSheetId="9">[154]附表5直接工程费单价表!#REF!</definedName>
    <definedName name="人10280" localSheetId="9">[154]附表5直接工程费单价表!#REF!</definedName>
    <definedName name="人10280A" localSheetId="9">[154]附表5直接工程费单价表!#REF!</definedName>
    <definedName name="人10281" localSheetId="9">[154]附表5直接工程费单价表!#REF!</definedName>
    <definedName name="人10281A" localSheetId="9">[154]附表5直接工程费单价表!#REF!</definedName>
    <definedName name="人10282" localSheetId="9">[154]附表5直接工程费单价表!#REF!</definedName>
    <definedName name="人10282A" localSheetId="9">[154]附表5直接工程费单价表!#REF!</definedName>
    <definedName name="人10283" localSheetId="9">[154]附表5直接工程费单价表!#REF!</definedName>
    <definedName name="人10283A" localSheetId="9">[154]附表5直接工程费单价表!#REF!</definedName>
    <definedName name="人10306" localSheetId="9">[161]附表4直接工程费单价表!#REF!</definedName>
    <definedName name="人10309" localSheetId="9">[154]附表5直接工程费单价表!#REF!</definedName>
    <definedName name="人10310" localSheetId="9">[154]附表5直接工程费单价表!#REF!</definedName>
    <definedName name="人10311" localSheetId="9">[154]附表5直接工程费单价表!#REF!</definedName>
    <definedName name="人10332" localSheetId="9">[161]附表4直接工程费单价表!#REF!</definedName>
    <definedName name="人10333" localSheetId="9">[161]附表4直接工程费单价表!#REF!</definedName>
    <definedName name="人10339" localSheetId="9">[154]附表5直接工程费单价表!#REF!</definedName>
    <definedName name="人10344" localSheetId="9">[161]附表4直接工程费单价表!#REF!</definedName>
    <definedName name="人10345" localSheetId="9">[161]附表4直接工程费单价表!#REF!</definedName>
    <definedName name="人10360" localSheetId="9">[154]附表5直接工程费单价表!#REF!</definedName>
    <definedName name="人10361" localSheetId="9">[154]附表5直接工程费单价表!#REF!</definedName>
    <definedName name="人10365" localSheetId="9">[154]附表5直接工程费单价表!#REF!</definedName>
    <definedName name="人10366" localSheetId="9">[154]附表5直接工程费单价表!#REF!</definedName>
    <definedName name="人10367" localSheetId="9">[154]附表5直接工程费单价表!#REF!</definedName>
    <definedName name="人10464" localSheetId="9">[154]附表5直接工程费单价表!#REF!</definedName>
    <definedName name="人10465" localSheetId="9">[154]附表5直接工程费单价表!#REF!</definedName>
    <definedName name="人10469" localSheetId="9">[154]附表5直接工程费单价表!#REF!</definedName>
    <definedName name="人10469A" localSheetId="9">[154]附表5直接工程费单价表!#REF!</definedName>
    <definedName name="人10473" localSheetId="9">[154]附表5直接工程费单价表!#REF!</definedName>
    <definedName name="人10474" localSheetId="9">[154]附表5直接工程费单价表!#REF!</definedName>
    <definedName name="人12001" localSheetId="9">[154]附表5直接工程费单价表!#REF!</definedName>
    <definedName name="人12074" localSheetId="9">[154]附表5直接工程费单价表!#REF!</definedName>
    <definedName name="人12075" localSheetId="9">[154]附表5直接工程费单价表!#REF!</definedName>
    <definedName name="人2_19_3" localSheetId="9">[154]附表5直接工程费单价表!#REF!</definedName>
    <definedName name="人2_19_4" localSheetId="9">[154]附表5直接工程费单价表!#REF!</definedName>
    <definedName name="人20484" localSheetId="9">[154]附表5直接工程费单价表!#REF!</definedName>
    <definedName name="人20485" localSheetId="9">[154]附表5直接工程费单价表!#REF!</definedName>
    <definedName name="人20488" localSheetId="9">[154]附表5直接工程费单价表!#REF!</definedName>
    <definedName name="人30001" localSheetId="9">[154]附表5直接工程费单价表!#REF!</definedName>
    <definedName name="人30002" localSheetId="9">[154]附表5直接工程费单价表!#REF!</definedName>
    <definedName name="人30016" localSheetId="9">[154]附表5直接工程费单价表!#REF!</definedName>
    <definedName name="人30019" localSheetId="9">[154]附表5直接工程费单价表!#REF!</definedName>
    <definedName name="人30020" localSheetId="9">[154]附表5直接工程费单价表!#REF!</definedName>
    <definedName name="人30021" localSheetId="9">[154]附表5直接工程费单价表!#REF!</definedName>
    <definedName name="人30022" localSheetId="9">[154]附表5直接工程费单价表!#REF!</definedName>
    <definedName name="人30023" localSheetId="9">[154]附表5直接工程费单价表!#REF!</definedName>
    <definedName name="人30024" localSheetId="9">[154]附表5直接工程费单价表!#REF!</definedName>
    <definedName name="人30025" localSheetId="9">[154]附表5直接工程费单价表!#REF!</definedName>
    <definedName name="人30028" localSheetId="9">[154]附表5直接工程费单价表!#REF!</definedName>
    <definedName name="人30048" localSheetId="9">[154]附表5直接工程费单价表!#REF!</definedName>
    <definedName name="人30048、30051" localSheetId="9">[154]附表5直接工程费单价表!#REF!</definedName>
    <definedName name="人30049" localSheetId="9">[154]附表5直接工程费单价表!#REF!</definedName>
    <definedName name="人30064" localSheetId="9">[161]附表4直接工程费单价表!#REF!</definedName>
    <definedName name="人30067" localSheetId="9">[161]附表4直接工程费单价表!#REF!</definedName>
    <definedName name="人40004" localSheetId="9">[161]附表4直接工程费单价表!#REF!</definedName>
    <definedName name="人40006" localSheetId="9">[171]直接工程费!$F$188</definedName>
    <definedName name="人40006b" localSheetId="9">[161]附表4直接工程费单价表!#REF!</definedName>
    <definedName name="人40006细石" localSheetId="9">[161]附表4直接工程费单价表!#REF!</definedName>
    <definedName name="人40030" localSheetId="9">[161]附表4直接工程费单价表!#REF!</definedName>
    <definedName name="人40031" localSheetId="9">[154]附表5直接工程费单价表!#REF!</definedName>
    <definedName name="人4003115" localSheetId="9">[161]附表4直接工程费单价表!#REF!</definedName>
    <definedName name="人40041b" localSheetId="9">[161]附表4直接工程费单价表!#REF!</definedName>
    <definedName name="人40056" localSheetId="9">[161]附表4直接工程费单价表!#REF!</definedName>
    <definedName name="人40058" localSheetId="9">[154]附表5直接工程费单价表!#REF!</definedName>
    <definedName name="人40058A" localSheetId="9">[154]附表5直接工程费单价表!#REF!</definedName>
    <definedName name="人40061" localSheetId="9">[154]附表5直接工程费单价表!#REF!</definedName>
    <definedName name="人40062" localSheetId="9">[154]附表5直接工程费单价表!#REF!</definedName>
    <definedName name="人40063" localSheetId="9">[161]附表4直接工程费单价表!#REF!</definedName>
    <definedName name="人40064" localSheetId="9">[161]附表4直接工程费单价表!#REF!</definedName>
    <definedName name="人40067" localSheetId="9">[154]附表5直接工程费单价表!#REF!</definedName>
    <definedName name="人40067A" localSheetId="9">[154]附表5直接工程费单价表!#REF!</definedName>
    <definedName name="人40068" localSheetId="9">[154]附表5直接工程费单价表!#REF!</definedName>
    <definedName name="人40069" localSheetId="9">[154]附表5直接工程费单价表!#REF!</definedName>
    <definedName name="人40070" localSheetId="9">[154]附表5直接工程费单价表!#REF!</definedName>
    <definedName name="人40072" localSheetId="9">[154]附表5直接工程费单价表!#REF!</definedName>
    <definedName name="人40073" localSheetId="9">[161]附表4直接工程费单价表!#REF!</definedName>
    <definedName name="人40074" localSheetId="9">[154]附表5直接工程费单价表!#REF!</definedName>
    <definedName name="人40075" localSheetId="9">[154]附表5直接工程费单价表!#REF!</definedName>
    <definedName name="人40076" localSheetId="9">[154]附表5直接工程费单价表!#REF!</definedName>
    <definedName name="人4007620" localSheetId="9">[161]附表4直接工程费单价表!#REF!</definedName>
    <definedName name="人40077" localSheetId="9">[161]附表4直接工程费单价表!#REF!</definedName>
    <definedName name="人40079" localSheetId="9">[154]附表5直接工程费单价表!#REF!</definedName>
    <definedName name="人40090" localSheetId="9">[154]附表5直接工程费单价表!#REF!</definedName>
    <definedName name="人40096" localSheetId="9">[154]附表5直接工程费单价表!#REF!</definedName>
    <definedName name="人40101" localSheetId="9">[154]附表5直接工程费单价表!#REF!</definedName>
    <definedName name="人40101A" localSheetId="9">[154]附表5直接工程费单价表!#REF!</definedName>
    <definedName name="人40101B" localSheetId="9">[154]附表5直接工程费单价表!#REF!</definedName>
    <definedName name="人40109" localSheetId="9">[154]附表5直接工程费单价表!#REF!</definedName>
    <definedName name="人40110" localSheetId="9">[154]附表5直接工程费单价表!#REF!</definedName>
    <definedName name="人40111" localSheetId="9">[154]附表5直接工程费单价表!#REF!</definedName>
    <definedName name="人40112" localSheetId="9">[154]附表5直接工程费单价表!#REF!</definedName>
    <definedName name="人40113" localSheetId="9">[154]附表5直接工程费单价表!#REF!</definedName>
    <definedName name="人40114" localSheetId="9">[154]附表5直接工程费单价表!#REF!</definedName>
    <definedName name="人40115" localSheetId="9">[154]附表5直接工程费单价表!#REF!</definedName>
    <definedName name="人40116" localSheetId="9">[154]附表5直接工程费单价表!#REF!</definedName>
    <definedName name="人40117" localSheetId="9">[154]附表5直接工程费单价表!#REF!</definedName>
    <definedName name="人40118" localSheetId="9">[154]附表5直接工程费单价表!#REF!</definedName>
    <definedName name="人40120" localSheetId="9">[154]附表5直接工程费单价表!#REF!</definedName>
    <definedName name="人40124" localSheetId="9">[154]附表5直接工程费单价表!#REF!</definedName>
    <definedName name="人40125" localSheetId="9">[154]附表5直接工程费单价表!#REF!</definedName>
    <definedName name="人40133" localSheetId="9">[161]附表4直接工程费单价表!#REF!</definedName>
    <definedName name="人40134" localSheetId="9">[154]附表5直接工程费单价表!#REF!</definedName>
    <definedName name="人40143" localSheetId="9">[154]附表5直接工程费单价表!#REF!</definedName>
    <definedName name="人40192" localSheetId="9">[161]附表4直接工程费单价表!#REF!</definedName>
    <definedName name="人40203" localSheetId="9">[161]附表4直接工程费单价表!#REF!</definedName>
    <definedName name="人40210" localSheetId="9">[161]附表4直接工程费单价表!#REF!</definedName>
    <definedName name="人40214苯" localSheetId="9">[161]附表4直接工程费单价表!#REF!</definedName>
    <definedName name="人40224" localSheetId="9">[154]附表5直接工程费单价表!#REF!</definedName>
    <definedName name="人40260" localSheetId="9">[154]附表5直接工程费单价表!#REF!</definedName>
    <definedName name="人40263" localSheetId="9">[154]附表5直接工程费单价表!#REF!</definedName>
    <definedName name="人40271" localSheetId="9">[154]附表5直接工程费单价表!#REF!</definedName>
    <definedName name="人40286" localSheetId="9">[154]附表5直接工程费单价表!#REF!</definedName>
    <definedName name="人40287" localSheetId="9">[154]附表5直接工程费单价表!#REF!</definedName>
    <definedName name="人40288" localSheetId="9">[154]附表5直接工程费单价表!#REF!</definedName>
    <definedName name="人40289" localSheetId="9">[154]附表5直接工程费单价表!#REF!</definedName>
    <definedName name="人40289A" localSheetId="9">[154]附表5直接工程费单价表!#REF!</definedName>
    <definedName name="人40306" localSheetId="9">[154]附表5直接工程费单价表!#REF!</definedName>
    <definedName name="人40306A" localSheetId="9">[154]附表5直接工程费单价表!#REF!</definedName>
    <definedName name="人40306B" localSheetId="9">[154]附表5直接工程费单价表!#REF!</definedName>
    <definedName name="人50003" localSheetId="9">[154]附表5直接工程费单价表!#REF!</definedName>
    <definedName name="人50004" localSheetId="9">[154]附表5直接工程费单价表!#REF!</definedName>
    <definedName name="人50005" localSheetId="9">[154]附表5直接工程费单价表!#REF!</definedName>
    <definedName name="人50006" localSheetId="9">[154]附表5直接工程费单价表!#REF!</definedName>
    <definedName name="人50014" localSheetId="9">[172]附表4工程费单价表!#REF!</definedName>
    <definedName name="人50045" localSheetId="9">[154]附表5直接工程费单价表!#REF!</definedName>
    <definedName name="人50046" localSheetId="9">[154]附表5直接工程费单价表!#REF!</definedName>
    <definedName name="人50049" localSheetId="9">[154]附表5直接工程费单价表!#REF!</definedName>
    <definedName name="人50050" localSheetId="9">[154]附表5直接工程费单价表!#REF!</definedName>
    <definedName name="人50064" localSheetId="9">[161]附表4直接工程费单价表!#REF!</definedName>
    <definedName name="人50067" localSheetId="9">[161]附表4直接工程费单价表!#REF!</definedName>
    <definedName name="人50113" localSheetId="9">[172]附表4工程费单价表!#REF!</definedName>
    <definedName name="人50115" localSheetId="9">[154]附表5直接工程费单价表!#REF!</definedName>
    <definedName name="人70007" localSheetId="9">[161]附表4直接工程费单价表!#REF!</definedName>
    <definedName name="人70013" localSheetId="9">[161]附表4直接工程费单价表!#REF!</definedName>
    <definedName name="人70014" localSheetId="9">[161]附表4直接工程费单价表!#REF!</definedName>
    <definedName name="人70070" localSheetId="9">[161]附表4直接工程费单价表!#REF!</definedName>
    <definedName name="人70105" localSheetId="9">[161]附表4直接工程费单价表!#REF!</definedName>
    <definedName name="人70106" localSheetId="9">[161]附表4直接工程费单价表!#REF!</definedName>
    <definedName name="人70114" localSheetId="9">[161]附表4直接工程费单价表!#REF!</definedName>
    <definedName name="人70125" localSheetId="9">[161]附表4直接工程费单价表!#REF!</definedName>
    <definedName name="人70194" localSheetId="9">[154]附表5直接工程费单价表!#REF!</definedName>
    <definedName name="人70195" localSheetId="9">[154]附表5直接工程费单价表!#REF!</definedName>
    <definedName name="人70196" localSheetId="9">[154]附表5直接工程费单价表!#REF!</definedName>
    <definedName name="人80015" localSheetId="9">[161]附表4直接工程费单价表!#REF!</definedName>
    <definedName name="人80015加800162" localSheetId="9">[161]附表4直接工程费单价表!#REF!</definedName>
    <definedName name="人80015减80016" localSheetId="9">[161]附表4直接工程费单价表!#REF!</definedName>
    <definedName name="人80023加8002410" localSheetId="9">[161]附表4直接工程费单价表!#REF!</definedName>
    <definedName name="人80033" localSheetId="9">[161]附表4直接工程费单价表!#REF!</definedName>
    <definedName name="人80034" localSheetId="9">[161]附表4直接工程费单价表!#REF!</definedName>
    <definedName name="人90013" localSheetId="9">[161]附表4直接工程费单价表!#REF!</definedName>
    <definedName name="人90014" localSheetId="9">[154]附表5直接工程费单价表!#REF!</definedName>
    <definedName name="人90017" localSheetId="9">[154]附表5直接工程费单价表!#REF!</definedName>
    <definedName name="人90017A" localSheetId="9">[154]附表5直接工程费单价表!#REF!</definedName>
    <definedName name="人90085" localSheetId="9">[154]附表5直接工程费单价表!#REF!</definedName>
    <definedName name="人90086" localSheetId="9">[154]附表5直接工程费单价表!#REF!</definedName>
    <definedName name="人90087" localSheetId="9">[154]附表5直接工程费单价表!#REF!</definedName>
    <definedName name="人90087A" localSheetId="9">[154]附表5直接工程费单价表!#REF!</definedName>
    <definedName name="人90136" localSheetId="9">[154]附表5直接工程费单价表!#REF!</definedName>
    <definedName name="人90147" localSheetId="9">[154]附表5直接工程费单价表!#REF!</definedName>
    <definedName name="人90189" localSheetId="9">[154]附表5直接工程费单价表!#REF!</definedName>
    <definedName name="人补1" localSheetId="9">[154]附表5直接工程费单价表!#REF!</definedName>
    <definedName name="人补1A" localSheetId="9">[154]附表5直接工程费单价表!#REF!</definedName>
    <definedName name="人补2" localSheetId="9">[154]附表5直接工程费单价表!#REF!</definedName>
    <definedName name="人补3" localSheetId="9">[154]附表5直接工程费单价表!#REF!</definedName>
    <definedName name="人补4" localSheetId="9">[154]附表5直接工程费单价表!#REF!</definedName>
    <definedName name="人补5" localSheetId="9">[154]附表5直接工程费单价表!#REF!</definedName>
    <definedName name="人参60432" localSheetId="9">[154]附表5直接工程费单价表!#REF!</definedName>
    <definedName name="人工1" localSheetId="9">[179]人工单价!$D$13</definedName>
    <definedName name="人工填方" localSheetId="9">[189]单价表!$D$8</definedName>
    <definedName name="人工挖方" localSheetId="9">[189]单价表!$D$7</definedName>
    <definedName name="人工挖土、手扶运300m__工程" localSheetId="9">#REF!</definedName>
    <definedName name="人甲" localSheetId="9">[174]附表1人工!$E$20</definedName>
    <definedName name="人建11_25换" localSheetId="9">[154]附表5直接工程费单价表!#REF!</definedName>
    <definedName name="人建4_10换" localSheetId="9">[154]附表5直接工程费单价表!#REF!</definedName>
    <definedName name="人乙" localSheetId="9">[174]附表1人工!$G$20</definedName>
    <definedName name="软管接头" localSheetId="9">[154]附表2材料价格表!#REF!</definedName>
    <definedName name="润滑油" localSheetId="9">[161]附表2材料价格计算表!#REF!</definedName>
    <definedName name="洒水汽车6000L以内" localSheetId="9">[154]附表3机械台班!#REF!</definedName>
    <definedName name="三盘三通φ225×200×355" localSheetId="9">[154]附表2材料价格表!#REF!</definedName>
    <definedName name="三盘三通φ250×200×200" localSheetId="9">[154]附表2材料价格表!#REF!</definedName>
    <definedName name="三盘三通φ315×160×250" localSheetId="9">[154]附表2材料价格表!#REF!</definedName>
    <definedName name="三盘三通φ315×200×225" localSheetId="9">[154]附表2材料价格表!#REF!</definedName>
    <definedName name="三盘三通φ315×200×250" localSheetId="9">[154]附表2材料价格表!#REF!</definedName>
    <definedName name="三盘三通φ315×200×315" localSheetId="9">[154]附表2材料价格表!#REF!</definedName>
    <definedName name="三盘三通φ355×160×225" localSheetId="9">[154]附表2材料价格表!#REF!</definedName>
    <definedName name="三盘三通φ355×160×315" localSheetId="9">[154]附表2材料价格表!#REF!</definedName>
    <definedName name="三盘三通φ355×200×225" localSheetId="9">[154]附表2材料价格表!#REF!</definedName>
    <definedName name="三盘三通φ355×200×315" localSheetId="9">[154]附表2材料价格表!#REF!</definedName>
    <definedName name="三盘三通φ355×200×400" localSheetId="9">[154]附表2材料价格表!#REF!</definedName>
    <definedName name="三盘三通φ355×400×355" localSheetId="9">[154]附表2材料价格表!#REF!</definedName>
    <definedName name="三盘三通φ400×200×225" localSheetId="9">[154]附表2材料价格表!#REF!</definedName>
    <definedName name="三盘三通φ400×200×355" localSheetId="9">[154]附表2材料价格表!#REF!</definedName>
    <definedName name="三盘三通φ400×500×400" localSheetId="9">[154]附表2材料价格表!#REF!</definedName>
    <definedName name="三盘三通φ500×500×500" localSheetId="9">[154]附表2材料价格表!#REF!</definedName>
    <definedName name="三盘三通φ80×80×80" localSheetId="9">[154]附表2材料价格表!#REF!</definedName>
    <definedName name="三通11090" localSheetId="9">[153]附表2!#REF!</definedName>
    <definedName name="三通16090" localSheetId="9">[153]附表2!#REF!</definedName>
    <definedName name="三通20090" localSheetId="9">[153]附表2!#REF!</definedName>
    <definedName name="三通25090" localSheetId="9">[153]附表2!#REF!</definedName>
    <definedName name="三通90" localSheetId="9">[153]附表2!#REF!</definedName>
    <definedName name="三通φ160×180×160" localSheetId="9">[154]附表2材料价格表!#REF!</definedName>
    <definedName name="三通φ180×180×160" localSheetId="9">[154]附表2材料价格表!#REF!</definedName>
    <definedName name="三通φ180×180×90" localSheetId="9">[154]附表2材料价格表!#REF!</definedName>
    <definedName name="沙枣" localSheetId="9">[161]附表2材料价格计算表!#REF!</definedName>
    <definedName name="砂" localSheetId="9">[176]材料费!$D$5</definedName>
    <definedName name="砂浆" localSheetId="9">[154]附表5直接工程费单价表!#REF!</definedName>
    <definedName name="砂浆7.5" localSheetId="9">[178]附表7砂浆配比表!$I$7</definedName>
    <definedName name="砂砾石" localSheetId="9">#REF!</definedName>
    <definedName name="设备费南" localSheetId="9">'[170]表4设备费南 '!$N$37</definedName>
    <definedName name="设备购置费" localSheetId="9">#REF!</definedName>
    <definedName name="设计费" localSheetId="9">#REF!</definedName>
    <definedName name="伸缩节200" localSheetId="9">[153]附表2!#REF!</definedName>
    <definedName name="生产安置平衡" localSheetId="9">#REF!</definedName>
    <definedName name="生产列11" localSheetId="9">#REF!</definedName>
    <definedName name="生产列2" localSheetId="9">#REF!</definedName>
    <definedName name="生产列20" localSheetId="9">#REF!</definedName>
    <definedName name="生产列5" localSheetId="9">#REF!</definedName>
    <definedName name="生产列6" localSheetId="9">#REF!</definedName>
    <definedName name="生产列7" localSheetId="9">#REF!</definedName>
    <definedName name="生产列8" localSheetId="9">#REF!</definedName>
    <definedName name="生产列9" localSheetId="9">#REF!</definedName>
    <definedName name="生产期" localSheetId="9">#REF!</definedName>
    <definedName name="生产期11" localSheetId="9">#REF!</definedName>
    <definedName name="生产期2" localSheetId="9">#REF!</definedName>
    <definedName name="生产期20" localSheetId="9">#REF!</definedName>
    <definedName name="生产期5" localSheetId="9">#REF!</definedName>
    <definedName name="生产期6" localSheetId="9">#REF!</definedName>
    <definedName name="生产期7" localSheetId="9">#REF!</definedName>
    <definedName name="生产期8" localSheetId="9">#REF!</definedName>
    <definedName name="生产期9" localSheetId="9">#REF!</definedName>
    <definedName name="石灰" localSheetId="9">[154]附表2材料价格表!#REF!</definedName>
    <definedName name="石棉织布" localSheetId="9">[161]附表2材料价格计算表!#REF!</definedName>
    <definedName name="石屑" localSheetId="9">[154]附表2材料价格表!#REF!</definedName>
    <definedName name="手扶式拖拉机" localSheetId="9">[80]机械汇总!$K$20</definedName>
    <definedName name="竖管" localSheetId="9">[154]附表2材料价格表!#REF!</definedName>
    <definedName name="竖管75" localSheetId="9">[153]附表2!#REF!</definedName>
    <definedName name="竖管80_150" localSheetId="9">[154]附表2材料价格表!#REF!</definedName>
    <definedName name="数量" localSheetId="9">'[62]#REF'!$D$2</definedName>
    <definedName name="双承PVC塑管φ110×3.2×9000" localSheetId="9">[154]附表2材料价格表!#REF!</definedName>
    <definedName name="双承PVC塑管φ125×3.7×9000" localSheetId="9">[154]附表2材料价格表!#REF!</definedName>
    <definedName name="双承PVC塑管φ160×4.7×9000" localSheetId="9">[154]附表2材料价格表!#REF!</definedName>
    <definedName name="双承PVC塑管φ200×5.9×10000" localSheetId="9">[154]附表2材料价格表!#REF!</definedName>
    <definedName name="双承PVC塑管φ200×5.9×9000" localSheetId="9">[154]附表2材料价格表!#REF!</definedName>
    <definedName name="双承PVC塑管φ225×6.6×10000" localSheetId="9">[154]附表2材料价格表!#REF!</definedName>
    <definedName name="双承PVC塑管φ250×7.3×10000" localSheetId="9">[154]附表2材料价格表!#REF!</definedName>
    <definedName name="双承PVC塑管φ315×9.2×10000" localSheetId="9">[154]附表2材料价格表!#REF!</definedName>
    <definedName name="双承PVC塑管φ355×10.4×10000" localSheetId="9">[154]附表2材料价格表!#REF!</definedName>
    <definedName name="双承PVC塑管φ400×11.7×10000" localSheetId="9">[154]附表2材料价格表!#REF!</definedName>
    <definedName name="双承PVC塑管φ500×14.6×10000" localSheetId="9">[154]附表2材料价格表!#REF!</definedName>
    <definedName name="双承PVC塑管φ90×2.8×9000" localSheetId="9">[154]附表2材料价格表!#REF!</definedName>
    <definedName name="双法兰短管" localSheetId="9">[154]附表2材料价格表!#REF!</definedName>
    <definedName name="双法兰空气阀" localSheetId="9">[154]附表2材料价格表!#REF!</definedName>
    <definedName name="双轮胶车" localSheetId="9">[174]附表3机械!$K$76</definedName>
    <definedName name="双面刨床" localSheetId="9">[154]附表3机械台班!#REF!</definedName>
    <definedName name="双盘短管φ315×600" localSheetId="9">[154]附表2材料价格表!#REF!</definedName>
    <definedName name="双盘短管φ315×600、45" localSheetId="9">[154]附表2材料价格表!#REF!</definedName>
    <definedName name="双盘短管φ400×600" localSheetId="9">[154]附表2材料价格表!#REF!</definedName>
    <definedName name="双盘短管φ400×600、30" localSheetId="9">[154]附表2材料价格表!#REF!</definedName>
    <definedName name="双盘短管φ500×600" localSheetId="9">[154]附表2材料价格表!#REF!</definedName>
    <definedName name="双盘弯头φ200×200" localSheetId="9">[154]附表2材料价格表!#REF!</definedName>
    <definedName name="双盘弯头φ225×160" localSheetId="9">[154]附表2材料价格表!#REF!</definedName>
    <definedName name="双盘弯头φ225×200" localSheetId="9">[154]附表2材料价格表!#REF!</definedName>
    <definedName name="双盘弯头φ250×160" localSheetId="9">[154]附表2材料价格表!#REF!</definedName>
    <definedName name="双盘弯头φ250×200" localSheetId="9">[154]附表2材料价格表!#REF!</definedName>
    <definedName name="水" localSheetId="9">#REF!</definedName>
    <definedName name="水泵机组250QJ100_270_15" localSheetId="9">[154]附表2材料价格表!#REF!</definedName>
    <definedName name="水泵机组250QJ80_320_16" localSheetId="9">[154]附表2材料价格表!#REF!</definedName>
    <definedName name="水泵机组IS80_50_250" localSheetId="9">[154]附表2材料价格表!#REF!</definedName>
    <definedName name="水表" localSheetId="9">[154]附表2材料价格表!#REF!</definedName>
    <definedName name="水措施费南" localSheetId="9">#REF!</definedName>
    <definedName name="水价" localSheetId="9">[174]附表2材料!$D$16</definedName>
    <definedName name="水间接费南" localSheetId="9">#REF!</definedName>
    <definedName name="水力机械调差系数" localSheetId="9">#REF!</definedName>
    <definedName name="水利" localSheetId="9">#REF!</definedName>
    <definedName name="水泥" localSheetId="9">[154]附表2材料价格表!#REF!</definedName>
    <definedName name="水泥32.5" localSheetId="9">'[172]附表2 材料价格表'!#REF!</definedName>
    <definedName name="水泥325" localSheetId="9">#REF!</definedName>
    <definedName name="水泥42.5" localSheetId="9">'[96]附表2-1主材'!$L$5</definedName>
    <definedName name="水泥425" localSheetId="9">#REF!</definedName>
    <definedName name="水泥电杆￠190_12m" localSheetId="9">[154]附表2材料价格表!#REF!</definedName>
    <definedName name="水泥电杆79米" localSheetId="9">[161]附表2材料价格计算表!#REF!</definedName>
    <definedName name="水泥电杆911米" localSheetId="9">[161]附表2材料价格计算表!#REF!</definedName>
    <definedName name="水施工费" localSheetId="9">'[170]表3工程施工费南 '!$H$8</definedName>
    <definedName name="水直接工程费南" localSheetId="9">#REF!</definedName>
    <definedName name="税金" localSheetId="9">[182]基础参数值!$M$15</definedName>
    <definedName name="思想" localSheetId="9">#REF!</definedName>
    <definedName name="四盘四通φ315×200×400×355" localSheetId="9">[154]附表2材料价格表!#REF!</definedName>
    <definedName name="四盘四通φ400×355×355×200" localSheetId="9">[154]附表2材料价格表!#REF!</definedName>
    <definedName name="四盘四通φ400×500×200×400" localSheetId="9">[154]附表2材料价格表!#REF!</definedName>
    <definedName name="四通φ180×90×180×90" localSheetId="9">[154]附表2材料价格表!#REF!</definedName>
    <definedName name="俗人" localSheetId="9">#REF!</definedName>
    <definedName name="速生杨" localSheetId="9">[153]附表2!#REF!</definedName>
    <definedName name="塑料软管" localSheetId="9">[161]附表2材料价格计算表!#REF!</definedName>
    <definedName name="碎石" localSheetId="9">#REF!</definedName>
    <definedName name="碎石30mm" localSheetId="9">[154]附表2材料价格表!#REF!</definedName>
    <definedName name="碎石4" localSheetId="9">'[80]表3-1直接费预算表达式1'!$D$13</definedName>
    <definedName name="碎石40mm" localSheetId="9">[154]附表2材料价格表!#REF!</definedName>
    <definedName name="碎石50mm" localSheetId="9">[154]附表2材料价格表!#REF!</definedName>
    <definedName name="塔式起重机10t" localSheetId="9">#REF!</definedName>
    <definedName name="塔式起重机25t" localSheetId="9">#REF!</definedName>
    <definedName name="塔式起重机6t" localSheetId="9">[154]附表3机械台班!#REF!</definedName>
    <definedName name="摊铺机TX150" localSheetId="9">[154]附表3机械台班!#REF!</definedName>
    <definedName name="田间道路工程" localSheetId="9">#REF!</definedName>
    <definedName name="铁垫块" localSheetId="9">[80]材价汇!$D$22</definedName>
    <definedName name="铁钉" localSheetId="9">#REF!</definedName>
    <definedName name="铁横担_∠63×6×1500" localSheetId="9">[154]附表2材料价格表!#REF!</definedName>
    <definedName name="铁横担_∠8×8×1700" localSheetId="9">[154]附表2材料价格表!#REF!</definedName>
    <definedName name="铁横担∠8×8×1700" localSheetId="9">[154]附表2材料价格表!#REF!</definedName>
    <definedName name="铁横担L6361500" localSheetId="9">[161]附表2材料价格计算表!#REF!</definedName>
    <definedName name="铁横担L636800" localSheetId="9">[161]附表2材料价格计算表!#REF!</definedName>
    <definedName name="铁横担L8081700" localSheetId="9">[161]附表2材料价格计算表!#REF!</definedName>
    <definedName name="铁件" localSheetId="9">#REF!</definedName>
    <definedName name="铁六渠分水闸" localSheetId="9">#REF!</definedName>
    <definedName name="铁六渠节制闸" localSheetId="9">#REF!</definedName>
    <definedName name="铁六渠生产桥" localSheetId="9">#REF!</definedName>
    <definedName name="铁丝" localSheetId="9">#REF!</definedName>
    <definedName name="铁丝_综合" localSheetId="9">[154]附表2材料价格表!#REF!</definedName>
    <definedName name="铁丝10" localSheetId="9">[154]附表2材料价格表!#REF!</definedName>
    <definedName name="铁丝12" localSheetId="9">[154]附表2材料价格表!#REF!</definedName>
    <definedName name="铁丝14" localSheetId="9">[154]附表2材料价格表!#REF!</definedName>
    <definedName name="铁丝16" localSheetId="9">[154]附表2材料价格表!#REF!</definedName>
    <definedName name="铁丝20" localSheetId="9">[154]附表2材料价格表!#REF!</definedName>
    <definedName name="铁丝22" localSheetId="9">[154]附表2材料价格表!#REF!</definedName>
    <definedName name="铁丝8" localSheetId="9">[154]附表2材料价格表!#REF!</definedName>
    <definedName name="砼C10M2" localSheetId="9">'[80]表3-8'!$N$7</definedName>
    <definedName name="砼C15" localSheetId="9">[181]单位估价!#REF!</definedName>
    <definedName name="砼C20" localSheetId="9">[194]附表4砼、沙浆费计算表!$M$9</definedName>
    <definedName name="砼C20M2" localSheetId="9">[174]附表6砼配!$P$13</definedName>
    <definedName name="砼C20碎2" localSheetId="9">'[80]表3-8'!$N$9</definedName>
    <definedName name="砼C25M2" localSheetId="9">[178]附表6砼配比表!$P$9</definedName>
    <definedName name="砼C30M2" localSheetId="9">'[80]表3-8'!$N$17</definedName>
    <definedName name="砼拌制" localSheetId="9">[153]附表4单价!#REF!</definedName>
    <definedName name="砼垂直运输" localSheetId="9">[182]单价分析表!$F$336</definedName>
    <definedName name="砼吊罐1" localSheetId="9">#REF!</definedName>
    <definedName name="砼管1000" localSheetId="9">'[172]附表2 材料价格表'!#REF!</definedName>
    <definedName name="砼管1500" localSheetId="9">'[172]附表2 材料价格表'!#REF!</definedName>
    <definedName name="砼搅拌机0.4" localSheetId="9">#REF!</definedName>
    <definedName name="砼水平运输" localSheetId="9">[182]单价分析表!$F$323</definedName>
    <definedName name="砼运输" localSheetId="9">[153]附表4单价!#REF!</definedName>
    <definedName name="铜电焊条" localSheetId="9">[154]附表2材料价格表!#REF!</definedName>
    <definedName name="土措" localSheetId="9">[184]税率!$I$4</definedName>
    <definedName name="土措施费南" localSheetId="9">#REF!</definedName>
    <definedName name="土地平整" localSheetId="9">[175]表3工程施工费表!$I$8</definedName>
    <definedName name="土地平整工程" localSheetId="9">#REF!</definedName>
    <definedName name="土间" localSheetId="9">[184]税率!$F$15</definedName>
    <definedName name="土间接费南" localSheetId="9">#REF!</definedName>
    <definedName name="土建单价" localSheetId="9">#REF!</definedName>
    <definedName name="土建费率" localSheetId="9">#REF!</definedName>
    <definedName name="土建工程量" localSheetId="9">#REF!</definedName>
    <definedName name="土施工费南" localSheetId="9">'[170]表3工程施工费南 '!$H$6</definedName>
    <definedName name="土直接工程费南" localSheetId="9">#REF!</definedName>
    <definedName name="推土机103kw" localSheetId="9">[154]附表3机械台班!#REF!</definedName>
    <definedName name="推土机55kw" localSheetId="9">[154]附表3机械台班!#REF!</definedName>
    <definedName name="推土机59kw" localSheetId="9">#REF!</definedName>
    <definedName name="推土机74kw" localSheetId="9">#REF!</definedName>
    <definedName name="推土机88kw" localSheetId="9">[154]附表3机械台班!#REF!</definedName>
    <definedName name="推土机89kw" localSheetId="9">[154]附表3机械台班!#REF!</definedName>
    <definedName name="拖拉机55kw" localSheetId="9">[154]附表3机械台班!#REF!</definedName>
    <definedName name="拖拉机59KW" localSheetId="9">#REF!</definedName>
    <definedName name="拖拉机74kw" localSheetId="9">#REF!</definedName>
    <definedName name="拖拉机履带式功率59kw" localSheetId="9">[80]机械汇总!$K$16</definedName>
    <definedName name="拖拉机履带式功率74kw" localSheetId="9">[80]机械汇总!$K$18</definedName>
    <definedName name="挖掘机1.0油动" localSheetId="9">#REF!</definedName>
    <definedName name="挖掘机1m3" localSheetId="9">[154]附表3机械台班!#REF!</definedName>
    <definedName name="蛙式打夯机2.8k" localSheetId="9">[154]附表3机械台班!#REF!</definedName>
    <definedName name="蛙式打夯机2.8KW" localSheetId="9">#REF!</definedName>
    <definedName name="蛙式打夯机功率2.8kw" localSheetId="9">[80]机械汇总!$K$30</definedName>
    <definedName name="弯头12590" localSheetId="9">[153]附表2!#REF!</definedName>
    <definedName name="弯头20045" localSheetId="9">[153]附表2!#REF!</definedName>
    <definedName name="弯头25090" localSheetId="9">[153]附表2!#REF!</definedName>
    <definedName name="弯头Dg120" localSheetId="9">[154]附表2材料价格表!#REF!</definedName>
    <definedName name="弯头Dg160" localSheetId="9">[154]附表2材料价格表!#REF!</definedName>
    <definedName name="弯头Dg180" localSheetId="9">[154]附表2材料价格表!#REF!</definedName>
    <definedName name="弯头Dg90" localSheetId="9">[154]附表2材料价格表!#REF!</definedName>
    <definedName name="弯头φ110" localSheetId="9">[154]附表2材料价格表!#REF!</definedName>
    <definedName name="弯头φ120_90度" localSheetId="9">[154]附表2材料价格表!#REF!</definedName>
    <definedName name="弯头φ140_90度" localSheetId="9">[154]附表2材料价格表!#REF!</definedName>
    <definedName name="弯头φ160" localSheetId="9">[154]附表2材料价格表!#REF!</definedName>
    <definedName name="弯头φ160_90度" localSheetId="9">[154]附表2材料价格表!#REF!</definedName>
    <definedName name="弯头φ180" localSheetId="9">[154]附表2材料价格表!#REF!</definedName>
    <definedName name="弯头φ90" localSheetId="9">[154]附表2材料价格表!#REF!</definedName>
    <definedName name="碗头挂板W_7B" localSheetId="9">[154]附表2材料价格表!#REF!</definedName>
    <definedName name="万元" localSheetId="9">'[62]#REF'!$H$2</definedName>
    <definedName name="桅杆起重机10t" localSheetId="9">[80]机械汇总!$K$102</definedName>
    <definedName name="我" localSheetId="9">[182]人工工资!$K$8</definedName>
    <definedName name="系数1" localSheetId="9">#REF!</definedName>
    <definedName name="系数3" localSheetId="9">#REF!</definedName>
    <definedName name="现场安装" localSheetId="9">[182]基础参数值!$F$23</definedName>
    <definedName name="现场钢筋" localSheetId="9">[182]基础参数值!$F$19</definedName>
    <definedName name="现场其它" localSheetId="9">[182]基础参数值!$F$22</definedName>
    <definedName name="现场砌石" localSheetId="9">[182]基础参数值!$F$17</definedName>
    <definedName name="现场砼" localSheetId="9">[182]基础参数值!$F$18</definedName>
    <definedName name="现场土方" localSheetId="9">[182]基础参数值!$F$15</definedName>
    <definedName name="现场钻孔" localSheetId="9">[182]基础参数值!$F$20</definedName>
    <definedName name="线夹" localSheetId="9">[154]附表2材料价格表!#REF!</definedName>
    <definedName name="橡胶绝缘线" localSheetId="9">[161]附表2材料价格计算表!#REF!</definedName>
    <definedName name="橡胶石棉板" localSheetId="9">[154]附表2材料价格表!#REF!</definedName>
    <definedName name="橡胶止水带" localSheetId="9">[154]附表2材料价格表!#REF!</definedName>
    <definedName name="橡胶止水圈_1000" localSheetId="9">[154]附表2材料价格表!#REF!</definedName>
    <definedName name="橡胶止水圈_600" localSheetId="9">[154]附表2材料价格表!#REF!</definedName>
    <definedName name="橡胶止水圈DN1000" localSheetId="9">[80]材价汇!$D$47</definedName>
    <definedName name="橡胶止水圈DN400" localSheetId="9">[80]材价汇!$D$44</definedName>
    <definedName name="橡胶止水圈DN500" localSheetId="9">[80]材价汇!$D$45</definedName>
    <definedName name="橡胶止水圈DN600" localSheetId="9">[161]附表2材料价格计算表!#REF!</definedName>
    <definedName name="橡胶止水圈DN800" localSheetId="9">[80]材价汇!$D$46</definedName>
    <definedName name="橡皮绝缘线" localSheetId="9">[161]附表2材料价格计算表!#REF!</definedName>
    <definedName name="楔形线夹_NX_2" localSheetId="9">[154]附表2材料价格表!#REF!</definedName>
    <definedName name="楔形线夹NX_1" localSheetId="9">[154]附表2材料价格表!#REF!</definedName>
    <definedName name="楔形线夹NX_2" localSheetId="9">[154]附表2材料价格表!#REF!</definedName>
    <definedName name="楔型线夹NX2" localSheetId="9">[161]附表2材料价格计算表!#REF!</definedName>
    <definedName name="泄水阀" localSheetId="9">[154]附表2材料价格表!#REF!</definedName>
    <definedName name="泄水阀φ120" localSheetId="9">[154]附表2材料价格表!#REF!</definedName>
    <definedName name="泄水阀φ140" localSheetId="9">[154]附表2材料价格表!#REF!</definedName>
    <definedName name="泄水阀φ160" localSheetId="9">[154]附表2材料价格表!#REF!</definedName>
    <definedName name="新" localSheetId="9">#REF!</definedName>
    <definedName name="新疆杨" localSheetId="9">[153]附表2!#REF!</definedName>
    <definedName name="新年" localSheetId="9">#REF!</definedName>
    <definedName name="型钢" localSheetId="9">#REF!</definedName>
    <definedName name="型钢剪断机13kw" localSheetId="9">[154]附表3机械台班!#REF!</definedName>
    <definedName name="悬式瓷瓶XP_7" localSheetId="9">[154]附表2材料价格表!#REF!</definedName>
    <definedName name="悬式绝缘子_X_4.5" localSheetId="9">[154]附表2材料价格表!#REF!</definedName>
    <definedName name="悬式绝缘子X_4.5" localSheetId="9">[154]附表2材料价格表!#REF!</definedName>
    <definedName name="悬式绝缘子X4.5" localSheetId="9">[161]附表2材料价格计算表!#REF!</definedName>
    <definedName name="压力表" localSheetId="9">[154]附表2材料价格表!#REF!</definedName>
    <definedName name="压力表0.6MPa" localSheetId="9">[154]附表2材料价格表!#REF!</definedName>
    <definedName name="压力表弯管φ16" localSheetId="9">[154]附表2材料价格表!#REF!</definedName>
    <definedName name="压力钢管" localSheetId="9">#REF!</definedName>
    <definedName name="压力钢管调差系数" localSheetId="9">#REF!</definedName>
    <definedName name="羊脚碾5_7t" localSheetId="9">[154]附表3机械台班!#REF!</definedName>
    <definedName name="羊脚碾7T" localSheetId="9">#REF!</definedName>
    <definedName name="羊脚碾8_12t" localSheetId="9">[154]附表3机械台班!#REF!</definedName>
    <definedName name="杨树" localSheetId="9">[154]附表2材料价格表!#REF!</definedName>
    <definedName name="氧气" localSheetId="9">#REF!</definedName>
    <definedName name="摇臂钻床规格φ20m35mm" localSheetId="9">[80]机械汇总!$K$136</definedName>
    <definedName name="业主管理费" localSheetId="9">#REF!</definedName>
    <definedName name="业主管理费南" localSheetId="9">'[170]表5-4业主管理费南 '!$I$9</definedName>
    <definedName name="一般石方开挖风钻Ⅶ_工程" localSheetId="9">#REF!</definedName>
    <definedName name="乙二胺" localSheetId="9">[154]附表2材料价格表!#REF!</definedName>
    <definedName name="乙类工" localSheetId="9">[184]人工!$D$38</definedName>
    <definedName name="乙炔气" localSheetId="9">[154]附表2材料价格表!#REF!</definedName>
    <definedName name="溢流堰砼200__工程" localSheetId="9">#REF!</definedName>
    <definedName name="油浸石棉盘根250℃" localSheetId="9">[161]附表2材料价格计算表!#REF!</definedName>
    <definedName name="油毛毡" localSheetId="9">[154]附表2材料价格表!#REF!</definedName>
    <definedName name="油漆" localSheetId="9">[154]附表2材料价格表!#REF!</definedName>
    <definedName name="油毡" localSheetId="9">[161]附表2材料价格计算表!#REF!</definedName>
    <definedName name="预埋铁件" localSheetId="9">[154]附表2材料价格表!#REF!</definedName>
    <definedName name="预制砼防护管" localSheetId="9">[153]附表2!#REF!</definedName>
    <definedName name="预制砼柱" localSheetId="9">[181]单位估价!#REF!</definedName>
    <definedName name="原木" localSheetId="9">#REF!</definedName>
    <definedName name="圆盘锯" localSheetId="9">[154]附表3机械台班!#REF!</definedName>
    <definedName name="载重汽车10t" localSheetId="9">#REF!</definedName>
    <definedName name="载重汽车5t" localSheetId="9">#REF!</definedName>
    <definedName name="载重汽车5吨" localSheetId="9">[174]附表3机械!$K$62</definedName>
    <definedName name="闸墩21_21.9m接高200_砼" localSheetId="9">#REF!</definedName>
    <definedName name="闸阀" localSheetId="9">[154]附表2材料价格表!#REF!</definedName>
    <definedName name="闸阀110" localSheetId="9">[154]附表2材料价格表!#REF!</definedName>
    <definedName name="闸阀250" localSheetId="9">[153]附表2!#REF!</definedName>
    <definedName name="闸阀90" localSheetId="9">[153]附表2!#REF!</definedName>
    <definedName name="闸阀Dg120" localSheetId="9">[154]附表2材料价格表!#REF!</definedName>
    <definedName name="闸阀Dg160" localSheetId="9">[154]附表2材料价格表!#REF!</definedName>
    <definedName name="闸阀Dg180" localSheetId="9">[154]附表2材料价格表!#REF!</definedName>
    <definedName name="闸阀Dg90" localSheetId="9">[154]附表2材料价格表!#REF!</definedName>
    <definedName name="闸阀φ120" localSheetId="9">[154]附表2材料价格表!#REF!</definedName>
    <definedName name="闸阀φ140" localSheetId="9">[154]附表2材料价格表!#REF!</definedName>
    <definedName name="闸阀φ160" localSheetId="9">[154]附表2材料价格表!#REF!</definedName>
    <definedName name="闸阀φ180" localSheetId="9">[154]附表2材料价格表!#REF!</definedName>
    <definedName name="闸阀φ200" localSheetId="9">[154]附表2材料价格表!#REF!</definedName>
    <definedName name="闸阀φ225" localSheetId="9">[154]附表2材料价格表!#REF!</definedName>
    <definedName name="闸阀φ250" localSheetId="9">[154]附表2材料价格表!#REF!</definedName>
    <definedName name="闸阀φ315" localSheetId="9">[154]附表2材料价格表!#REF!</definedName>
    <definedName name="闸阀φ355" localSheetId="9">[154]附表2材料价格表!#REF!</definedName>
    <definedName name="闸阀φ400" localSheetId="9">[154]附表2材料价格表!#REF!</definedName>
    <definedName name="闸阀φ80" localSheetId="9">[154]附表2材料价格表!#REF!</definedName>
    <definedName name="闸阀φ90" localSheetId="9">[154]附表2材料价格表!#REF!</definedName>
    <definedName name="闸门0.3" localSheetId="9">[197]设备!#REF!</definedName>
    <definedName name="闸门0.4" localSheetId="9">[197]设备!#REF!</definedName>
    <definedName name="闸门0.5" localSheetId="9">[197]设备!#REF!</definedName>
    <definedName name="闸门0.6" localSheetId="9">[197]设备!#REF!</definedName>
    <definedName name="炸药" localSheetId="9">#REF!</definedName>
    <definedName name="粘土" localSheetId="9">[154]附表2材料价格表!#REF!</definedName>
    <definedName name="粘土球" localSheetId="9">[154]附表2材料价格表!#REF!</definedName>
    <definedName name="漳河柳" localSheetId="9">[153]附表2!#REF!</definedName>
    <definedName name="针式瓶P_20T" localSheetId="9">[154]附表2材料价格表!#REF!</definedName>
    <definedName name="支架φ33×1500" localSheetId="9">[154]附表2材料价格表!#REF!</definedName>
    <definedName name="直角挂板Z_7" localSheetId="9">[154]附表2材料价格表!#REF!</definedName>
    <definedName name="直流电焊机30" localSheetId="9">#REF!</definedName>
    <definedName name="直流电焊机30kVA" localSheetId="9">[80]机械汇总!$K$120</definedName>
    <definedName name="止回阀φ120" localSheetId="9">[154]附表2材料价格表!#REF!</definedName>
    <definedName name="止回阀φ140" localSheetId="9">[154]附表2材料价格表!#REF!</definedName>
    <definedName name="止回阀φ160" localSheetId="9">[154]附表2材料价格表!#REF!</definedName>
    <definedName name="中粗砂" localSheetId="9">#REF!</definedName>
    <definedName name="主1" localSheetId="9">#REF!</definedName>
    <definedName name="专用模板" localSheetId="9">[80]材价汇!$D$28</definedName>
    <definedName name="砖" localSheetId="9">[154]附表2材料价格表!#REF!</definedName>
    <definedName name="紫铜片厚15mm" localSheetId="9">[154]附表2材料价格表!#REF!</definedName>
    <definedName name="自行式平地机118kw" localSheetId="9">[80]机械汇总!$K$22</definedName>
    <definedName name="自行式平地机120kw以内" localSheetId="9">[154]附表3机械台班!#REF!</definedName>
    <definedName name="自卸汽车5t" localSheetId="9">#REF!</definedName>
    <definedName name="自卸汽车8t" localSheetId="9">[154]附表3机械台班!#REF!</definedName>
    <definedName name="总干渠石礼公路桥" localSheetId="9">#REF!</definedName>
    <definedName name="总投资" localSheetId="9">#REF!</definedName>
    <definedName name="总投资南" localSheetId="9">'[170]表2预算总表 南'!$C$9</definedName>
    <definedName name="组合钢模" localSheetId="9">#REF!</definedName>
    <definedName name="组合钢模板" localSheetId="9">[154]附表2材料价格表!#REF!</definedName>
    <definedName name="钻杆" localSheetId="9">[161]附表2材料价格计算表!#REF!</definedName>
    <definedName name="_______PVC20008" localSheetId="9">[200]附表2!#REF!</definedName>
    <definedName name="_____PE20" localSheetId="9">[200]附表2!#REF!</definedName>
    <definedName name="_____PE40" localSheetId="9">[200]附表2!#REF!</definedName>
    <definedName name="_____PVC11008" localSheetId="9">[200]附表2!#REF!</definedName>
    <definedName name="_____PVC16008" localSheetId="9">[200]附表2!#REF!</definedName>
    <definedName name="_____PVC25008" localSheetId="9">[200]附表2!#REF!</definedName>
    <definedName name="_____PVC31508" localSheetId="9">[200]附表2!#REF!</definedName>
    <definedName name="_____PVC9006" localSheetId="9">[200]附表2!#REF!</definedName>
    <definedName name="_____PVC9008" localSheetId="9">[200]附表2!#REF!</definedName>
    <definedName name="____PE20" localSheetId="9">[200]附表2!#REF!</definedName>
    <definedName name="____PE40" localSheetId="9">[200]附表2!#REF!</definedName>
    <definedName name="____PVC11008" localSheetId="9">[200]附表2!#REF!</definedName>
    <definedName name="____PVC16008" localSheetId="9">[200]附表2!#REF!</definedName>
    <definedName name="____PVC20008" localSheetId="9">[200]附表2!#REF!</definedName>
    <definedName name="____PVC25008" localSheetId="9">[200]附表2!#REF!</definedName>
    <definedName name="____PVC31508" localSheetId="9">[200]附表2!#REF!</definedName>
    <definedName name="____PVC9006" localSheetId="9">[200]附表2!#REF!</definedName>
    <definedName name="____PVC9008" localSheetId="9">[200]附表2!#REF!</definedName>
    <definedName name="___PE20" localSheetId="9">[200]附表2!#REF!</definedName>
    <definedName name="___PE40" localSheetId="9">[200]附表2!#REF!</definedName>
    <definedName name="___PVC11008" localSheetId="9">[200]附表2!#REF!</definedName>
    <definedName name="___PVC16008" localSheetId="9">[200]附表2!#REF!</definedName>
    <definedName name="___PVC20008" localSheetId="9">[200]附表2!#REF!</definedName>
    <definedName name="___PVC25008" localSheetId="9">[200]附表2!#REF!</definedName>
    <definedName name="___PVC31508" localSheetId="9">[200]附表2!#REF!</definedName>
    <definedName name="___PVC9006" localSheetId="9">[200]附表2!#REF!</definedName>
    <definedName name="___PVC9008" localSheetId="9">[200]附表2!#REF!</definedName>
    <definedName name="bu" localSheetId="9">[201]定额!#REF!</definedName>
    <definedName name="gc" localSheetId="9" hidden="1">[13]eqpmad2!#REF!</definedName>
    <definedName name="huangling" localSheetId="9">'[202]表5-2工程监理费南'!$E$10</definedName>
    <definedName name="l" localSheetId="9">#REF!</definedName>
    <definedName name="range_jxtb" localSheetId="9">[204]DE!$A$8:$M$405</definedName>
    <definedName name="sheet3" localSheetId="9">sheet3</definedName>
    <definedName name="宝丰" localSheetId="9">'[211]申请表（正面）'!宝丰</definedName>
    <definedName name="工50115" localSheetId="9">[205]附4工程费单价表!$F$2014</definedName>
    <definedName name="工50116" localSheetId="9">[205]附4工程费单价表!$F$2104</definedName>
    <definedName name="管件供货统计" localSheetId="9">#REF!</definedName>
    <definedName name="宁水4082" localSheetId="9">[205]附4工程费单价表!$F$1004</definedName>
    <definedName name="世行项目预算" localSheetId="9">#REF!</definedName>
    <definedName name="送审表" localSheetId="9" hidden="1">#REF!</definedName>
    <definedName name="纤细估算" localSheetId="9">#REF!</definedName>
    <definedName name="综合估算表" localSheetId="9">#REF!</definedName>
    <definedName name="______PE20" localSheetId="9">[199]附表2!#REF!</definedName>
    <definedName name="______________PE40" localSheetId="9">[199]附表2!#REF!</definedName>
    <definedName name="______PVC11008" localSheetId="9">[199]附表2!#REF!</definedName>
    <definedName name="______PVC16008" localSheetId="9">[199]附表2!#REF!</definedName>
    <definedName name="_____PVC20008" localSheetId="9">[199]附表2!#REF!</definedName>
    <definedName name="______PVC25008" localSheetId="9">[199]附表2!#REF!</definedName>
    <definedName name="______PVC31508" localSheetId="9">[199]附表2!#REF!</definedName>
    <definedName name="______PVC9006" localSheetId="9">[199]附表2!#REF!</definedName>
    <definedName name="______PVC9008" localSheetId="9">[199]附表2!#REF!</definedName>
    <definedName name="_______PE20" localSheetId="9">[212]附表2!#REF!</definedName>
    <definedName name="______PE40" localSheetId="9">[212]附表2!#REF!</definedName>
    <definedName name="_______PVC11008" localSheetId="9">[212]附表2!#REF!</definedName>
    <definedName name="_______PVC16008" localSheetId="9">[212]附表2!#REF!</definedName>
    <definedName name="______PVC20008" localSheetId="9">[212]附表2!#REF!</definedName>
    <definedName name="_______PVC25008" localSheetId="9">[212]附表2!#REF!</definedName>
    <definedName name="_______PVC31508" localSheetId="9">[212]附表2!#REF!</definedName>
    <definedName name="_______PVC9006" localSheetId="9">[212]附表2!#REF!</definedName>
    <definedName name="_______PVC9008" localSheetId="9">[212]附表2!#REF!</definedName>
    <definedName name="________PE20" localSheetId="9">[199]附表2!#REF!</definedName>
    <definedName name="_______PE40" localSheetId="9">[199]附表2!#REF!</definedName>
    <definedName name="________PVC11008" localSheetId="9">[199]附表2!#REF!</definedName>
    <definedName name="________PVC16008" localSheetId="9">[199]附表2!#REF!</definedName>
    <definedName name="________PVC20008" localSheetId="9">[199]附表2!#REF!</definedName>
    <definedName name="________PVC25008" localSheetId="9">[199]附表2!#REF!</definedName>
    <definedName name="________PVC31508" localSheetId="9">[199]附表2!#REF!</definedName>
    <definedName name="________PVC9006" localSheetId="9">[199]附表2!#REF!</definedName>
    <definedName name="________PVC9008" localSheetId="9">[199]附表2!#REF!</definedName>
    <definedName name="_________PE20" localSheetId="9">[199]附表2!#REF!</definedName>
    <definedName name="________PE40" localSheetId="9">[199]附表2!#REF!</definedName>
    <definedName name="_________PVC11008" localSheetId="9">[199]附表2!#REF!</definedName>
    <definedName name="_________PVC16008" localSheetId="9">[199]附表2!#REF!</definedName>
    <definedName name="_________PVC20008" localSheetId="9">[199]附表2!#REF!</definedName>
    <definedName name="_________PVC25008" localSheetId="9">[199]附表2!#REF!</definedName>
    <definedName name="_________PVC31508" localSheetId="9">[199]附表2!#REF!</definedName>
    <definedName name="_________PVC9006" localSheetId="9">[199]附表2!#REF!</definedName>
    <definedName name="_________PVC9008" localSheetId="9">[199]附表2!#REF!</definedName>
    <definedName name="_xlnm.Print_Area" localSheetId="21">台时!$A$1:$H$317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作者</author>
  </authors>
  <commentList>
    <comment ref="C10" authorId="0">
      <text>
        <r>
          <rPr>
            <sz val="9"/>
            <rFont val="宋体"/>
            <charset val="134"/>
          </rPr>
          <t>2002设计文件P89表附表二</t>
        </r>
      </text>
    </comment>
    <comment ref="C12" authorId="0">
      <text>
        <r>
          <rPr>
            <sz val="9"/>
            <rFont val="宋体"/>
            <charset val="134"/>
          </rPr>
          <t>2002设计文件P76注：（内容）</t>
        </r>
      </text>
    </comment>
    <comment ref="C14" authorId="0">
      <text>
        <r>
          <rPr>
            <sz val="9"/>
            <rFont val="宋体"/>
            <charset val="134"/>
          </rPr>
          <t>2002设计文件P39表10.2-1</t>
        </r>
      </text>
    </comment>
    <comment ref="C18" authorId="0">
      <text>
        <r>
          <rPr>
            <sz val="9"/>
            <rFont val="宋体"/>
            <charset val="134"/>
          </rPr>
          <t>2002设计文件P39表10.1.6（15%-20%）</t>
        </r>
      </text>
    </comment>
    <comment ref="C22" authorId="0">
      <text>
        <r>
          <rPr>
            <sz val="9"/>
            <rFont val="宋体"/>
            <charset val="134"/>
          </rPr>
          <t>阶段系数按国家发改委、建设部关于发布《水利、水电、电力建设项目前期工作工程勘察收费暂行规定》的通知发改价格【2006】1352号 P1</t>
        </r>
      </text>
    </comment>
    <comment ref="C24" authorId="0">
      <text>
        <r>
          <rPr>
            <sz val="9"/>
            <rFont val="宋体"/>
            <charset val="134"/>
          </rPr>
          <t>2002设计文件P39表10.1.6（15%-20%）</t>
        </r>
      </text>
    </comment>
    <comment ref="C25" authorId="0">
      <text>
        <r>
          <rPr>
            <sz val="9"/>
            <rFont val="宋体"/>
            <charset val="134"/>
          </rPr>
          <t>《项目前期勘察收费》【2006】1352号 P4 第七条 占前期勘测费用的30-40%</t>
        </r>
      </text>
    </comment>
    <comment ref="C40" authorId="0">
      <text>
        <r>
          <rPr>
            <sz val="9"/>
            <rFont val="宋体"/>
            <charset val="134"/>
          </rPr>
          <t>2002设计文件P39表10.2-2</t>
        </r>
      </text>
    </comment>
    <comment ref="C44" authorId="0">
      <text>
        <r>
          <rPr>
            <sz val="9"/>
            <rFont val="宋体"/>
            <charset val="134"/>
          </rPr>
          <t>2002设计文件P39表10.2-1</t>
        </r>
      </text>
    </comment>
    <comment ref="C48" authorId="0">
      <text>
        <r>
          <rPr>
            <sz val="9"/>
            <rFont val="宋体"/>
            <charset val="134"/>
          </rPr>
          <t>2002设计文件P39表10.1.6（15%-20%）</t>
        </r>
      </text>
    </comment>
    <comment ref="C56" authorId="0">
      <text>
        <r>
          <rPr>
            <sz val="9"/>
            <rFont val="宋体"/>
            <charset val="134"/>
          </rPr>
          <t xml:space="preserve">《项目前期勘察收费》【2006】1352号 P2 表3
</t>
        </r>
      </text>
    </comment>
    <comment ref="C57" authorId="0">
      <text>
        <r>
          <rPr>
            <sz val="9"/>
            <rFont val="宋体"/>
            <charset val="134"/>
          </rPr>
          <t>《项目前期勘察收费》【2006】1352号 P2 表4</t>
        </r>
      </text>
    </comment>
    <comment ref="C58" authorId="0">
      <text>
        <r>
          <rPr>
            <sz val="9"/>
            <rFont val="宋体"/>
            <charset val="134"/>
          </rPr>
          <t xml:space="preserve">《项目前期勘察收费》【2006】1352号 P2 表5
</t>
        </r>
      </text>
    </comment>
    <comment ref="C59" authorId="0">
      <text>
        <r>
          <rPr>
            <sz val="9"/>
            <rFont val="宋体"/>
            <charset val="134"/>
          </rPr>
          <t>2002设计文件P3表1.0.10 2000米以下不调</t>
        </r>
      </text>
    </comment>
    <comment ref="C62" authorId="0">
      <text>
        <r>
          <rPr>
            <sz val="9"/>
            <rFont val="宋体"/>
            <charset val="134"/>
          </rPr>
          <t>阶段系数按国家发改委、建设部关于发布《水利、水电、电力建设项目前期工作工程勘察收费暂行规定》的通知发改价格【2006】1352号 P1</t>
        </r>
      </text>
    </comment>
    <comment ref="C64" authorId="0">
      <text>
        <r>
          <rPr>
            <sz val="9"/>
            <rFont val="宋体"/>
            <charset val="134"/>
          </rPr>
          <t>2002设计文件P39表10.1.6（15%-20%）</t>
        </r>
      </text>
    </comment>
  </commentList>
</comments>
</file>

<file path=xl/sharedStrings.xml><?xml version="1.0" encoding="utf-8"?>
<sst xmlns="http://schemas.openxmlformats.org/spreadsheetml/2006/main" count="17313" uniqueCount="2065">
  <si>
    <t xml:space="preserve">               PVC-U管材价格表</t>
  </si>
  <si>
    <t xml:space="preserve">                                              PVC-U管材重量表   </t>
  </si>
  <si>
    <t>单位：kg/m</t>
  </si>
  <si>
    <t>单价:</t>
  </si>
  <si>
    <t>元/t</t>
  </si>
  <si>
    <t>单位:元/km</t>
  </si>
  <si>
    <t>单位:元/m</t>
  </si>
  <si>
    <r>
      <rPr>
        <b/>
        <sz val="11"/>
        <rFont val="宋体"/>
        <charset val="134"/>
      </rPr>
      <t>公称外径</t>
    </r>
    <r>
      <rPr>
        <b/>
        <sz val="11"/>
        <rFont val="Times New Roman"/>
        <charset val="134"/>
      </rPr>
      <t>(dn)</t>
    </r>
  </si>
  <si>
    <r>
      <rPr>
        <b/>
        <sz val="11"/>
        <rFont val="宋体"/>
        <charset val="134"/>
      </rPr>
      <t>公</t>
    </r>
    <r>
      <rPr>
        <b/>
        <sz val="11"/>
        <rFont val="Times New Roman"/>
        <charset val="134"/>
      </rPr>
      <t xml:space="preserve">        </t>
    </r>
    <r>
      <rPr>
        <b/>
        <sz val="11"/>
        <rFont val="宋体"/>
        <charset val="134"/>
      </rPr>
      <t>称</t>
    </r>
    <r>
      <rPr>
        <b/>
        <sz val="11"/>
        <rFont val="Times New Roman"/>
        <charset val="134"/>
      </rPr>
      <t xml:space="preserve">    </t>
    </r>
    <r>
      <rPr>
        <b/>
        <sz val="11"/>
        <rFont val="宋体"/>
        <charset val="134"/>
      </rPr>
      <t>压</t>
    </r>
    <r>
      <rPr>
        <b/>
        <sz val="11"/>
        <rFont val="Times New Roman"/>
        <charset val="134"/>
      </rPr>
      <t xml:space="preserve">       </t>
    </r>
    <r>
      <rPr>
        <b/>
        <sz val="11"/>
        <rFont val="宋体"/>
        <charset val="134"/>
      </rPr>
      <t>力</t>
    </r>
  </si>
  <si>
    <t>公 称外径(dn)</t>
  </si>
  <si>
    <t>公        称    压       力</t>
  </si>
  <si>
    <t>0.32Mpa</t>
  </si>
  <si>
    <t>0.63Mpa</t>
  </si>
  <si>
    <t>0.8 Mpa</t>
  </si>
  <si>
    <t>1.0 Mpa</t>
  </si>
  <si>
    <t>1.25Mpa</t>
  </si>
  <si>
    <t>1.6 Mpa</t>
  </si>
  <si>
    <t>2.0 Mpa</t>
  </si>
  <si>
    <t>2.5 Mpa</t>
  </si>
  <si>
    <t>￠20</t>
  </si>
  <si>
    <t>￠25</t>
  </si>
  <si>
    <t>￠32</t>
  </si>
  <si>
    <t>￠40</t>
  </si>
  <si>
    <t>￠50</t>
  </si>
  <si>
    <t>￠63</t>
  </si>
  <si>
    <t>￠75</t>
  </si>
  <si>
    <t>￠90</t>
  </si>
  <si>
    <t>￠110</t>
  </si>
  <si>
    <t>￠125</t>
  </si>
  <si>
    <t>￠140</t>
  </si>
  <si>
    <t>￠160</t>
  </si>
  <si>
    <t>￠180</t>
  </si>
  <si>
    <t>￠200</t>
  </si>
  <si>
    <t>￠225</t>
  </si>
  <si>
    <t>￠250</t>
  </si>
  <si>
    <t>￠280</t>
  </si>
  <si>
    <t>￠315</t>
  </si>
  <si>
    <t>￠355</t>
  </si>
  <si>
    <t>￠400</t>
  </si>
  <si>
    <t>￠450</t>
  </si>
  <si>
    <t>￠500</t>
  </si>
  <si>
    <t xml:space="preserve">              给水 PE管材价格表</t>
  </si>
  <si>
    <t xml:space="preserve">                                             给水 PE管材重量表   </t>
  </si>
  <si>
    <t>0.6Mpa</t>
  </si>
  <si>
    <t>￠560</t>
  </si>
  <si>
    <t>￠630</t>
  </si>
  <si>
    <t>￠710</t>
  </si>
  <si>
    <r>
      <rPr>
        <sz val="10.5"/>
        <rFont val="Times New Roman"/>
        <charset val="134"/>
      </rPr>
      <t xml:space="preserve"> </t>
    </r>
    <r>
      <rPr>
        <b/>
        <sz val="12"/>
        <rFont val="宋体"/>
        <charset val="134"/>
      </rPr>
      <t>单位</t>
    </r>
    <r>
      <rPr>
        <sz val="12"/>
        <rFont val="宋体"/>
        <charset val="134"/>
      </rPr>
      <t>：元</t>
    </r>
    <r>
      <rPr>
        <sz val="12"/>
        <rFont val="Times New Roman"/>
        <charset val="134"/>
      </rPr>
      <t>/</t>
    </r>
    <r>
      <rPr>
        <sz val="12"/>
        <rFont val="宋体"/>
        <charset val="134"/>
      </rPr>
      <t>米</t>
    </r>
  </si>
  <si>
    <t>建筑工程概算表</t>
  </si>
  <si>
    <t>项目名称：银川市四二干沟三丁湖生态修复项目</t>
  </si>
  <si>
    <t>序号</t>
  </si>
  <si>
    <t>工程或费用名称</t>
  </si>
  <si>
    <t>单位</t>
  </si>
  <si>
    <t>数量</t>
  </si>
  <si>
    <t>单价（元）</t>
  </si>
  <si>
    <t>合计（元）</t>
  </si>
  <si>
    <t>备注</t>
  </si>
  <si>
    <t>一</t>
  </si>
  <si>
    <t>沉沙工程</t>
  </si>
  <si>
    <t>（一）</t>
  </si>
  <si>
    <t>沉沙凼</t>
  </si>
  <si>
    <t>土方开挖</t>
  </si>
  <si>
    <t>m³</t>
  </si>
  <si>
    <t>土方回填</t>
  </si>
  <si>
    <t>土方开挖及外运（3km)</t>
  </si>
  <si>
    <t>C30现浇砼</t>
  </si>
  <si>
    <t>C20现浇砼垫层</t>
  </si>
  <si>
    <t>卵石填充</t>
  </si>
  <si>
    <t>钢筋制安</t>
  </si>
  <si>
    <t>t</t>
  </si>
  <si>
    <t>（二）</t>
  </si>
  <si>
    <t>清淤车道</t>
  </si>
  <si>
    <t>二</t>
  </si>
  <si>
    <t>液压升降坝</t>
  </si>
  <si>
    <t>座</t>
  </si>
  <si>
    <t>土方工程</t>
  </si>
  <si>
    <r>
      <rPr>
        <sz val="10"/>
        <rFont val="宋体"/>
        <charset val="134"/>
        <scheme val="minor"/>
      </rPr>
      <t>m</t>
    </r>
    <r>
      <rPr>
        <vertAlign val="superscript"/>
        <sz val="10"/>
        <rFont val="宋体"/>
        <charset val="134"/>
        <scheme val="minor"/>
      </rPr>
      <t>3</t>
    </r>
  </si>
  <si>
    <t>土方开挖及外运3Km</t>
  </si>
  <si>
    <t>铺盖</t>
  </si>
  <si>
    <t>C20混凝土垫层</t>
  </si>
  <si>
    <t>C35混凝土护底(高抗硫酸盐水泥，抗渗等级W6，抗冻标号F200）</t>
  </si>
  <si>
    <t>C35混凝土现浇截水墙(高抗硫酸盐水泥，抗渗等级W6，抗冻标号F200）</t>
  </si>
  <si>
    <t>M7.5浆砌石基础</t>
  </si>
  <si>
    <t>M7.5浆砌石护坡</t>
  </si>
  <si>
    <t>C20混凝土护坡</t>
  </si>
  <si>
    <t>聚乙烯油膏</t>
  </si>
  <si>
    <t>双组份聚油密封膏</t>
  </si>
  <si>
    <t>1：4沥青水泥砂浆</t>
  </si>
  <si>
    <r>
      <rPr>
        <sz val="10"/>
        <rFont val="宋体"/>
        <charset val="134"/>
        <scheme val="minor"/>
      </rPr>
      <t>m</t>
    </r>
    <r>
      <rPr>
        <vertAlign val="superscript"/>
        <sz val="10"/>
        <rFont val="宋体"/>
        <charset val="134"/>
        <scheme val="minor"/>
      </rPr>
      <t>2</t>
    </r>
  </si>
  <si>
    <t>651型止水带</t>
  </si>
  <si>
    <t>m</t>
  </si>
  <si>
    <t>苯板（3cm厚）</t>
  </si>
  <si>
    <t>3:7灰土换填</t>
  </si>
  <si>
    <t>（三）</t>
  </si>
  <si>
    <t>闸门控制段</t>
  </si>
  <si>
    <t>干砌石基础</t>
  </si>
  <si>
    <t>C35混凝土现浇闸底(高抗硫酸盐水泥，抗渗等级W6，抗冻标号F200）</t>
  </si>
  <si>
    <t>C25混凝土现浇挡土墙(高抗硫酸盐水泥，抗渗等级W6，抗冻标号F200）</t>
  </si>
  <si>
    <t>预埋件</t>
  </si>
  <si>
    <t>（四）</t>
  </si>
  <si>
    <t>消力池段</t>
  </si>
  <si>
    <t>C35混凝土现浇池底(高抗硫酸盐水泥，抗渗等级W6，抗冻标号F200）</t>
  </si>
  <si>
    <t>（五）</t>
  </si>
  <si>
    <t>海漫</t>
  </si>
  <si>
    <t>格宾石笼基础</t>
  </si>
  <si>
    <r>
      <rPr>
        <sz val="10"/>
        <rFont val="宋体"/>
        <charset val="134"/>
        <scheme val="minor"/>
      </rPr>
      <t>土工布（200g/m</t>
    </r>
    <r>
      <rPr>
        <vertAlign val="superscript"/>
        <sz val="10"/>
        <rFont val="宋体"/>
        <charset val="134"/>
        <scheme val="minor"/>
      </rPr>
      <t>2</t>
    </r>
    <r>
      <rPr>
        <sz val="10"/>
        <rFont val="宋体"/>
        <charset val="134"/>
        <scheme val="minor"/>
      </rPr>
      <t>）</t>
    </r>
  </si>
  <si>
    <t>（六）</t>
  </si>
  <si>
    <t>控制室</t>
  </si>
  <si>
    <t>（七）</t>
  </si>
  <si>
    <t>电缆沟土方工程</t>
  </si>
  <si>
    <t>人工挖沟、槽土方 一、二类土深度(m以内) 2 </t>
  </si>
  <si>
    <t>挖掘机挖土 小型挖掘机挖槽坑土方 一、二类土</t>
  </si>
  <si>
    <t>人工回填 填土夯实 槽、坑</t>
  </si>
  <si>
    <t>机械回填 填土碾压 内燃压路机</t>
  </si>
  <si>
    <t>引水管道</t>
  </si>
  <si>
    <t>管沟细砂垫层</t>
  </si>
  <si>
    <t>管材费、安装费及管件</t>
  </si>
  <si>
    <t>管材费</t>
  </si>
  <si>
    <t>HDPE塑料管(胶圈接口) 管外径(mm以内) 800</t>
  </si>
  <si>
    <t>SN8</t>
  </si>
  <si>
    <t>HDPE塑料管(胶圈接口) 管外径(mm以内) 1000</t>
  </si>
  <si>
    <t>HDPE塑料管(胶圈接口) 管外径(mm以内) 600</t>
  </si>
  <si>
    <t>HDPE塑料管(胶圈接口) 管外径(mm以内) 300</t>
  </si>
  <si>
    <t>安装费</t>
  </si>
  <si>
    <t>管件</t>
  </si>
  <si>
    <t>管道建筑物工程</t>
  </si>
  <si>
    <t>取水口</t>
  </si>
  <si>
    <t>挖掘机挖土 挖掘机挖装槽坑土方 一、二类土</t>
  </si>
  <si>
    <t>井渠、池槽底板C20砼垫层</t>
  </si>
  <si>
    <t>C20砼半地下式池底 平池底(厚度) 50cm以内</t>
  </si>
  <si>
    <t>C25现浇混凝土池壁(隔墙) 直、矩形(厚度) 30cm以内</t>
  </si>
  <si>
    <t>C25砼现浇池盖 无梁盖</t>
  </si>
  <si>
    <t>变形缝 预埋式钢板止水带 平面</t>
  </si>
  <si>
    <t>防水工程 防水砂浆 平池底</t>
  </si>
  <si>
    <t>防水工程 防水砂浆 直池壁</t>
  </si>
  <si>
    <t>成品盖板</t>
  </si>
  <si>
    <t>项</t>
  </si>
  <si>
    <t>铁件制作、安装 预埋铁件</t>
  </si>
  <si>
    <t>脚手架 钢管井字架井深(4m以内)</t>
  </si>
  <si>
    <t xml:space="preserve">出水井J1,J2     </t>
  </si>
  <si>
    <t>建筑物土方回填</t>
  </si>
  <si>
    <t>其他防腐 隔离层 冷底子油 第一遍</t>
  </si>
  <si>
    <t>其他防腐 隔离层 冷底子油 第二遍</t>
  </si>
  <si>
    <t>其他防腐 隔离层 沥青胶泥 厚度8mm 实际厚度(mm):3</t>
  </si>
  <si>
    <t>钢筋混凝土检查井P1-P15 直径1500</t>
  </si>
  <si>
    <t>单座工程量</t>
  </si>
  <si>
    <t>开挖土方</t>
  </si>
  <si>
    <t>回填土方</t>
  </si>
  <si>
    <t>C20砼垫层</t>
  </si>
  <si>
    <t>C25基础底板</t>
  </si>
  <si>
    <t>C25砼墙体</t>
  </si>
  <si>
    <t>C25混凝土盖板预制、安装及运输</t>
  </si>
  <si>
    <t>C20混凝土井筒预制、安装及运输</t>
  </si>
  <si>
    <t>砖砌体</t>
  </si>
  <si>
    <t>0.8m铸铁井盖（含安装）</t>
  </si>
  <si>
    <t>套</t>
  </si>
  <si>
    <t>支墩</t>
  </si>
  <si>
    <t>C20砼管道支墩(挡墩) 每处(m3内)</t>
  </si>
  <si>
    <t>出水井J3</t>
  </si>
  <si>
    <t>八字式管道出水口</t>
  </si>
  <si>
    <t>M7.5浆砌石</t>
  </si>
  <si>
    <t>C30底板现浇</t>
  </si>
  <si>
    <t>三</t>
  </si>
  <si>
    <t>水体生态系统构建</t>
  </si>
  <si>
    <t>土建工程</t>
  </si>
  <si>
    <t>管理房-土建装饰工程</t>
  </si>
  <si>
    <t>管理房-电气工程</t>
  </si>
  <si>
    <t>管理房-设备</t>
  </si>
  <si>
    <t>利用挖方回填土</t>
  </si>
  <si>
    <t>种植土回填</t>
  </si>
  <si>
    <t>种植土购置及回填</t>
  </si>
  <si>
    <t>购置土运距18km(余丁乡牙齿沟）</t>
  </si>
  <si>
    <t>水生植物工程</t>
  </si>
  <si>
    <t>苗木采购</t>
  </si>
  <si>
    <t>芦苇（25株/m2）</t>
  </si>
  <si>
    <t>株</t>
  </si>
  <si>
    <t>菖蒲（36株/m2）</t>
  </si>
  <si>
    <t>水葱（25株/m2）</t>
  </si>
  <si>
    <t>香蒲（25株/m2）</t>
  </si>
  <si>
    <t>荷花（4株/m2）</t>
  </si>
  <si>
    <t>狐尾藻</t>
  </si>
  <si>
    <t>竹叶眼子菜（25丛/m2）</t>
  </si>
  <si>
    <t>丛</t>
  </si>
  <si>
    <t>生态岛播撒草籽</t>
  </si>
  <si>
    <t>kg</t>
  </si>
  <si>
    <t>苗木栽植</t>
  </si>
  <si>
    <t>苗木养护</t>
  </si>
  <si>
    <t>过水汀步</t>
  </si>
  <si>
    <t>人工挖一般土方 一、二类土深度(m以内) 2 </t>
  </si>
  <si>
    <t>土方挖运 运距≤1km</t>
  </si>
  <si>
    <t>人行道整形碾压</t>
  </si>
  <si>
    <t>砂砾石摊铺(天然级配) 厚度(cm) 20</t>
  </si>
  <si>
    <t>现浇C25砼 满堂基础 无梁式</t>
  </si>
  <si>
    <t>M7.5浆砌片石 墩、台、墙</t>
  </si>
  <si>
    <t>人行道块料铺设 花岗岩人行道板</t>
  </si>
  <si>
    <t>30厚手凿面白麻石</t>
  </si>
  <si>
    <t>表流湿地</t>
  </si>
  <si>
    <t>基层修整、碾压 场底修整</t>
  </si>
  <si>
    <t>滤料铺设 卵石(粒径30-50mm)</t>
  </si>
  <si>
    <t>购置运距76km</t>
  </si>
  <si>
    <t>滤料铺设 火山岩(粒径30-50mm)</t>
  </si>
  <si>
    <t>湿地填料改性剂</t>
  </si>
  <si>
    <t>L</t>
  </si>
  <si>
    <t>滤水挡墙</t>
  </si>
  <si>
    <t>细砂垫层</t>
  </si>
  <si>
    <t>现浇构件带肋钢筋 制作安装带肋钢筋 HRB400以内 直径(mm) ≤10</t>
  </si>
  <si>
    <t>格宾网</t>
  </si>
  <si>
    <t>滤料铺设 卵石(粒径60-80mm)</t>
  </si>
  <si>
    <t>巡护道路</t>
  </si>
  <si>
    <t>路床整形碾压</t>
  </si>
  <si>
    <t xml:space="preserve">碎石摊铺 （厚度15cm) </t>
  </si>
  <si>
    <t>在线监测土建工程</t>
  </si>
  <si>
    <t>在线监测房土建</t>
  </si>
  <si>
    <t>（八）</t>
  </si>
  <si>
    <t>四</t>
  </si>
  <si>
    <t>湿地生态治理工程</t>
  </si>
  <si>
    <t>绿化种植工程</t>
  </si>
  <si>
    <t>购置土运距18km</t>
  </si>
  <si>
    <t>苗木及栽植</t>
  </si>
  <si>
    <t>桧柏（H=2.5-3m）</t>
  </si>
  <si>
    <t>冠形丰满,带土球</t>
  </si>
  <si>
    <t>国槐（D≥6cm）</t>
  </si>
  <si>
    <t>半冠移植，分枝点高度≥3.2m,带土球</t>
  </si>
  <si>
    <t>河北杨（D≥10cm）</t>
  </si>
  <si>
    <t>半冠移植，分枝点高度≥3m,带土球</t>
  </si>
  <si>
    <t>垂柳（D≥8cm）</t>
  </si>
  <si>
    <t>半冠移植，分枝点高度≥2.8m,带土球</t>
  </si>
  <si>
    <t>山桃（地径5-6cm）</t>
  </si>
  <si>
    <t>全冠移植，分枝点高度≥1.2m,带土球</t>
  </si>
  <si>
    <t>紫叶李（地径≥8cm）</t>
  </si>
  <si>
    <t>八棱海棠（地径≥8cm）</t>
  </si>
  <si>
    <t>全冠移植，分枝点高度≥1m,带土球</t>
  </si>
  <si>
    <t>地接金叶榆</t>
  </si>
  <si>
    <t>嫁接苗，定杆高度≥0.6m，带土球</t>
  </si>
  <si>
    <t>暴马丁香（地径3-4cm）</t>
  </si>
  <si>
    <t>全冠移植，分枝点高度≥0.5m,带土球</t>
  </si>
  <si>
    <t>桧柏球（冠幅0.8-1.0m）</t>
  </si>
  <si>
    <t>冠形饱满，带土球</t>
  </si>
  <si>
    <t>重瓣榆叶梅</t>
  </si>
  <si>
    <t>8-10分枝，带土球</t>
  </si>
  <si>
    <t>金银木</t>
  </si>
  <si>
    <t>千屈菜（36株/m2）</t>
  </si>
  <si>
    <t>营养钵苗</t>
  </si>
  <si>
    <t>红花多枝怪柳（36株/m2）</t>
  </si>
  <si>
    <t>两年生，营养钵苗</t>
  </si>
  <si>
    <t>三七景天（36株/m2）</t>
  </si>
  <si>
    <t>紫穗槐（25株/m2）</t>
  </si>
  <si>
    <t>红花罗布麻（25株/m2）</t>
  </si>
  <si>
    <t>马蔺（36株/m2）</t>
  </si>
  <si>
    <t>珍珠梅</t>
  </si>
  <si>
    <t>丁香</t>
  </si>
  <si>
    <t>灌溉工程</t>
  </si>
  <si>
    <t>Φ200PE管/1.0MPa</t>
  </si>
  <si>
    <t>Φ160PE管/1.0MPa</t>
  </si>
  <si>
    <t>Φ75PE管/1.0MPa</t>
  </si>
  <si>
    <t>Φ50PE管/1.6MPa</t>
  </si>
  <si>
    <t>Φ20PE微喷管</t>
  </si>
  <si>
    <t>Φ16PE滴灌毛管</t>
  </si>
  <si>
    <t>管件10%</t>
  </si>
  <si>
    <t>插杆微喷头</t>
  </si>
  <si>
    <t>插杆微喷头（喷头流量100L/h）（间距3m*3m,半径1.5m）</t>
  </si>
  <si>
    <t>建筑物工程</t>
  </si>
  <si>
    <t>2.5.1</t>
  </si>
  <si>
    <t>分水阀井（井径1.8m,井深1.5m）混凝土成品井</t>
  </si>
  <si>
    <t>100厚C20砼垫层</t>
  </si>
  <si>
    <t>混凝土成品井（井径1.8m,井深1.5m,含井盖）</t>
  </si>
  <si>
    <t>爬梯</t>
  </si>
  <si>
    <t>个</t>
  </si>
  <si>
    <t>井盖（直径800mm）</t>
  </si>
  <si>
    <t>2.5.2</t>
  </si>
  <si>
    <t>排气阀井（井径1.5m,井深1.5m）混凝土成品井</t>
  </si>
  <si>
    <t>混凝土成品井（井径1.5m,井深1.5m，含井盖）</t>
  </si>
  <si>
    <t>2.5.3</t>
  </si>
  <si>
    <t>放空井（井径1.2m,井深1.5m）混凝土成品井</t>
  </si>
  <si>
    <t>混凝土成品井（井径1.2m,井深1.5m含井盖）</t>
  </si>
  <si>
    <t>2.5.4</t>
  </si>
  <si>
    <t>镇墩</t>
  </si>
  <si>
    <t>C25砼镇墩</t>
  </si>
  <si>
    <t>合计</t>
  </si>
  <si>
    <t>招标代理费</t>
  </si>
  <si>
    <t>计算基数</t>
  </si>
  <si>
    <t>费率</t>
  </si>
  <si>
    <t>金额</t>
  </si>
  <si>
    <t>100以下</t>
  </si>
  <si>
    <t>100-500</t>
  </si>
  <si>
    <t>500-1000</t>
  </si>
  <si>
    <t>1000-5000</t>
  </si>
  <si>
    <t>5000-10000</t>
  </si>
  <si>
    <t>10000-100000</t>
  </si>
  <si>
    <t>100000以上</t>
  </si>
  <si>
    <t>设计费</t>
  </si>
  <si>
    <t>500以下</t>
  </si>
  <si>
    <t>1000以上</t>
  </si>
  <si>
    <t>监理费</t>
  </si>
  <si>
    <t xml:space="preserve"> 项目建设管理费</t>
  </si>
  <si>
    <t>投资</t>
  </si>
  <si>
    <t>计算式</t>
  </si>
  <si>
    <t>1000-3000</t>
  </si>
  <si>
    <t>3000-5000</t>
  </si>
  <si>
    <t>5000-8000</t>
  </si>
  <si>
    <t>8000-10000</t>
  </si>
  <si>
    <t>﹥10000</t>
  </si>
  <si>
    <t>项目建设管理费合计</t>
  </si>
  <si>
    <t>施工监理服务收费计算表</t>
  </si>
  <si>
    <t>名  称</t>
  </si>
  <si>
    <t>调整系数/基价</t>
  </si>
  <si>
    <t>合价</t>
  </si>
  <si>
    <t>施工监理服务收费基准价</t>
  </si>
  <si>
    <t>施工监理服务收费基价(内插法)</t>
  </si>
  <si>
    <t>计费额(万元)</t>
  </si>
  <si>
    <t>计费额标准(万元)</t>
  </si>
  <si>
    <t>收费基价标准(万元)</t>
  </si>
  <si>
    <t>专业调整系数</t>
  </si>
  <si>
    <t>工程复杂程度调整系数</t>
  </si>
  <si>
    <t>高程调整系数</t>
  </si>
  <si>
    <t>浮动幅度值(±20%)</t>
  </si>
  <si>
    <t>施工监理服务收费</t>
  </si>
  <si>
    <r>
      <rPr>
        <sz val="10"/>
        <color indexed="8"/>
        <rFont val="仿宋_GB2312"/>
        <charset val="134"/>
      </rPr>
      <t>施工监理服务收费=施工监理服务收费基准价×（1±浮动幅度值）
施工监理服务收费基准价=施工监理服务</t>
    </r>
    <r>
      <rPr>
        <sz val="10"/>
        <rFont val="仿宋_GB2312"/>
        <charset val="134"/>
      </rPr>
      <t>收费基价</t>
    </r>
    <r>
      <rPr>
        <sz val="10"/>
        <color indexed="8"/>
        <rFont val="仿宋_GB2312"/>
        <charset val="134"/>
      </rPr>
      <t>×专业调整系数×工程复杂程度调整系数×高程调整系数</t>
    </r>
  </si>
  <si>
    <t>计费额</t>
  </si>
  <si>
    <t>收费基价</t>
  </si>
  <si>
    <t>崇岗镇跃进村盐碱地改良项目总概算表</t>
  </si>
  <si>
    <t>单位：万元</t>
  </si>
  <si>
    <t>建 安     工程费</t>
  </si>
  <si>
    <t>设 备             购置费</t>
  </si>
  <si>
    <t>独 立
费 用</t>
  </si>
  <si>
    <t>合  计</t>
  </si>
  <si>
    <t>第一部分   建筑工程</t>
  </si>
  <si>
    <t>五</t>
  </si>
  <si>
    <t>六</t>
  </si>
  <si>
    <t>七</t>
  </si>
  <si>
    <t>第二部分  机电设备安装工程</t>
  </si>
  <si>
    <t>第三部分金属结构及设备安装工程</t>
  </si>
  <si>
    <t>第一~第三部分合计</t>
  </si>
  <si>
    <t>第四部分  施工临时工程</t>
  </si>
  <si>
    <t>第一~第四部分合计</t>
  </si>
  <si>
    <t>第五部分  独立费用</t>
  </si>
  <si>
    <t>建设管理费</t>
  </si>
  <si>
    <t>工程监理费</t>
  </si>
  <si>
    <t>工程勘测设计费</t>
  </si>
  <si>
    <t>工程勘测费</t>
  </si>
  <si>
    <t>工程设计费2%</t>
  </si>
  <si>
    <t>控制价编制费</t>
  </si>
  <si>
    <t>控制价审核费</t>
  </si>
  <si>
    <t>工程结算审核费</t>
  </si>
  <si>
    <t>八</t>
  </si>
  <si>
    <t>竣工财务决算费</t>
  </si>
  <si>
    <t>九</t>
  </si>
  <si>
    <t>其他费用</t>
  </si>
  <si>
    <t>安全文明施工费</t>
  </si>
  <si>
    <t>工程质量检测费</t>
  </si>
  <si>
    <t>第一~第五部分合计</t>
  </si>
  <si>
    <t>基本预备费3%</t>
  </si>
  <si>
    <t>总投资</t>
  </si>
  <si>
    <t xml:space="preserve">项目名称：崇岗镇跃进村盐碱地改良项目                                          </t>
  </si>
  <si>
    <t>编号</t>
  </si>
  <si>
    <t>单价(元)</t>
  </si>
  <si>
    <t>合价(元)</t>
  </si>
  <si>
    <t>合 计</t>
  </si>
  <si>
    <t>土地平整工程</t>
  </si>
  <si>
    <t>亩</t>
  </si>
  <si>
    <t>土方推运30m</t>
  </si>
  <si>
    <t>激光平地</t>
  </si>
  <si>
    <t>土壤改良与培肥工程</t>
  </si>
  <si>
    <t>轻度盐碱地配施有机肥</t>
  </si>
  <si>
    <t>脱硫石膏</t>
  </si>
  <si>
    <t>吨</t>
  </si>
  <si>
    <t>羊粪（有机肥）</t>
  </si>
  <si>
    <t>改良剂</t>
  </si>
  <si>
    <t>秸秆换田、深耕深翻（60cm）</t>
  </si>
  <si>
    <t>轻中度盐碱地配施有机肥</t>
  </si>
  <si>
    <t>秸秆还田、深耕深翻（60cm）</t>
  </si>
  <si>
    <t>中重度盐碱地配施有机肥</t>
  </si>
  <si>
    <t>斗渠维修改造砌护工程</t>
  </si>
  <si>
    <t>km</t>
  </si>
  <si>
    <t>1#斗渠D=0.8m</t>
  </si>
  <si>
    <t>C20砼渠板预制、安装及运输(缝板比0.17,运距1km)</t>
  </si>
  <si>
    <t>C20砼渠板拆除及外运（1km)</t>
  </si>
  <si>
    <t>配套建筑物工程</t>
  </si>
  <si>
    <t>不带路农口（0.8*2m）</t>
  </si>
  <si>
    <r>
      <rPr>
        <sz val="10.5"/>
        <rFont val="宋体"/>
        <charset val="134"/>
      </rPr>
      <t>m</t>
    </r>
    <r>
      <rPr>
        <vertAlign val="superscript"/>
        <sz val="10.5"/>
        <rFont val="宋体"/>
        <charset val="134"/>
      </rPr>
      <t>3</t>
    </r>
  </si>
  <si>
    <t>C15砼现浇</t>
  </si>
  <si>
    <t>C20砼现浇</t>
  </si>
  <si>
    <t>DN800钢筋混凝土排水管（Ⅰ级)</t>
  </si>
  <si>
    <t>建筑物拆除及外运（1km）</t>
  </si>
  <si>
    <t>0.8*0.8m整体式闸门带启闭机</t>
  </si>
  <si>
    <t>1.0m节制闸</t>
  </si>
  <si>
    <t>整体式闸门启闭机1m*1m</t>
  </si>
  <si>
    <t>C25砼桥板预制、安装及运输</t>
  </si>
  <si>
    <t>排水工程</t>
  </si>
  <si>
    <t>暗管排水工程</t>
  </si>
  <si>
    <t>小型光伏强排泵站</t>
  </si>
  <si>
    <t>其他附属设施</t>
  </si>
  <si>
    <t>土方回填碾压</t>
  </si>
  <si>
    <t>玻璃钢箱</t>
  </si>
  <si>
    <t>㎡</t>
  </si>
  <si>
    <t>1.8m金属围栏</t>
  </si>
  <si>
    <t>10cm厚碎石地坪</t>
  </si>
  <si>
    <t>C20混凝土太阳能板支墩</t>
  </si>
  <si>
    <t>15cm砂砾石垫层</t>
  </si>
  <si>
    <t>钢管DN100立柱</t>
  </si>
  <si>
    <t>矩形钢管斜梁80*40*2.5mm</t>
  </si>
  <si>
    <t>C型钢横梁40*60*2.5mm</t>
  </si>
  <si>
    <t>钢制底座</t>
  </si>
  <si>
    <t>预埋钢板220*220*2.5mm</t>
  </si>
  <si>
    <t>降水台班</t>
  </si>
  <si>
    <t>台班</t>
  </si>
  <si>
    <t>田间吸水管工程</t>
  </si>
  <si>
    <t>de80PE单壁波纹管料购置及铺设</t>
  </si>
  <si>
    <t>管道包裹及制作（土工布（短丝68g/㎡））</t>
  </si>
  <si>
    <t>大型机械进出场安拆费</t>
  </si>
  <si>
    <t>台次</t>
  </si>
  <si>
    <t>集水管工程</t>
  </si>
  <si>
    <t>UPVC集水管购置（0.63MPa)</t>
  </si>
  <si>
    <t>de110UPVC管购置</t>
  </si>
  <si>
    <t>de160UPVC管购置</t>
  </si>
  <si>
    <t>de200UPVC管购置</t>
  </si>
  <si>
    <t>de250UPVC管购置</t>
  </si>
  <si>
    <t>UPVC集水管安装（0.63MPa)</t>
  </si>
  <si>
    <t>de110UPVC管安装</t>
  </si>
  <si>
    <t>de160UPVC管安装</t>
  </si>
  <si>
    <t>de200UPVC管安装</t>
  </si>
  <si>
    <t>de250UPVC管安装</t>
  </si>
  <si>
    <t>管件购置及安装</t>
  </si>
  <si>
    <t>%</t>
  </si>
  <si>
    <t>集水管土方工程</t>
  </si>
  <si>
    <t>管槽土方开挖（人工20%+机械80%）</t>
  </si>
  <si>
    <t>管槽土方回填</t>
  </si>
  <si>
    <t>建筑物</t>
  </si>
  <si>
    <t>B类检查井</t>
  </si>
  <si>
    <t>单井</t>
  </si>
  <si>
    <t>C25砼底座安装（包含预制、运输5km）</t>
  </si>
  <si>
    <t>C25砼盖板安装（包含预制、运输5km）</t>
  </si>
  <si>
    <t>DN800钢筋砼排水管（Ⅰ级）</t>
  </si>
  <si>
    <t>砂砾石垫层</t>
  </si>
  <si>
    <t>沥青油膏封管</t>
  </si>
  <si>
    <t>砂滤料封管</t>
  </si>
  <si>
    <t>集水井</t>
  </si>
  <si>
    <t>DN1600钢筋砼排水管（Ⅰ级）</t>
  </si>
  <si>
    <t>出水口尾水</t>
  </si>
  <si>
    <t>卵石垫层</t>
  </si>
  <si>
    <t>C20现浇砼</t>
  </si>
  <si>
    <t>二三九队中心沟补水泵站水池维修</t>
  </si>
  <si>
    <t>C25砼墙体安装（包含预制、运输5km）</t>
  </si>
  <si>
    <t>田间生产道路工程</t>
  </si>
  <si>
    <t>田间砂砾石道路及素土生产路</t>
  </si>
  <si>
    <t>土方拉运（运距1-1.5km)</t>
  </si>
  <si>
    <t>路基压实</t>
  </si>
  <si>
    <t>铺筑砂砾石路面（15cm)</t>
  </si>
  <si>
    <t>低洼地客土回填</t>
  </si>
  <si>
    <t>客土回填</t>
  </si>
  <si>
    <t>客土回填土石方量</t>
  </si>
  <si>
    <t>客土拉运（运距1-1.5km)</t>
  </si>
  <si>
    <t>耕地质量监测点</t>
  </si>
  <si>
    <t>机电设备及安装工程</t>
  </si>
  <si>
    <t>工程名称</t>
  </si>
  <si>
    <t>单　价（元）</t>
  </si>
  <si>
    <t>合　计（元）</t>
  </si>
  <si>
    <t>设备费</t>
  </si>
  <si>
    <t>光伏泵站</t>
  </si>
  <si>
    <t>电池板连接电缆pv1-f-4</t>
  </si>
  <si>
    <t>太阳能电缆(YJV-0.4/1KV-3*4+1*2.5)</t>
  </si>
  <si>
    <t>太阳能光伏板(1650mm*g92mm)12块(含光伏配件)</t>
  </si>
  <si>
    <t>太阳能板支架</t>
  </si>
  <si>
    <t>PLC控制柜</t>
  </si>
  <si>
    <t>太阳能变频水泵65WQ25-10-1.5</t>
  </si>
  <si>
    <t>台</t>
  </si>
  <si>
    <t>防雷接地装置（镀锌）</t>
  </si>
  <si>
    <t>光伏扬水逆变器(4KW )</t>
  </si>
  <si>
    <t>3kw、380v变频器</t>
  </si>
  <si>
    <t>时间继电器(ABBCT-MFD.21)</t>
  </si>
  <si>
    <t>液位传感器(型号MIK-P260、量程</t>
  </si>
  <si>
    <t>流量表</t>
  </si>
  <si>
    <t>配电箱</t>
  </si>
  <si>
    <t>自动控制系统</t>
  </si>
  <si>
    <t>高压危险，小心触电”标志牌</t>
  </si>
  <si>
    <t>二三九队中心沟补水泵站老旧泵站更新设备</t>
  </si>
  <si>
    <t>200QJ50-39/3</t>
  </si>
  <si>
    <t>配电箱(600*500*400)</t>
  </si>
  <si>
    <t>0.4kv电力电缆(JHS-3*50)</t>
  </si>
  <si>
    <t xml:space="preserve">0.4KV低压变频柜柜(MNS-800*800*2200)变频器变频器ACH531-01-73A-4+P973（含计量装置、自动补偿装置） </t>
  </si>
  <si>
    <t>电力穿线管(PE100)</t>
  </si>
  <si>
    <t>10KV双杆变台(S14-125/10/0.4)</t>
  </si>
  <si>
    <t>运杂二项综合费6.742%</t>
  </si>
  <si>
    <t>金属结构设备及安装工程</t>
  </si>
  <si>
    <t>金属结构设备费</t>
  </si>
  <si>
    <t>进水钢管DN100</t>
  </si>
  <si>
    <t>闸阀DN100</t>
  </si>
  <si>
    <t>90°铸铁弯头 DN100</t>
  </si>
  <si>
    <t>135°铸铁弯头 DN100</t>
  </si>
  <si>
    <t>法兰 DN100</t>
  </si>
  <si>
    <t>￠6细钢丝绳</t>
  </si>
  <si>
    <t>钢套管</t>
  </si>
  <si>
    <t>工程设计收费计算表</t>
  </si>
  <si>
    <t>工程设计费</t>
  </si>
  <si>
    <t>工程设计收费基准价</t>
  </si>
  <si>
    <t>工程设计收费基价</t>
  </si>
  <si>
    <t>附加调整系数</t>
  </si>
  <si>
    <t>各阶段工程勘察费</t>
  </si>
  <si>
    <t>系数</t>
  </si>
  <si>
    <t>初步设计</t>
  </si>
  <si>
    <t>招标设计</t>
  </si>
  <si>
    <t>施工图设计</t>
  </si>
  <si>
    <t>作业准备费</t>
  </si>
  <si>
    <t>工程设计前期费</t>
  </si>
  <si>
    <t>项目建议书</t>
  </si>
  <si>
    <t>可行性研究</t>
  </si>
  <si>
    <t>工程设计收费</t>
  </si>
  <si>
    <t>工程设计收费合计</t>
  </si>
  <si>
    <t>工程设计收费=工程设计收费基准价×（1±浮动幅度值）
工程设计收费基准价=基本设计收费+其他设计收费
基本设计收费=工程设计收费基价×专业调整系数×工程复杂程度调整系数×附加调整系数</t>
  </si>
  <si>
    <t>工程勘察收费计算表</t>
  </si>
  <si>
    <t>工程勘察费</t>
  </si>
  <si>
    <t>工程勘察收费基准价</t>
  </si>
  <si>
    <t>工程勘察收费基价(内插法)</t>
  </si>
  <si>
    <t>工程勘察前期费</t>
  </si>
  <si>
    <t>工程类型调整系数</t>
  </si>
  <si>
    <t>高程附加调整系数</t>
  </si>
  <si>
    <t>浮动幅度值</t>
  </si>
  <si>
    <t>工程勘察收费</t>
  </si>
  <si>
    <t>工程勘察收费合计</t>
  </si>
  <si>
    <r>
      <rPr>
        <sz val="9"/>
        <color indexed="8"/>
        <rFont val="仿宋_GB2312"/>
        <charset val="134"/>
      </rPr>
      <t>工程勘察收费=工程勘察收费基准价×（1±浮动幅度值）
工程勘察收费基准价=基本勘察收费+其他勘察收费
基本勘察收费=工程勘察</t>
    </r>
    <r>
      <rPr>
        <sz val="9"/>
        <rFont val="仿宋_GB2312"/>
        <charset val="134"/>
      </rPr>
      <t>收费基价</t>
    </r>
    <r>
      <rPr>
        <sz val="9"/>
        <color indexed="8"/>
        <rFont val="仿宋_GB2312"/>
        <charset val="134"/>
      </rPr>
      <t>×专业调整系数×工程复杂程度调整系数×附加调整系数</t>
    </r>
  </si>
  <si>
    <t>建筑工程估算表</t>
  </si>
  <si>
    <t>项目名称：中宁县清水河下段综合治理工程</t>
  </si>
  <si>
    <t>Ⅰ</t>
  </si>
  <si>
    <t>防洪提升工程</t>
  </si>
  <si>
    <t>清水河沙坡头区段防洪提升工程</t>
  </si>
  <si>
    <t>土方</t>
  </si>
  <si>
    <t>土方开挖(有地下水、包括晾晒)</t>
  </si>
  <si>
    <t>建筑垃圾清运（运距1-1.5km）</t>
  </si>
  <si>
    <t>土方外运（1-1.5km）</t>
  </si>
  <si>
    <t>岸坡砌护</t>
  </si>
  <si>
    <t>人工修整边坡</t>
  </si>
  <si>
    <r>
      <rPr>
        <sz val="10.5"/>
        <rFont val="微软雅黑"/>
        <charset val="134"/>
      </rPr>
      <t>m</t>
    </r>
    <r>
      <rPr>
        <vertAlign val="superscript"/>
        <sz val="10.5"/>
        <rFont val="微软雅黑"/>
        <charset val="134"/>
      </rPr>
      <t>2</t>
    </r>
  </si>
  <si>
    <t>格宾基础</t>
  </si>
  <si>
    <t>格宾护坡</t>
  </si>
  <si>
    <t>戗台</t>
  </si>
  <si>
    <r>
      <rPr>
        <sz val="10.5"/>
        <rFont val="微软雅黑"/>
        <charset val="134"/>
      </rPr>
      <t>土工布（200g/</t>
    </r>
    <r>
      <rPr>
        <sz val="10.5"/>
        <rFont val="宋体"/>
        <charset val="134"/>
      </rPr>
      <t>㎡</t>
    </r>
    <r>
      <rPr>
        <sz val="10.5"/>
        <rFont val="微软雅黑"/>
        <charset val="134"/>
      </rPr>
      <t>）</t>
    </r>
  </si>
  <si>
    <t>抢险道路</t>
  </si>
  <si>
    <t>路基清理、整平、碾压(压路机碾压)</t>
  </si>
  <si>
    <t>碎石路面（宽4m，厚15cm）</t>
  </si>
  <si>
    <t>C15砼路缘石预制、运输及安装</t>
  </si>
  <si>
    <t>防撞波形护栏（采购、运输、安装）</t>
  </si>
  <si>
    <t>改线渠道（D40）</t>
  </si>
  <si>
    <t>渠道衬砌旧砼拆除及运输（0.5-1km）</t>
  </si>
  <si>
    <r>
      <rPr>
        <sz val="10.5"/>
        <rFont val="微软雅黑"/>
        <charset val="134"/>
      </rPr>
      <t>m</t>
    </r>
    <r>
      <rPr>
        <vertAlign val="superscript"/>
        <sz val="10.5"/>
        <rFont val="微软雅黑"/>
        <charset val="134"/>
      </rPr>
      <t>3</t>
    </r>
  </si>
  <si>
    <t>U型槽土方开挖（人工30%+机械70%）</t>
  </si>
  <si>
    <t>C20砼U型板预制、运输、砌护</t>
  </si>
  <si>
    <t>聚乙烯油膏伸缩缝</t>
  </si>
  <si>
    <t>安全防护栏工程（原防洪堤段、马莲渠2#～杨营段拜顶、九排入清水河段增加护栏）</t>
  </si>
  <si>
    <t>人工种草</t>
  </si>
  <si>
    <t>种植费</t>
  </si>
  <si>
    <t>撒播（沙蒿+冰草）</t>
  </si>
  <si>
    <r>
      <rPr>
        <sz val="10.5"/>
        <rFont val="微软雅黑"/>
        <charset val="134"/>
      </rPr>
      <t>hm</t>
    </r>
    <r>
      <rPr>
        <vertAlign val="superscript"/>
        <sz val="10.5"/>
        <rFont val="微软雅黑"/>
        <charset val="134"/>
      </rPr>
      <t>2</t>
    </r>
  </si>
  <si>
    <t>草籽费</t>
  </si>
  <si>
    <t>沙蒿</t>
  </si>
  <si>
    <t>冰草</t>
  </si>
  <si>
    <t>清水河中宁县段防洪提升工程</t>
  </si>
  <si>
    <t>格宾石笼护岸（一）</t>
  </si>
  <si>
    <t>治理段左5</t>
  </si>
  <si>
    <t>格宾护垫300mm</t>
  </si>
  <si>
    <r>
      <rPr>
        <sz val="10.5"/>
        <rFont val="微软雅黑"/>
        <charset val="134"/>
      </rPr>
      <t>m</t>
    </r>
    <r>
      <rPr>
        <vertAlign val="superscript"/>
        <sz val="10.5"/>
        <color theme="1"/>
        <rFont val="微软雅黑"/>
        <charset val="134"/>
      </rPr>
      <t>2</t>
    </r>
  </si>
  <si>
    <t>格宾石笼护脚</t>
  </si>
  <si>
    <t>格栅石笼护脚</t>
  </si>
  <si>
    <t>250g/m2土工布</t>
  </si>
  <si>
    <t>C20素砼压顶</t>
  </si>
  <si>
    <t>碎石路面</t>
  </si>
  <si>
    <t>河底格宾护垫</t>
  </si>
  <si>
    <t>河底200g/m2土工布</t>
  </si>
  <si>
    <t>治理段左6</t>
  </si>
  <si>
    <t>格宾石笼护岸（二）</t>
  </si>
  <si>
    <t>大三角块铰接式护岸</t>
  </si>
  <si>
    <t>治理段左7</t>
  </si>
  <si>
    <t xml:space="preserve">大三角块铰接式护坡 </t>
  </si>
  <si>
    <t>辅材（U型钉等）</t>
  </si>
  <si>
    <t>治理段左8</t>
  </si>
  <si>
    <t>治理段左9</t>
  </si>
  <si>
    <t>治理段左10</t>
  </si>
  <si>
    <t>治理段左11</t>
  </si>
  <si>
    <t>治理段左12</t>
  </si>
  <si>
    <t>治理段左13</t>
  </si>
  <si>
    <t>治理段左14</t>
  </si>
  <si>
    <t>治理段左15</t>
  </si>
  <si>
    <t>治理段左16</t>
  </si>
  <si>
    <t>治理段左17</t>
  </si>
  <si>
    <t>治理段左18</t>
  </si>
  <si>
    <t>治理段左19</t>
  </si>
  <si>
    <t>治理段左20</t>
  </si>
  <si>
    <t>治理段左21</t>
  </si>
  <si>
    <t>治理段左22</t>
  </si>
  <si>
    <t>治理段左23</t>
  </si>
  <si>
    <t>治理段左24</t>
  </si>
  <si>
    <t>治理段左25</t>
  </si>
  <si>
    <t>治理段右1</t>
  </si>
  <si>
    <t>治理段右2</t>
  </si>
  <si>
    <t>治理段右3</t>
  </si>
  <si>
    <t>治理段右4</t>
  </si>
  <si>
    <t>治理段右5</t>
  </si>
  <si>
    <t>治理段右6</t>
  </si>
  <si>
    <t>治理段右7</t>
  </si>
  <si>
    <t>治理段右8</t>
  </si>
  <si>
    <t>治理段右9</t>
  </si>
  <si>
    <t>治理段右10</t>
  </si>
  <si>
    <t>治理段右11</t>
  </si>
  <si>
    <t>治理段右12</t>
  </si>
  <si>
    <t>治理段右13</t>
  </si>
  <si>
    <t>治理段右14</t>
  </si>
  <si>
    <t>治理段右15</t>
  </si>
  <si>
    <t>治理段右16</t>
  </si>
  <si>
    <t>Ⅶ</t>
  </si>
  <si>
    <t>苋麻沟骨干坝加固改造工程</t>
  </si>
  <si>
    <t>土坝工程</t>
  </si>
  <si>
    <t>坝坡冲沟处理</t>
  </si>
  <si>
    <t>坝坡排水</t>
  </si>
  <si>
    <t xml:space="preserve">C20砼 U 形板预制、运输及安装 </t>
  </si>
  <si>
    <t xml:space="preserve">沥青油膏 </t>
  </si>
  <si>
    <t>坝顶处理</t>
  </si>
  <si>
    <t>坝顶砂砾石路面（厚150mm）</t>
  </si>
  <si>
    <t xml:space="preserve">溢洪道工程 </t>
  </si>
  <si>
    <t>进口段</t>
  </si>
  <si>
    <t>侧墙 C25 砼浇筑（高抗硫水泥）</t>
  </si>
  <si>
    <t xml:space="preserve">底板 C25 砼浇筑（高抗硫水泥） </t>
  </si>
  <si>
    <t xml:space="preserve">垫层 C15 砼浇筑 </t>
  </si>
  <si>
    <t xml:space="preserve">2：8 水泥土回填 </t>
  </si>
  <si>
    <t>控制段</t>
  </si>
  <si>
    <t>C25 砼浇筑（高抗硫水泥）</t>
  </si>
  <si>
    <t xml:space="preserve"> C25 混凝土桥板预制、运输及安装</t>
  </si>
  <si>
    <t>交通桥护栏(C25 混凝土浇筑)</t>
  </si>
  <si>
    <t>垫层 C15 砼浇筑</t>
  </si>
  <si>
    <t xml:space="preserve">橡胶止水带 </t>
  </si>
  <si>
    <t xml:space="preserve">延长 m </t>
  </si>
  <si>
    <r>
      <rPr>
        <sz val="10.5"/>
        <rFont val="微软雅黑"/>
        <charset val="134"/>
      </rPr>
      <t>20kg/m</t>
    </r>
    <r>
      <rPr>
        <vertAlign val="superscript"/>
        <sz val="10.5"/>
        <rFont val="微软雅黑"/>
        <charset val="134"/>
      </rPr>
      <t>3</t>
    </r>
    <r>
      <rPr>
        <sz val="10.5"/>
        <rFont val="微软雅黑"/>
        <charset val="134"/>
      </rPr>
      <t xml:space="preserve">苯板 </t>
    </r>
  </si>
  <si>
    <t>明渠、陡坡及消力池</t>
  </si>
  <si>
    <t xml:space="preserve">浆砌石挡墙 </t>
  </si>
  <si>
    <t xml:space="preserve">干砌石海漫 </t>
  </si>
  <si>
    <t xml:space="preserve">混凝土拉梁 </t>
  </si>
  <si>
    <t>放水建筑</t>
  </si>
  <si>
    <t xml:space="preserve">明渠段 </t>
  </si>
  <si>
    <t>上坝道路工程</t>
  </si>
  <si>
    <t>简易道路</t>
  </si>
  <si>
    <t>土方挖运(运距0.5km)</t>
  </si>
  <si>
    <t>砂砾石路面(厚15cm)</t>
  </si>
  <si>
    <t>C25 砼（排水沟）</t>
  </si>
  <si>
    <t>岸坡防护工程</t>
  </si>
  <si>
    <t>1#</t>
  </si>
  <si>
    <t>断面不足段，开挖</t>
  </si>
  <si>
    <t>土方填筑</t>
  </si>
  <si>
    <t>堤防填筑，压实系数0.91</t>
  </si>
  <si>
    <t>土方开挖及拉运（500m）</t>
  </si>
  <si>
    <t>堤防填筑不足土方</t>
  </si>
  <si>
    <t>格宾石笼护坡</t>
  </si>
  <si>
    <t>岸坡</t>
  </si>
  <si>
    <t>基础</t>
  </si>
  <si>
    <t>300g/m2土工布</t>
  </si>
  <si>
    <t>下层反滤</t>
  </si>
  <si>
    <t>2#</t>
  </si>
  <si>
    <t>3#</t>
  </si>
  <si>
    <t>4#</t>
  </si>
  <si>
    <t>5#</t>
  </si>
  <si>
    <t>6#</t>
  </si>
  <si>
    <t>7#</t>
  </si>
  <si>
    <t>铰接联锁块护护坡</t>
  </si>
  <si>
    <t>8#</t>
  </si>
  <si>
    <t>9#</t>
  </si>
  <si>
    <t>10#</t>
  </si>
  <si>
    <t>11#</t>
  </si>
  <si>
    <t>12#</t>
  </si>
  <si>
    <t>13#</t>
  </si>
  <si>
    <t>14#</t>
  </si>
  <si>
    <t>15#</t>
  </si>
  <si>
    <t>16#</t>
  </si>
  <si>
    <t>17#</t>
  </si>
  <si>
    <t>18#</t>
  </si>
  <si>
    <t>19#</t>
  </si>
  <si>
    <t>20#</t>
  </si>
  <si>
    <t>21#</t>
  </si>
  <si>
    <t>22#</t>
  </si>
  <si>
    <t>23#</t>
  </si>
  <si>
    <t>24#</t>
  </si>
  <si>
    <t>25#</t>
  </si>
  <si>
    <t>26#</t>
  </si>
  <si>
    <t>27#</t>
  </si>
  <si>
    <t>28#</t>
  </si>
  <si>
    <t>29#</t>
  </si>
  <si>
    <t>30#</t>
  </si>
  <si>
    <t>31#</t>
  </si>
  <si>
    <t>32#</t>
  </si>
  <si>
    <t>33#</t>
  </si>
  <si>
    <t>34#</t>
  </si>
  <si>
    <t>35#</t>
  </si>
  <si>
    <t>36#</t>
  </si>
  <si>
    <t>37#</t>
  </si>
  <si>
    <t>38#</t>
  </si>
  <si>
    <t>39#</t>
  </si>
  <si>
    <t>40#</t>
  </si>
  <si>
    <t>41#</t>
  </si>
  <si>
    <t>42#</t>
  </si>
  <si>
    <t>43#</t>
  </si>
  <si>
    <t>44#</t>
  </si>
  <si>
    <t>45#</t>
  </si>
  <si>
    <t>46#</t>
  </si>
  <si>
    <t>47#</t>
  </si>
  <si>
    <t>48#</t>
  </si>
  <si>
    <t>49#</t>
  </si>
  <si>
    <t>50#</t>
  </si>
  <si>
    <t>51#</t>
  </si>
  <si>
    <t>52#</t>
  </si>
  <si>
    <t>53#</t>
  </si>
  <si>
    <t>54#</t>
  </si>
  <si>
    <t>55#</t>
  </si>
  <si>
    <t>56#</t>
  </si>
  <si>
    <t>57#</t>
  </si>
  <si>
    <t>58#</t>
  </si>
  <si>
    <t>59#</t>
  </si>
  <si>
    <t>60#</t>
  </si>
  <si>
    <t>61#</t>
  </si>
  <si>
    <t>62#</t>
  </si>
  <si>
    <t>Ⅱ</t>
  </si>
  <si>
    <t>处</t>
  </si>
  <si>
    <t>Ⅲ</t>
  </si>
  <si>
    <t>水土流失防治工程</t>
  </si>
  <si>
    <t>工程措施</t>
  </si>
  <si>
    <t>林草措施</t>
  </si>
  <si>
    <t>封育治理措施</t>
  </si>
  <si>
    <t>生态缓冲区工程</t>
  </si>
  <si>
    <t>生态缓冲区土方工程</t>
  </si>
  <si>
    <t>土方开挖（用于堤防填筑）</t>
  </si>
  <si>
    <t>土方回填（用于陡坎拉坡）</t>
  </si>
  <si>
    <t>土方开挖及外运（4.0km)</t>
  </si>
  <si>
    <t>踏步工程</t>
  </si>
  <si>
    <t>碎石垫层 10cm厚</t>
  </si>
  <si>
    <t>C20砼梯带</t>
  </si>
  <si>
    <t>马道工程</t>
  </si>
  <si>
    <t>碎石路面 4m宽、15cm厚（粒径≤1.5cm）</t>
  </si>
  <si>
    <t>生态缓冲区绿化工程</t>
  </si>
  <si>
    <t>绿化工程</t>
  </si>
  <si>
    <t>人工土地整治</t>
  </si>
  <si>
    <t>鱼鳞坑整地</t>
  </si>
  <si>
    <t>栽植费（侧柏）H:1.5-2.0m</t>
  </si>
  <si>
    <t>侧柏苗木费（补植率按30%计）</t>
  </si>
  <si>
    <t>栽植费（旱柳1）</t>
  </si>
  <si>
    <t>旱柳1苗木费（补植率按30%计）胸径15.1～18.0cm</t>
  </si>
  <si>
    <t>栽植费（旱柳2）</t>
  </si>
  <si>
    <t>旱柳2苗木费（补植率按30%计）胸径7.1～8.0cm</t>
  </si>
  <si>
    <t>栽植费（河北杨）</t>
  </si>
  <si>
    <t>河北杨苗木费（补植率按30%计）胸径6.1～7.0cm</t>
  </si>
  <si>
    <t>栽植费（刺槐）</t>
  </si>
  <si>
    <t>刺槐苗木费（补植率按30%计）胸径6.1～7.0cm</t>
  </si>
  <si>
    <t>栽植费（高接金叶榆）</t>
  </si>
  <si>
    <t>高接金叶榆苗木费（补植率按30%计）胸径4.1～5.0cm</t>
  </si>
  <si>
    <t>紫穗槐（9株/m2）</t>
  </si>
  <si>
    <t>怪柳 三年生（9株/m2）</t>
  </si>
  <si>
    <t>芦苇（9株/m2）</t>
  </si>
  <si>
    <t>幼林抚育（第一年）</t>
  </si>
  <si>
    <t>幼林抚育（第二年）</t>
  </si>
  <si>
    <t>幼林抚育（第三年）</t>
  </si>
  <si>
    <t>播撒草籽</t>
  </si>
  <si>
    <t>4.2.1</t>
  </si>
  <si>
    <t>干管</t>
  </si>
  <si>
    <t>φ125PE干管0.6MPa</t>
  </si>
  <si>
    <t>管件及阀件</t>
  </si>
  <si>
    <t>4.2.2</t>
  </si>
  <si>
    <t>支管</t>
  </si>
  <si>
    <t>φ90PE支管0.8MPa</t>
  </si>
  <si>
    <t>管道安装费</t>
  </si>
  <si>
    <t>4.2.3</t>
  </si>
  <si>
    <t>毛管</t>
  </si>
  <si>
    <t>φ16滴灌带</t>
  </si>
  <si>
    <t>φ4出流毛管</t>
  </si>
  <si>
    <t>4.2.4</t>
  </si>
  <si>
    <t>φ125消防给水栓</t>
  </si>
  <si>
    <t>1.0m×1.0m智能一体化闸门</t>
  </si>
  <si>
    <t>DN1000钢筋砼排水管（Ⅱ级管）（3m×11节）</t>
  </si>
  <si>
    <t>C25混凝土启闭机台板（抗硫）</t>
  </si>
  <si>
    <t>C25混凝土贴面（抗硫）</t>
  </si>
  <si>
    <t>C20现浇混凝土管床（抗硫）</t>
  </si>
  <si>
    <t>C20现浇混凝土面层（进出口）（抗硫）</t>
  </si>
  <si>
    <t>MU30 M7.5浆砌石基础</t>
  </si>
  <si>
    <t>MU30 M7.5浆砌石挡墙</t>
  </si>
  <si>
    <t>C15混凝土台帽（抗硫）</t>
  </si>
  <si>
    <t>MU30 M7.5浆砌石护坡</t>
  </si>
  <si>
    <t>钢筋制安（混凝土面层钢筋网）</t>
  </si>
  <si>
    <t>细部构件</t>
  </si>
  <si>
    <t>智能一体化闸门（直升式）1.0m×1.0m</t>
  </si>
  <si>
    <t>主河槽进水闸闸前防冲护底</t>
  </si>
  <si>
    <t>MU30、M7.5 浆砌石基础</t>
  </si>
  <si>
    <t>C20现浇混凝土底板</t>
  </si>
  <si>
    <t>C20现浇混凝土防冲墙（抗硫）</t>
  </si>
  <si>
    <r>
      <rPr>
        <sz val="10.5"/>
        <rFont val="微软雅黑"/>
        <charset val="134"/>
      </rPr>
      <t>苯板（20kg/m</t>
    </r>
    <r>
      <rPr>
        <vertAlign val="superscript"/>
        <sz val="10.5"/>
        <rFont val="微软雅黑"/>
        <charset val="134"/>
      </rPr>
      <t>3</t>
    </r>
    <r>
      <rPr>
        <sz val="10.5"/>
        <rFont val="微软雅黑"/>
        <charset val="134"/>
      </rPr>
      <t>)</t>
    </r>
  </si>
  <si>
    <t>堤防及道路工程</t>
  </si>
  <si>
    <t>堤防工程</t>
  </si>
  <si>
    <t>土方回填压实（0.95压实系数）</t>
  </si>
  <si>
    <t>土方清基 50cm厚</t>
  </si>
  <si>
    <t>护岸工程</t>
  </si>
  <si>
    <t>土方回填（压实）</t>
  </si>
  <si>
    <t>格宾网垫 40cm厚</t>
  </si>
  <si>
    <r>
      <rPr>
        <sz val="10.5"/>
        <rFont val="微软雅黑"/>
        <charset val="134"/>
      </rPr>
      <t>土工布300g/</t>
    </r>
    <r>
      <rPr>
        <sz val="10.5"/>
        <rFont val="宋体"/>
        <charset val="134"/>
      </rPr>
      <t>㎡</t>
    </r>
  </si>
  <si>
    <t>格宾网箱基础</t>
  </si>
  <si>
    <t>双向格栅护脚</t>
  </si>
  <si>
    <t>干茬石挤密</t>
  </si>
  <si>
    <t>C15砼预制压顶板</t>
  </si>
  <si>
    <t>防汛道路工程</t>
  </si>
  <si>
    <t>碎石路面 5m宽、15cm厚（粒径≤1.5cm）</t>
  </si>
  <si>
    <t>对外连接道路</t>
  </si>
  <si>
    <t>碎石路面（宽3m，厚15cm）</t>
  </si>
  <si>
    <t>天湖水质提升工程</t>
  </si>
  <si>
    <t>泵站工程</t>
  </si>
  <si>
    <t>泵房</t>
  </si>
  <si>
    <r>
      <rPr>
        <sz val="10.5"/>
        <color theme="1"/>
        <rFont val="微软雅黑"/>
        <charset val="134"/>
      </rPr>
      <t>m</t>
    </r>
    <r>
      <rPr>
        <vertAlign val="superscript"/>
        <sz val="10.5"/>
        <rFont val="微软雅黑"/>
        <charset val="134"/>
      </rPr>
      <t>2</t>
    </r>
  </si>
  <si>
    <t>DN800钢管</t>
  </si>
  <si>
    <t>Ⅳ</t>
  </si>
  <si>
    <t>Ⅴ</t>
  </si>
  <si>
    <t>防汛管护道路工程</t>
  </si>
  <si>
    <t>道路工程</t>
  </si>
  <si>
    <t>砼路缘石</t>
  </si>
  <si>
    <t>翻压土方</t>
  </si>
  <si>
    <t>翻压外购土</t>
  </si>
  <si>
    <t>东线挖方</t>
  </si>
  <si>
    <t>东线外购土</t>
  </si>
  <si>
    <t>西线挖方</t>
  </si>
  <si>
    <t>西线外购土</t>
  </si>
  <si>
    <t>防水土工布</t>
  </si>
  <si>
    <t xml:space="preserve">混凝土 </t>
  </si>
  <si>
    <t>景观桥</t>
  </si>
  <si>
    <t>清水河西侧防汛路</t>
  </si>
  <si>
    <t>空心板桥</t>
  </si>
  <si>
    <t>矮T梁</t>
  </si>
  <si>
    <t>清水河东侧防汛路</t>
  </si>
  <si>
    <t>拆除</t>
  </si>
  <si>
    <t>清水河东西两侧联通桥梁</t>
  </si>
  <si>
    <t>涵洞工程</t>
  </si>
  <si>
    <t>钢筋砼盖板涵1-2.00</t>
  </si>
  <si>
    <t>钢筋砼盖板涵1-3.00</t>
  </si>
  <si>
    <t>钢筋砼盖板涵1-4.00</t>
  </si>
  <si>
    <t>钢筋砼圆管涵1-1.00</t>
  </si>
  <si>
    <t>干道连接线</t>
  </si>
  <si>
    <t>交安工程</t>
  </si>
  <si>
    <t>交通标志</t>
  </si>
  <si>
    <t>单柱式</t>
  </si>
  <si>
    <t>块</t>
  </si>
  <si>
    <t>单悬臂式</t>
  </si>
  <si>
    <t>附着式</t>
  </si>
  <si>
    <t>交通标线</t>
  </si>
  <si>
    <t>安全护栏</t>
  </si>
  <si>
    <t>其他安全设施</t>
  </si>
  <si>
    <t>保通工程</t>
  </si>
  <si>
    <t>输水涵管封堵工程</t>
  </si>
  <si>
    <t>C20钢筋砼卧管拆除</t>
  </si>
  <si>
    <t>钢筋砼拆除</t>
  </si>
  <si>
    <t>M7.5浆砌石拆除</t>
  </si>
  <si>
    <t>淤泥挖除及外运2km至弃料场</t>
  </si>
  <si>
    <t>涵管凿除</t>
  </si>
  <si>
    <t>M20水泥砂浆</t>
  </si>
  <si>
    <t>M20水泥砂浆（施工工艺灌浆泵送）</t>
  </si>
  <si>
    <t>C25砼（管口封堵）</t>
  </si>
  <si>
    <r>
      <rPr>
        <sz val="14"/>
        <rFont val="宋体"/>
        <charset val="134"/>
      </rPr>
      <t xml:space="preserve">  </t>
    </r>
    <r>
      <rPr>
        <b/>
        <sz val="14"/>
        <rFont val="宋体"/>
        <charset val="134"/>
      </rPr>
      <t>水土保持投资概算表</t>
    </r>
  </si>
  <si>
    <t>工程和费用名称</t>
  </si>
  <si>
    <t>单价</t>
  </si>
  <si>
    <t>合价(元）</t>
  </si>
  <si>
    <t>第一部分  工程措施</t>
  </si>
  <si>
    <t>沟道工程区</t>
  </si>
  <si>
    <t>土地整治</t>
  </si>
  <si>
    <r>
      <rPr>
        <sz val="10.5"/>
        <rFont val="宋体"/>
        <charset val="134"/>
      </rPr>
      <t>hm</t>
    </r>
    <r>
      <rPr>
        <vertAlign val="superscript"/>
        <sz val="10.5"/>
        <rFont val="宋体"/>
        <charset val="134"/>
      </rPr>
      <t>2</t>
    </r>
  </si>
  <si>
    <t>防洪堤工程区</t>
  </si>
  <si>
    <t>第二部分  植物措施</t>
  </si>
  <si>
    <t>沟道治理区</t>
  </si>
  <si>
    <t>撒播种草</t>
  </si>
  <si>
    <t>种籽费</t>
  </si>
  <si>
    <t>苗木费</t>
  </si>
  <si>
    <t>第三部分  施工临时工程</t>
  </si>
  <si>
    <t>其他临时工程</t>
  </si>
  <si>
    <t>-～三部分合计</t>
  </si>
  <si>
    <t>第四部分  独立费用</t>
  </si>
  <si>
    <t>建设单位管理费</t>
  </si>
  <si>
    <t>工程建设监理费</t>
  </si>
  <si>
    <t>水土流失监测费</t>
  </si>
  <si>
    <t>勘测、设计费</t>
  </si>
  <si>
    <t>水土保持设施竣工验收费</t>
  </si>
  <si>
    <t>一～四部分合计</t>
  </si>
  <si>
    <t>第五部分  预备费</t>
  </si>
  <si>
    <t>基本预备费</t>
  </si>
  <si>
    <t>水土保持设施补偿费</t>
  </si>
  <si>
    <t>环境保护概算投资表</t>
  </si>
  <si>
    <t>经费(万元)</t>
  </si>
  <si>
    <t>第一部分 环境监测费</t>
  </si>
  <si>
    <t>大气监测</t>
  </si>
  <si>
    <t>点-次</t>
  </si>
  <si>
    <t>噪声监测</t>
  </si>
  <si>
    <t>第二部分 环境保护临时措施</t>
  </si>
  <si>
    <t>施工期生产废水与生活污水治理</t>
  </si>
  <si>
    <t>环保厕所+成品化粪池</t>
  </si>
  <si>
    <t>次</t>
  </si>
  <si>
    <t>污水清运</t>
  </si>
  <si>
    <t>施工期空气环境保护措施</t>
  </si>
  <si>
    <t>表土苫盖</t>
  </si>
  <si>
    <t>纳入临时工程</t>
  </si>
  <si>
    <t>施工围堰</t>
  </si>
  <si>
    <t>环境噪声保护临时措施</t>
  </si>
  <si>
    <t>警示牌、限速牌</t>
  </si>
  <si>
    <t>固体废物处理临时措施</t>
  </si>
  <si>
    <t>垃圾桶</t>
  </si>
  <si>
    <t>垃圾清运</t>
  </si>
  <si>
    <t>人群健康防护</t>
  </si>
  <si>
    <t>施工区卫生清理</t>
  </si>
  <si>
    <t>m2</t>
  </si>
  <si>
    <t>施工人员体检</t>
  </si>
  <si>
    <t>人</t>
  </si>
  <si>
    <t>施工区安全及卫生防疫教育</t>
  </si>
  <si>
    <t>第一至第二部分合计</t>
  </si>
  <si>
    <t>第三部分 独立费用</t>
  </si>
  <si>
    <t>管理人员经费</t>
  </si>
  <si>
    <t>竣工验收费</t>
  </si>
  <si>
    <t>宣传教育及技术培训费</t>
  </si>
  <si>
    <t>环境监理费</t>
  </si>
  <si>
    <t>科研勘测设计费</t>
  </si>
  <si>
    <t>环境影响评价费</t>
  </si>
  <si>
    <t>环境保护勘测设计费</t>
  </si>
  <si>
    <t>质量监督费</t>
  </si>
  <si>
    <t>第一至第三部分合计</t>
  </si>
  <si>
    <t>第三部分 基本预备费</t>
  </si>
  <si>
    <t>环境保护专项投资费用</t>
  </si>
  <si>
    <t xml:space="preserve"> </t>
  </si>
  <si>
    <t>单价汇总表</t>
  </si>
  <si>
    <t>项  目  名  称</t>
  </si>
  <si>
    <t>单 位</t>
  </si>
  <si>
    <t>人工挖地槽（1.5m深） Ⅰ~Ⅱ类</t>
  </si>
  <si>
    <r>
      <rPr>
        <sz val="10"/>
        <rFont val="宋体"/>
        <charset val="134"/>
      </rPr>
      <t>100m</t>
    </r>
    <r>
      <rPr>
        <vertAlign val="superscript"/>
        <sz val="10"/>
        <rFont val="宋体"/>
        <charset val="134"/>
      </rPr>
      <t>3</t>
    </r>
  </si>
  <si>
    <t>挖掘机挖土  Ⅰ~Ⅱ类</t>
  </si>
  <si>
    <t>74kw推土机推土（30m）Ⅲ类</t>
  </si>
  <si>
    <t>挖掘机挖汽车运（1-1.5km）</t>
  </si>
  <si>
    <t>拖拉机压实</t>
  </si>
  <si>
    <t>建筑物填方（机械夯实）</t>
  </si>
  <si>
    <t>浆砌石基础</t>
  </si>
  <si>
    <t>浆砌块石平面护坡</t>
  </si>
  <si>
    <r>
      <rPr>
        <sz val="10"/>
        <rFont val="宋体"/>
        <charset val="134"/>
      </rPr>
      <t>1000m</t>
    </r>
    <r>
      <rPr>
        <vertAlign val="superscript"/>
        <sz val="10"/>
        <rFont val="宋体"/>
        <charset val="134"/>
      </rPr>
      <t>2</t>
    </r>
  </si>
  <si>
    <t>路基</t>
  </si>
  <si>
    <t>混凝土支墩C20</t>
  </si>
  <si>
    <t>垫层混凝土C20</t>
  </si>
  <si>
    <t>闸底板混凝土C15</t>
  </si>
  <si>
    <t xml:space="preserve">闸底板混凝土C20 </t>
  </si>
  <si>
    <t>预制安装C25混凝土桥板</t>
  </si>
  <si>
    <t>浆砌石拆除</t>
  </si>
  <si>
    <t>钢筋混凝土拆除（机械）</t>
  </si>
  <si>
    <t>C20混凝土弧形预制、砌筑、运输</t>
  </si>
  <si>
    <t>C20混凝土板运输</t>
  </si>
  <si>
    <t>C20细石混凝土</t>
  </si>
  <si>
    <r>
      <rPr>
        <b/>
        <sz val="14"/>
        <rFont val="宋体"/>
        <charset val="134"/>
      </rPr>
      <t>单</t>
    </r>
    <r>
      <rPr>
        <b/>
        <sz val="14"/>
        <rFont val="Times New Roman"/>
        <charset val="134"/>
      </rPr>
      <t xml:space="preserve">   </t>
    </r>
    <r>
      <rPr>
        <b/>
        <sz val="14"/>
        <rFont val="宋体"/>
        <charset val="134"/>
      </rPr>
      <t>位</t>
    </r>
    <r>
      <rPr>
        <b/>
        <sz val="14"/>
        <rFont val="Times New Roman"/>
        <charset val="134"/>
      </rPr>
      <t xml:space="preserve">   </t>
    </r>
    <r>
      <rPr>
        <b/>
        <sz val="14"/>
        <rFont val="宋体"/>
        <charset val="134"/>
      </rPr>
      <t>估</t>
    </r>
    <r>
      <rPr>
        <b/>
        <sz val="14"/>
        <rFont val="Times New Roman"/>
        <charset val="134"/>
      </rPr>
      <t xml:space="preserve">   </t>
    </r>
    <r>
      <rPr>
        <b/>
        <sz val="14"/>
        <rFont val="宋体"/>
        <charset val="134"/>
      </rPr>
      <t>价</t>
    </r>
    <r>
      <rPr>
        <b/>
        <sz val="14"/>
        <rFont val="Times New Roman"/>
        <charset val="134"/>
      </rPr>
      <t xml:space="preserve">   </t>
    </r>
    <r>
      <rPr>
        <b/>
        <sz val="14"/>
        <rFont val="宋体"/>
        <charset val="134"/>
      </rPr>
      <t>表</t>
    </r>
  </si>
  <si>
    <t>小穴状整地单价分析表（0.3*0.3）</t>
  </si>
  <si>
    <t>栽植水生植物（芦苇）</t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</si>
  <si>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</t>
    </r>
    <r>
      <rPr>
        <sz val="10"/>
        <rFont val="宋体"/>
        <charset val="134"/>
      </rPr>
      <t>部水保</t>
    </r>
    <r>
      <rPr>
        <sz val="10"/>
        <rFont val="Times New Roman"/>
        <charset val="134"/>
      </rPr>
      <t>08026</t>
    </r>
  </si>
  <si>
    <r>
      <rPr>
        <sz val="10"/>
        <rFont val="宋体"/>
        <charset val="134"/>
      </rPr>
      <t>定额单位</t>
    </r>
    <r>
      <rPr>
        <sz val="10"/>
        <rFont val="Times New Roman"/>
        <charset val="134"/>
      </rPr>
      <t>:100</t>
    </r>
    <r>
      <rPr>
        <sz val="10"/>
        <rFont val="宋体"/>
        <charset val="134"/>
      </rPr>
      <t>个</t>
    </r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</si>
  <si>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:4-2-515</t>
    </r>
  </si>
  <si>
    <r>
      <rPr>
        <sz val="10"/>
        <rFont val="宋体"/>
        <charset val="134"/>
      </rPr>
      <t>定额单位</t>
    </r>
    <r>
      <rPr>
        <sz val="10"/>
        <rFont val="Times New Roman"/>
        <charset val="134"/>
      </rPr>
      <t>:10</t>
    </r>
    <r>
      <rPr>
        <sz val="10"/>
        <rFont val="宋体"/>
        <charset val="134"/>
      </rPr>
      <t>丛</t>
    </r>
  </si>
  <si>
    <r>
      <rPr>
        <sz val="10"/>
        <rFont val="宋体"/>
        <charset val="134"/>
      </rPr>
      <t>工作内容</t>
    </r>
    <r>
      <rPr>
        <sz val="10"/>
        <rFont val="Times New Roman"/>
        <charset val="134"/>
      </rPr>
      <t>:</t>
    </r>
    <r>
      <rPr>
        <sz val="10"/>
        <rFont val="宋体"/>
        <charset val="134"/>
      </rPr>
      <t>人工挖土、翻土、碎土。</t>
    </r>
  </si>
  <si>
    <r>
      <rPr>
        <sz val="10"/>
        <rFont val="宋体"/>
        <charset val="134"/>
      </rPr>
      <t>工作内容</t>
    </r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：</t>
    </r>
    <r>
      <rPr>
        <sz val="10"/>
        <rFont val="Times New Roman"/>
        <charset val="134"/>
      </rPr>
      <t xml:space="preserve">      </t>
    </r>
  </si>
  <si>
    <t>项目名称</t>
  </si>
  <si>
    <r>
      <rPr>
        <sz val="10"/>
        <rFont val="宋体"/>
        <charset val="134"/>
      </rPr>
      <t>单价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元</t>
    </r>
    <r>
      <rPr>
        <sz val="10"/>
        <rFont val="Times New Roman"/>
        <charset val="134"/>
      </rPr>
      <t>)</t>
    </r>
  </si>
  <si>
    <r>
      <rPr>
        <sz val="10"/>
        <rFont val="宋体"/>
        <charset val="134"/>
      </rPr>
      <t>合价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元</t>
    </r>
    <r>
      <rPr>
        <sz val="10"/>
        <rFont val="Times New Roman"/>
        <charset val="134"/>
      </rPr>
      <t>)</t>
    </r>
  </si>
  <si>
    <t>名称及规格</t>
  </si>
  <si>
    <t>直接费</t>
  </si>
  <si>
    <t xml:space="preserve">  </t>
  </si>
  <si>
    <r>
      <rPr>
        <sz val="10"/>
        <rFont val="宋体"/>
        <charset val="134"/>
      </rPr>
      <t>一</t>
    </r>
    <r>
      <rPr>
        <sz val="10"/>
        <rFont val="Times New Roman"/>
        <charset val="134"/>
      </rPr>
      <t>.</t>
    </r>
  </si>
  <si>
    <t>直接工程费</t>
  </si>
  <si>
    <r>
      <rPr>
        <sz val="10"/>
        <rFont val="Times New Roman"/>
        <charset val="134"/>
      </rPr>
      <t>(</t>
    </r>
    <r>
      <rPr>
        <sz val="10"/>
        <rFont val="宋体"/>
        <charset val="134"/>
      </rPr>
      <t>一</t>
    </r>
    <r>
      <rPr>
        <sz val="10"/>
        <rFont val="Times New Roman"/>
        <charset val="134"/>
      </rPr>
      <t>)</t>
    </r>
  </si>
  <si>
    <t>基本直接费</t>
  </si>
  <si>
    <t>人工费</t>
  </si>
  <si>
    <t>人工</t>
  </si>
  <si>
    <t>工时</t>
  </si>
  <si>
    <t>技工</t>
  </si>
  <si>
    <t>材料费</t>
  </si>
  <si>
    <t>普工</t>
  </si>
  <si>
    <t>零星材料费</t>
  </si>
  <si>
    <r>
      <rPr>
        <sz val="10"/>
        <rFont val="Times New Roman"/>
        <charset val="134"/>
      </rPr>
      <t>(</t>
    </r>
    <r>
      <rPr>
        <sz val="10"/>
        <rFont val="宋体"/>
        <charset val="134"/>
      </rPr>
      <t>二</t>
    </r>
    <r>
      <rPr>
        <sz val="10"/>
        <rFont val="Times New Roman"/>
        <charset val="134"/>
      </rPr>
      <t>)</t>
    </r>
  </si>
  <si>
    <t>其他直接费</t>
  </si>
  <si>
    <t>芦苇</t>
  </si>
  <si>
    <t>间接费</t>
  </si>
  <si>
    <t>机械费</t>
  </si>
  <si>
    <t>企业利润</t>
  </si>
  <si>
    <t>税金</t>
  </si>
  <si>
    <t>其它直接费</t>
  </si>
  <si>
    <t>概算价</t>
  </si>
  <si>
    <t xml:space="preserve">二 </t>
  </si>
  <si>
    <t>计划利润</t>
  </si>
  <si>
    <t>机械整地单价分析表</t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</si>
  <si>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</t>
    </r>
    <r>
      <rPr>
        <sz val="10"/>
        <rFont val="宋体"/>
        <charset val="134"/>
      </rPr>
      <t>部水保</t>
    </r>
    <r>
      <rPr>
        <sz val="10"/>
        <rFont val="Times New Roman"/>
        <charset val="134"/>
      </rPr>
      <t>08034</t>
    </r>
  </si>
  <si>
    <r>
      <rPr>
        <sz val="10"/>
        <rFont val="宋体"/>
        <charset val="134"/>
      </rPr>
      <t>定额单位</t>
    </r>
    <r>
      <rPr>
        <sz val="10"/>
        <rFont val="Times New Roman"/>
        <charset val="134"/>
      </rPr>
      <t>:1hm</t>
    </r>
  </si>
  <si>
    <t>扩大3%</t>
  </si>
  <si>
    <t>栽植水生植物（菖蒲）</t>
  </si>
  <si>
    <t>农家肥</t>
  </si>
  <si>
    <t>轮式拖拉机37kw</t>
  </si>
  <si>
    <t>台时</t>
  </si>
  <si>
    <t>菖蒲</t>
  </si>
  <si>
    <t>人工整地单价分析表</t>
  </si>
  <si>
    <t>栽植水生植物（千屈菜）</t>
  </si>
  <si>
    <t>千屈菜</t>
  </si>
  <si>
    <t>栽植水生植物（鸢尾）</t>
  </si>
  <si>
    <t>鸢尾</t>
  </si>
  <si>
    <t>栽植水生植物（水葱）</t>
  </si>
  <si>
    <t>水葱</t>
  </si>
  <si>
    <t>栽植水生植物（香蒲）</t>
  </si>
  <si>
    <t>香蒲</t>
  </si>
  <si>
    <t>栽植挺水植物（荷花4株/m2）</t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</si>
  <si>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:4-2-521</t>
    </r>
  </si>
  <si>
    <r>
      <rPr>
        <sz val="10"/>
        <rFont val="宋体"/>
        <charset val="134"/>
      </rPr>
      <t>定额单位</t>
    </r>
    <r>
      <rPr>
        <sz val="10"/>
        <rFont val="Times New Roman"/>
        <charset val="134"/>
      </rPr>
      <t>:10</t>
    </r>
    <r>
      <rPr>
        <sz val="10"/>
        <rFont val="宋体"/>
        <charset val="134"/>
      </rPr>
      <t>株</t>
    </r>
  </si>
  <si>
    <t>荷花</t>
  </si>
  <si>
    <t>栽植挺水植物（睡莲）</t>
  </si>
  <si>
    <t>睡莲</t>
  </si>
  <si>
    <t>栽植浮叶植物（荇菜）</t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</si>
  <si>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:4-2-530</t>
    </r>
  </si>
  <si>
    <t>荇菜</t>
  </si>
  <si>
    <t>栽植沉水植物（竹叶眼子菜）</t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</si>
  <si>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:4-2-529</t>
    </r>
  </si>
  <si>
    <t>竹叶眼子菜</t>
  </si>
  <si>
    <t>栽植沉水植物（苦草）</t>
  </si>
  <si>
    <t>苦草</t>
  </si>
  <si>
    <t>水生植物养护（荷花、睡莲）</t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</si>
  <si>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:4-2-635</t>
    </r>
  </si>
  <si>
    <r>
      <rPr>
        <sz val="10"/>
        <rFont val="宋体"/>
        <charset val="134"/>
      </rPr>
      <t>定额单位</t>
    </r>
    <r>
      <rPr>
        <sz val="10"/>
        <rFont val="Times New Roman"/>
        <charset val="134"/>
      </rPr>
      <t>:</t>
    </r>
    <r>
      <rPr>
        <sz val="10"/>
        <rFont val="宋体"/>
        <charset val="134"/>
      </rPr>
      <t>株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月</t>
    </r>
  </si>
  <si>
    <t>肥料</t>
  </si>
  <si>
    <t>药剂</t>
  </si>
  <si>
    <t>喷药杀虫车</t>
  </si>
  <si>
    <t>栽植带土球乔木（桧柏 H=250-300cm）</t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</si>
  <si>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:4-2-375</t>
    </r>
  </si>
  <si>
    <t>桧柏 H=250-300cm</t>
  </si>
  <si>
    <t>水</t>
  </si>
  <si>
    <t>m3</t>
  </si>
  <si>
    <t>栽植带土球乔木（国槐 D≥6cm）</t>
  </si>
  <si>
    <t>国槐 D≥6cm</t>
  </si>
  <si>
    <t>汽车起重机8t</t>
  </si>
  <si>
    <t>栽植带土球乔木（河北杨 D≥10cm）</t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</si>
  <si>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:4-2-377</t>
    </r>
  </si>
  <si>
    <t>河北杨 D≥8cm</t>
  </si>
  <si>
    <t>栽植带土球乔木（垂柳 D≥8cm）</t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</si>
  <si>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:4-2-376</t>
    </r>
  </si>
  <si>
    <t>垂柳 D≥8cm</t>
  </si>
  <si>
    <t>栽植带土球乔木（山桃地径5-6cm）</t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</si>
  <si>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:4-2-374</t>
    </r>
  </si>
  <si>
    <t>山桃地径5-6cm</t>
  </si>
  <si>
    <t>栽植带土球乔木（紫叶李地径d≥8cm）</t>
  </si>
  <si>
    <t>紫叶李地径d≥8cm</t>
  </si>
  <si>
    <t>栽植带土球乔木（八棱海棠 d≥8cm）</t>
  </si>
  <si>
    <t>八棱海棠 d≥8cm</t>
  </si>
  <si>
    <t>栽植带土球乔木（金叶榆地径d=3-4cm）</t>
  </si>
  <si>
    <t>金叶榆地径d=3-4cm</t>
  </si>
  <si>
    <t>栽植带土球乔木（暴马丁香地径d=3-4cm）</t>
  </si>
  <si>
    <t>暴马丁香地径d=3-4cm</t>
  </si>
  <si>
    <t>栽植单株带土球灌木（桧柏球 冠幅80-100cm）</t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</si>
  <si>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:4-2-415</t>
    </r>
  </si>
  <si>
    <t>桧柏球 冠幅80-100cm</t>
  </si>
  <si>
    <t>栽植带土球乔木（重瓣榆叶梅地径d=3-4cm）</t>
  </si>
  <si>
    <t>重瓣榆叶梅地径d=3-4cm</t>
  </si>
  <si>
    <t>栽植单株带土球灌木（金银木冠幅1-1.2m）</t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</si>
  <si>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:4-2-416</t>
    </r>
  </si>
  <si>
    <t>金银木冠幅1-1.2m</t>
  </si>
  <si>
    <t>栽植球、块根、宿根花卉（千屈菜）</t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</si>
  <si>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:4-2-498</t>
    </r>
  </si>
  <si>
    <r>
      <rPr>
        <sz val="10"/>
        <rFont val="宋体"/>
        <charset val="134"/>
      </rPr>
      <t>定额单位</t>
    </r>
    <r>
      <rPr>
        <sz val="10"/>
        <rFont val="Times New Roman"/>
        <charset val="134"/>
      </rPr>
      <t>:</t>
    </r>
    <r>
      <rPr>
        <sz val="10"/>
        <rFont val="宋体"/>
        <charset val="134"/>
      </rPr>
      <t>株</t>
    </r>
  </si>
  <si>
    <t>栽植球、块根、宿根花卉（黄花鸢尾）</t>
  </si>
  <si>
    <t>黄花鸢尾</t>
  </si>
  <si>
    <t>栽植成片灌木（红花多枝怪柳）</t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</si>
  <si>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:4-2-437</t>
    </r>
  </si>
  <si>
    <t>红花多枝怪柳</t>
  </si>
  <si>
    <t>栽植球、块根、宿根花卉（三七景天）</t>
  </si>
  <si>
    <t>三七景天</t>
  </si>
  <si>
    <t>栽植成片灌木（紫穗槐）</t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</si>
  <si>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:4-2-436</t>
    </r>
  </si>
  <si>
    <t>紫穗槐</t>
  </si>
  <si>
    <t>栽植球、块根、宿根花卉（红花罗布麻）</t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</si>
  <si>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:4-2-497</t>
    </r>
  </si>
  <si>
    <t>红花罗布麻</t>
  </si>
  <si>
    <t>栽植球、块根、宿根花卉（马蔺）</t>
  </si>
  <si>
    <t>马蔺</t>
  </si>
  <si>
    <t>栽植单株带土球灌木（珍珠梅）</t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</si>
  <si>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:4-2-414</t>
    </r>
  </si>
  <si>
    <t>栽植单株带土球灌木（丁香）</t>
  </si>
  <si>
    <t>落叶乔木养护（胸径≤6cm/干径≤8cm）</t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</si>
  <si>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:4-2-579</t>
    </r>
  </si>
  <si>
    <r>
      <rPr>
        <sz val="10"/>
        <rFont val="宋体"/>
        <charset val="134"/>
      </rPr>
      <t>定额单位</t>
    </r>
    <r>
      <rPr>
        <sz val="10"/>
        <rFont val="Times New Roman"/>
        <charset val="134"/>
      </rPr>
      <t>:10</t>
    </r>
    <r>
      <rPr>
        <sz val="10"/>
        <rFont val="宋体"/>
        <charset val="134"/>
      </rPr>
      <t>株/月</t>
    </r>
  </si>
  <si>
    <t>落叶乔木养护（胸径≤10cm/干径≤12cm）</t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</si>
  <si>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:4-2-580</t>
    </r>
  </si>
  <si>
    <t>常绿乔木养护（胸径≤6cm/干径≤8cm）</t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</si>
  <si>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:4-2-569</t>
    </r>
  </si>
  <si>
    <t>单株落叶灌木养护（冠径(cm) ≤100）</t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</si>
  <si>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:4-2-599</t>
    </r>
  </si>
  <si>
    <t>片植灌木养护（密度(株/m2) ≤25）</t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</si>
  <si>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:4-2-621</t>
    </r>
  </si>
  <si>
    <r>
      <rPr>
        <sz val="10"/>
        <rFont val="宋体"/>
        <charset val="134"/>
      </rPr>
      <t>定额单位</t>
    </r>
    <r>
      <rPr>
        <sz val="10"/>
        <rFont val="Times New Roman"/>
        <charset val="134"/>
      </rPr>
      <t>:</t>
    </r>
    <r>
      <rPr>
        <sz val="10"/>
        <rFont val="宋体"/>
        <charset val="134"/>
      </rPr>
      <t>株/月</t>
    </r>
  </si>
  <si>
    <t>绿篱修剪机</t>
  </si>
  <si>
    <t>露地花卉及地被植物养护（球根、块根、宿根类）</t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</si>
  <si>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:4-2-638</t>
    </r>
  </si>
  <si>
    <t>材料预算价格计算表</t>
  </si>
  <si>
    <t>2023年水利造价信息第三册、2023年宁夏工程造价信息第五册</t>
  </si>
  <si>
    <t>材料名称</t>
  </si>
  <si>
    <t>产地</t>
  </si>
  <si>
    <t>产地价</t>
  </si>
  <si>
    <t>运输工具</t>
  </si>
  <si>
    <t>运距</t>
  </si>
  <si>
    <t>运输单价</t>
  </si>
  <si>
    <t>运费</t>
  </si>
  <si>
    <t>装卸费</t>
  </si>
  <si>
    <t>采管费</t>
  </si>
  <si>
    <t>预算价格</t>
  </si>
  <si>
    <t>定值</t>
  </si>
  <si>
    <t>钢筋</t>
  </si>
  <si>
    <t>平罗县</t>
  </si>
  <si>
    <t>汽车</t>
  </si>
  <si>
    <t>水泥42.5R</t>
  </si>
  <si>
    <t>西夏区</t>
  </si>
  <si>
    <t>抗硫水泥</t>
  </si>
  <si>
    <t>中宁县新堡镇宁新工业园区</t>
  </si>
  <si>
    <t>水洗砂</t>
  </si>
  <si>
    <t>西夏区镇北堡</t>
  </si>
  <si>
    <t>石子</t>
  </si>
  <si>
    <t>块石</t>
  </si>
  <si>
    <t>西夏区套门沟</t>
  </si>
  <si>
    <t>木材</t>
  </si>
  <si>
    <t>卵石</t>
  </si>
  <si>
    <t>就近</t>
  </si>
  <si>
    <t>柴油</t>
  </si>
  <si>
    <t>当地</t>
  </si>
  <si>
    <t>汽油</t>
  </si>
  <si>
    <t>信息价</t>
  </si>
  <si>
    <t>砂砾石</t>
  </si>
  <si>
    <t>砂滤料</t>
  </si>
  <si>
    <t>风</t>
  </si>
  <si>
    <t>电</t>
  </si>
  <si>
    <r>
      <rPr>
        <b/>
        <sz val="16"/>
        <rFont val="宋体"/>
        <charset val="134"/>
      </rPr>
      <t>水生植物</t>
    </r>
    <r>
      <rPr>
        <b/>
        <sz val="18"/>
        <rFont val="宋体"/>
        <charset val="134"/>
      </rPr>
      <t>单价表</t>
    </r>
  </si>
  <si>
    <t>荷花(3节2芽，顶芽完整)</t>
  </si>
  <si>
    <t>4株/m2</t>
  </si>
  <si>
    <t>睡莲(3~5芽及以上/株，块茎≥6cm)</t>
  </si>
  <si>
    <r>
      <rPr>
        <b/>
        <sz val="16"/>
        <rFont val="宋体"/>
        <charset val="134"/>
      </rPr>
      <t>陆生植物</t>
    </r>
    <r>
      <rPr>
        <b/>
        <sz val="18"/>
        <rFont val="宋体"/>
        <charset val="134"/>
      </rPr>
      <t>单价表</t>
    </r>
  </si>
  <si>
    <t>河北杨 D≥10cm</t>
  </si>
  <si>
    <t>分枝点高度≥2.8m,带土球</t>
  </si>
  <si>
    <t>全冠移植，分枝点高度≥1.0m,带土球</t>
  </si>
  <si>
    <t>36株/平米，营养钵苗</t>
  </si>
  <si>
    <t>36株/平米，两年生，营养钵苗</t>
  </si>
  <si>
    <t>25株/平米，营养钵苗</t>
  </si>
  <si>
    <t xml:space="preserve">马蔺 </t>
  </si>
  <si>
    <t>混凝土及砂浆配合比计算表</t>
  </si>
  <si>
    <t>调    差</t>
  </si>
  <si>
    <t>混凝土或砂浆标号</t>
  </si>
  <si>
    <t>水泥标号</t>
  </si>
  <si>
    <t>混凝土级配</t>
  </si>
  <si>
    <t>水泥</t>
  </si>
  <si>
    <t>砂子</t>
  </si>
  <si>
    <t>差价</t>
  </si>
  <si>
    <t>定额</t>
  </si>
  <si>
    <t>C10混凝土</t>
  </si>
  <si>
    <t>C15混凝土</t>
  </si>
  <si>
    <t>C20混凝土</t>
  </si>
  <si>
    <t>C25混凝土</t>
  </si>
  <si>
    <t>C30混凝土</t>
  </si>
  <si>
    <t>C35混凝土</t>
  </si>
  <si>
    <t>M5砂浆</t>
  </si>
  <si>
    <t>M7.5砂浆</t>
  </si>
  <si>
    <t>M10砂浆</t>
  </si>
  <si>
    <t>M20砂浆</t>
  </si>
  <si>
    <r>
      <rPr>
        <b/>
        <sz val="14"/>
        <rFont val="Times New Roman"/>
        <charset val="134"/>
      </rPr>
      <t xml:space="preserve">                                    </t>
    </r>
    <r>
      <rPr>
        <b/>
        <sz val="14"/>
        <rFont val="宋体"/>
        <charset val="134"/>
      </rPr>
      <t>单</t>
    </r>
    <r>
      <rPr>
        <b/>
        <sz val="14"/>
        <rFont val="Times New Roman"/>
        <charset val="134"/>
      </rPr>
      <t xml:space="preserve">   </t>
    </r>
    <r>
      <rPr>
        <b/>
        <sz val="14"/>
        <rFont val="宋体"/>
        <charset val="134"/>
      </rPr>
      <t>位</t>
    </r>
    <r>
      <rPr>
        <b/>
        <sz val="14"/>
        <rFont val="Times New Roman"/>
        <charset val="134"/>
      </rPr>
      <t xml:space="preserve">   </t>
    </r>
    <r>
      <rPr>
        <b/>
        <sz val="14"/>
        <rFont val="宋体"/>
        <charset val="134"/>
      </rPr>
      <t>估</t>
    </r>
    <r>
      <rPr>
        <b/>
        <sz val="14"/>
        <rFont val="Times New Roman"/>
        <charset val="134"/>
      </rPr>
      <t xml:space="preserve">   </t>
    </r>
    <r>
      <rPr>
        <b/>
        <sz val="14"/>
        <rFont val="宋体"/>
        <charset val="134"/>
      </rPr>
      <t>价</t>
    </r>
    <r>
      <rPr>
        <b/>
        <sz val="14"/>
        <rFont val="Times New Roman"/>
        <charset val="134"/>
      </rPr>
      <t xml:space="preserve">   </t>
    </r>
    <r>
      <rPr>
        <b/>
        <sz val="14"/>
        <rFont val="宋体"/>
        <charset val="134"/>
      </rPr>
      <t>表</t>
    </r>
  </si>
  <si>
    <t>人工挖倒沟槽土方上口3m深2.5m,Ⅱ类土</t>
  </si>
  <si>
    <t>编织袋壤土围堰</t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</si>
  <si>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:1035</t>
    </r>
  </si>
  <si>
    <r>
      <rPr>
        <sz val="10"/>
        <rFont val="宋体"/>
        <charset val="134"/>
      </rPr>
      <t>定额单位</t>
    </r>
    <r>
      <rPr>
        <sz val="10"/>
        <rFont val="Times New Roman"/>
        <charset val="134"/>
      </rPr>
      <t>:100m</t>
    </r>
    <r>
      <rPr>
        <vertAlign val="superscript"/>
        <sz val="10"/>
        <rFont val="Times New Roman"/>
        <charset val="134"/>
      </rPr>
      <t>3</t>
    </r>
  </si>
  <si>
    <t>定额编号:10005</t>
  </si>
  <si>
    <t>土料</t>
  </si>
  <si>
    <t>编织袋</t>
  </si>
  <si>
    <t>其他材料费</t>
  </si>
  <si>
    <r>
      <rPr>
        <b/>
        <sz val="10"/>
        <rFont val="宋体"/>
        <charset val="134"/>
      </rPr>
      <t>人工挖倒沟槽土方上口3m深</t>
    </r>
    <r>
      <rPr>
        <b/>
        <sz val="10"/>
        <rFont val="宋体"/>
        <charset val="134"/>
      </rPr>
      <t>2.5</t>
    </r>
    <r>
      <rPr>
        <b/>
        <sz val="10"/>
        <rFont val="宋体"/>
        <charset val="134"/>
      </rPr>
      <t>m,Ⅲ类土</t>
    </r>
  </si>
  <si>
    <t>土围堰</t>
  </si>
  <si>
    <r>
      <rPr>
        <sz val="10"/>
        <rFont val="宋体"/>
        <charset val="134"/>
      </rPr>
      <t>工作内容</t>
    </r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：</t>
    </r>
    <r>
      <rPr>
        <sz val="10"/>
        <rFont val="Times New Roman"/>
        <charset val="134"/>
      </rPr>
      <t xml:space="preserve">       </t>
    </r>
  </si>
  <si>
    <t>定额编号:10002</t>
  </si>
  <si>
    <r>
      <rPr>
        <b/>
        <sz val="10"/>
        <rFont val="Times New Roman"/>
        <charset val="134"/>
      </rPr>
      <t>74kw</t>
    </r>
    <r>
      <rPr>
        <b/>
        <sz val="10"/>
        <rFont val="宋体"/>
        <charset val="134"/>
      </rPr>
      <t>推土机推土（</t>
    </r>
    <r>
      <rPr>
        <b/>
        <sz val="10"/>
        <rFont val="Times New Roman"/>
        <charset val="134"/>
      </rPr>
      <t>20m</t>
    </r>
    <r>
      <rPr>
        <b/>
        <sz val="10"/>
        <rFont val="宋体"/>
        <charset val="134"/>
      </rPr>
      <t>）</t>
    </r>
    <r>
      <rPr>
        <b/>
        <sz val="10"/>
        <rFont val="Times New Roman"/>
        <charset val="134"/>
      </rPr>
      <t xml:space="preserve"> </t>
    </r>
    <r>
      <rPr>
        <b/>
        <sz val="10"/>
        <rFont val="宋体"/>
        <charset val="134"/>
      </rPr>
      <t>工程</t>
    </r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</si>
  <si>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:1129</t>
    </r>
  </si>
  <si>
    <r>
      <rPr>
        <sz val="10"/>
        <rFont val="宋体"/>
        <charset val="134"/>
      </rPr>
      <t>工作内容</t>
    </r>
    <r>
      <rPr>
        <sz val="10"/>
        <rFont val="Times New Roman"/>
        <charset val="134"/>
      </rPr>
      <t xml:space="preserve">         </t>
    </r>
    <r>
      <rPr>
        <sz val="10"/>
        <rFont val="宋体"/>
        <charset val="134"/>
      </rPr>
      <t>Ⅰ－Ⅱ</t>
    </r>
  </si>
  <si>
    <t>机械</t>
  </si>
  <si>
    <t>74kw推土机推土</t>
  </si>
  <si>
    <t>材差</t>
  </si>
  <si>
    <t>柴油(差)</t>
  </si>
  <si>
    <r>
      <rPr>
        <b/>
        <sz val="10"/>
        <rFont val="Times New Roman"/>
        <charset val="134"/>
      </rPr>
      <t>74kw</t>
    </r>
    <r>
      <rPr>
        <b/>
        <sz val="10"/>
        <rFont val="宋体"/>
        <charset val="134"/>
      </rPr>
      <t>推土机推土（</t>
    </r>
    <r>
      <rPr>
        <b/>
        <sz val="10"/>
        <rFont val="Times New Roman"/>
        <charset val="134"/>
      </rPr>
      <t>40m</t>
    </r>
    <r>
      <rPr>
        <b/>
        <sz val="10"/>
        <rFont val="宋体"/>
        <charset val="134"/>
      </rPr>
      <t>）</t>
    </r>
    <r>
      <rPr>
        <b/>
        <sz val="10"/>
        <rFont val="Times New Roman"/>
        <charset val="134"/>
      </rPr>
      <t xml:space="preserve"> </t>
    </r>
    <r>
      <rPr>
        <b/>
        <sz val="10"/>
        <rFont val="宋体"/>
        <charset val="134"/>
      </rPr>
      <t>工程</t>
    </r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</si>
  <si>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:1130</t>
    </r>
  </si>
  <si>
    <r>
      <rPr>
        <sz val="10"/>
        <rFont val="宋体"/>
        <charset val="134"/>
      </rPr>
      <t>工作内容</t>
    </r>
    <r>
      <rPr>
        <sz val="10"/>
        <rFont val="Times New Roman"/>
        <charset val="134"/>
      </rPr>
      <t xml:space="preserve">         </t>
    </r>
  </si>
  <si>
    <r>
      <rPr>
        <b/>
        <sz val="10"/>
        <rFont val="Times New Roman"/>
        <charset val="134"/>
      </rPr>
      <t>74kw</t>
    </r>
    <r>
      <rPr>
        <b/>
        <sz val="10"/>
        <rFont val="宋体"/>
        <charset val="134"/>
      </rPr>
      <t>推土机推土（</t>
    </r>
    <r>
      <rPr>
        <b/>
        <sz val="10"/>
        <rFont val="Times New Roman"/>
        <charset val="134"/>
      </rPr>
      <t>60m</t>
    </r>
    <r>
      <rPr>
        <b/>
        <sz val="10"/>
        <rFont val="宋体"/>
        <charset val="134"/>
      </rPr>
      <t>）</t>
    </r>
    <r>
      <rPr>
        <b/>
        <sz val="10"/>
        <rFont val="Times New Roman"/>
        <charset val="134"/>
      </rPr>
      <t xml:space="preserve"> </t>
    </r>
    <r>
      <rPr>
        <b/>
        <sz val="10"/>
        <rFont val="宋体"/>
        <charset val="134"/>
      </rPr>
      <t>工程</t>
    </r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</si>
  <si>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:1133</t>
    </r>
  </si>
  <si>
    <r>
      <rPr>
        <b/>
        <sz val="14"/>
        <rFont val="宋体"/>
        <charset val="134"/>
      </rPr>
      <t>单</t>
    </r>
    <r>
      <rPr>
        <b/>
        <sz val="14"/>
        <rFont val="Times New Roman"/>
        <charset val="134"/>
      </rPr>
      <t xml:space="preserve">        </t>
    </r>
    <r>
      <rPr>
        <b/>
        <sz val="14"/>
        <rFont val="黑体"/>
        <charset val="134"/>
      </rPr>
      <t>价</t>
    </r>
    <r>
      <rPr>
        <b/>
        <sz val="14"/>
        <rFont val="Times New Roman"/>
        <charset val="134"/>
      </rPr>
      <t xml:space="preserve">        </t>
    </r>
    <r>
      <rPr>
        <b/>
        <sz val="14"/>
        <rFont val="黑体"/>
        <charset val="134"/>
      </rPr>
      <t>表</t>
    </r>
  </si>
  <si>
    <t xml:space="preserve">项目   砂滤料铺设 </t>
  </si>
  <si>
    <r>
      <rPr>
        <sz val="10"/>
        <rFont val="宋体"/>
        <charset val="134"/>
      </rPr>
      <t>定额编号：</t>
    </r>
    <r>
      <rPr>
        <u/>
        <sz val="10"/>
        <rFont val="宋体"/>
        <charset val="134"/>
      </rPr>
      <t xml:space="preserve">        </t>
    </r>
    <r>
      <rPr>
        <sz val="10"/>
        <rFont val="宋体"/>
        <charset val="134"/>
      </rPr>
      <t xml:space="preserve">   </t>
    </r>
    <r>
      <rPr>
        <u/>
        <sz val="10"/>
        <rFont val="宋体"/>
        <charset val="134"/>
      </rPr>
      <t xml:space="preserve">                       </t>
    </r>
  </si>
  <si>
    <t>单位：</t>
  </si>
  <si>
    <t>工作内容：</t>
  </si>
  <si>
    <t>合价（元）</t>
  </si>
  <si>
    <t>1.1.1</t>
  </si>
  <si>
    <t>1.1.2</t>
  </si>
  <si>
    <r>
      <rPr>
        <sz val="10"/>
        <rFont val="宋体"/>
        <charset val="134"/>
      </rPr>
      <t>m</t>
    </r>
    <r>
      <rPr>
        <vertAlign val="superscript"/>
        <sz val="10"/>
        <rFont val="宋体"/>
        <charset val="134"/>
      </rPr>
      <t>3</t>
    </r>
  </si>
  <si>
    <t>1.1.3</t>
  </si>
  <si>
    <t>胶轮车</t>
  </si>
  <si>
    <t>现场经费</t>
  </si>
  <si>
    <t>定额扩大</t>
  </si>
  <si>
    <t>总计</t>
  </si>
  <si>
    <t>项目   滤料铺设 火山岩(粒径30-50mm)</t>
  </si>
  <si>
    <r>
      <rPr>
        <b/>
        <sz val="10"/>
        <rFont val="Times New Roman"/>
        <charset val="134"/>
      </rPr>
      <t>74kw</t>
    </r>
    <r>
      <rPr>
        <b/>
        <sz val="10"/>
        <rFont val="宋体"/>
        <charset val="134"/>
      </rPr>
      <t>推土机推土（</t>
    </r>
    <r>
      <rPr>
        <b/>
        <sz val="10"/>
        <rFont val="Times New Roman"/>
        <charset val="134"/>
      </rPr>
      <t>60m</t>
    </r>
    <r>
      <rPr>
        <b/>
        <sz val="10"/>
        <rFont val="宋体"/>
        <charset val="134"/>
      </rPr>
      <t>）Ⅳ类</t>
    </r>
    <r>
      <rPr>
        <b/>
        <sz val="10"/>
        <rFont val="Times New Roman"/>
        <charset val="134"/>
      </rPr>
      <t xml:space="preserve"> </t>
    </r>
    <r>
      <rPr>
        <b/>
        <sz val="10"/>
        <rFont val="宋体"/>
        <charset val="134"/>
      </rPr>
      <t>工程</t>
    </r>
  </si>
  <si>
    <r>
      <rPr>
        <sz val="10"/>
        <rFont val="宋体"/>
        <charset val="134"/>
      </rPr>
      <t>工作内容</t>
    </r>
    <r>
      <rPr>
        <sz val="10"/>
        <rFont val="Times New Roman"/>
        <charset val="134"/>
      </rPr>
      <t xml:space="preserve">       </t>
    </r>
    <r>
      <rPr>
        <sz val="10"/>
        <rFont val="宋体"/>
        <charset val="134"/>
      </rPr>
      <t>Ⅳ类</t>
    </r>
  </si>
  <si>
    <t>项目  细砂垫层</t>
  </si>
  <si>
    <t>细砂</t>
  </si>
  <si>
    <r>
      <rPr>
        <b/>
        <sz val="10"/>
        <rFont val="Times New Roman"/>
        <charset val="134"/>
      </rPr>
      <t>1m</t>
    </r>
    <r>
      <rPr>
        <b/>
        <vertAlign val="superscript"/>
        <sz val="10"/>
        <rFont val="Times New Roman"/>
        <charset val="134"/>
      </rPr>
      <t>3</t>
    </r>
    <r>
      <rPr>
        <b/>
        <sz val="10"/>
        <rFont val="宋体"/>
        <charset val="134"/>
      </rPr>
      <t>挖掘机挖土</t>
    </r>
    <r>
      <rPr>
        <b/>
        <sz val="10"/>
        <rFont val="Times New Roman"/>
        <charset val="134"/>
      </rPr>
      <t xml:space="preserve"> </t>
    </r>
    <r>
      <rPr>
        <b/>
        <sz val="10"/>
        <rFont val="宋体"/>
        <charset val="134"/>
      </rPr>
      <t>Ⅲ类</t>
    </r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</si>
  <si>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:1146</t>
    </r>
  </si>
  <si>
    <t>挖掘机挖沟道淤泥</t>
  </si>
  <si>
    <r>
      <rPr>
        <sz val="10"/>
        <rFont val="宋体"/>
        <charset val="134"/>
      </rPr>
      <t>工作内容：</t>
    </r>
    <r>
      <rPr>
        <sz val="10"/>
        <rFont val="Times New Roman"/>
        <charset val="134"/>
      </rPr>
      <t xml:space="preserve">  </t>
    </r>
  </si>
  <si>
    <r>
      <rPr>
        <sz val="10"/>
        <rFont val="宋体"/>
        <charset val="134"/>
      </rPr>
      <t>挖掘机</t>
    </r>
    <r>
      <rPr>
        <sz val="10"/>
        <rFont val="Times New Roman"/>
        <charset val="134"/>
      </rPr>
      <t>1m</t>
    </r>
    <r>
      <rPr>
        <vertAlign val="superscript"/>
        <sz val="10"/>
        <rFont val="Times New Roman"/>
        <charset val="134"/>
      </rPr>
      <t>3</t>
    </r>
    <r>
      <rPr>
        <sz val="10"/>
        <rFont val="宋体"/>
        <charset val="134"/>
      </rPr>
      <t>油动</t>
    </r>
  </si>
  <si>
    <r>
      <rPr>
        <b/>
        <sz val="14"/>
        <rFont val="Times New Roman"/>
        <charset val="134"/>
      </rPr>
      <t xml:space="preserve">                                                                                                           </t>
    </r>
    <r>
      <rPr>
        <b/>
        <sz val="14"/>
        <rFont val="宋体"/>
        <charset val="134"/>
      </rPr>
      <t>单</t>
    </r>
    <r>
      <rPr>
        <b/>
        <sz val="14"/>
        <rFont val="Times New Roman"/>
        <charset val="134"/>
      </rPr>
      <t xml:space="preserve">   </t>
    </r>
    <r>
      <rPr>
        <b/>
        <sz val="14"/>
        <rFont val="宋体"/>
        <charset val="134"/>
      </rPr>
      <t>位</t>
    </r>
    <r>
      <rPr>
        <b/>
        <sz val="14"/>
        <rFont val="Times New Roman"/>
        <charset val="134"/>
      </rPr>
      <t xml:space="preserve">   </t>
    </r>
    <r>
      <rPr>
        <b/>
        <sz val="14"/>
        <rFont val="宋体"/>
        <charset val="134"/>
      </rPr>
      <t>估</t>
    </r>
    <r>
      <rPr>
        <b/>
        <sz val="14"/>
        <rFont val="Times New Roman"/>
        <charset val="134"/>
      </rPr>
      <t xml:space="preserve">   </t>
    </r>
    <r>
      <rPr>
        <b/>
        <sz val="14"/>
        <rFont val="宋体"/>
        <charset val="134"/>
      </rPr>
      <t>价</t>
    </r>
    <r>
      <rPr>
        <b/>
        <sz val="14"/>
        <rFont val="Times New Roman"/>
        <charset val="134"/>
      </rPr>
      <t xml:space="preserve">   </t>
    </r>
    <r>
      <rPr>
        <b/>
        <sz val="14"/>
        <rFont val="宋体"/>
        <charset val="134"/>
      </rPr>
      <t>表</t>
    </r>
  </si>
  <si>
    <r>
      <rPr>
        <b/>
        <sz val="10"/>
        <rFont val="Times New Roman"/>
        <charset val="134"/>
      </rPr>
      <t xml:space="preserve">                                                           1m3</t>
    </r>
    <r>
      <rPr>
        <b/>
        <sz val="10"/>
        <rFont val="宋体"/>
        <charset val="134"/>
      </rPr>
      <t>挖掘机挖运自卸汽车运</t>
    </r>
    <r>
      <rPr>
        <b/>
        <sz val="10"/>
        <rFont val="Times New Roman"/>
        <charset val="134"/>
      </rPr>
      <t xml:space="preserve"> </t>
    </r>
    <r>
      <rPr>
        <b/>
        <sz val="10"/>
        <rFont val="宋体"/>
        <charset val="134"/>
      </rPr>
      <t>小于</t>
    </r>
    <r>
      <rPr>
        <b/>
        <sz val="10"/>
        <rFont val="Times New Roman"/>
        <charset val="134"/>
      </rPr>
      <t xml:space="preserve">2km  </t>
    </r>
    <r>
      <rPr>
        <b/>
        <sz val="10"/>
        <rFont val="宋体"/>
        <charset val="134"/>
      </rPr>
      <t>工程</t>
    </r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</si>
  <si>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:1156</t>
    </r>
  </si>
  <si>
    <t>工作内容：ⅠⅡ类土</t>
  </si>
  <si>
    <r>
      <rPr>
        <sz val="10"/>
        <rFont val="宋体"/>
        <charset val="134"/>
      </rPr>
      <t>挖掘机油动</t>
    </r>
    <r>
      <rPr>
        <sz val="10"/>
        <rFont val="Times New Roman"/>
        <charset val="134"/>
      </rPr>
      <t>1m</t>
    </r>
    <r>
      <rPr>
        <vertAlign val="superscript"/>
        <sz val="10"/>
        <rFont val="Times New Roman"/>
        <charset val="134"/>
      </rPr>
      <t>3</t>
    </r>
  </si>
  <si>
    <r>
      <rPr>
        <sz val="10"/>
        <rFont val="宋体"/>
        <charset val="134"/>
      </rPr>
      <t>推土机</t>
    </r>
    <r>
      <rPr>
        <sz val="10"/>
        <rFont val="Times New Roman"/>
        <charset val="134"/>
      </rPr>
      <t>59kw</t>
    </r>
  </si>
  <si>
    <r>
      <rPr>
        <sz val="10"/>
        <rFont val="宋体"/>
        <charset val="134"/>
      </rPr>
      <t>自卸汽车</t>
    </r>
    <r>
      <rPr>
        <sz val="10"/>
        <rFont val="Times New Roman"/>
        <charset val="134"/>
      </rPr>
      <t>8t</t>
    </r>
  </si>
  <si>
    <r>
      <rPr>
        <b/>
        <sz val="10"/>
        <rFont val="Times New Roman"/>
        <charset val="134"/>
      </rPr>
      <t xml:space="preserve">                                                           1m3</t>
    </r>
    <r>
      <rPr>
        <b/>
        <sz val="10"/>
        <rFont val="宋体"/>
        <charset val="134"/>
      </rPr>
      <t>挖掘机挖运自卸汽车运</t>
    </r>
    <r>
      <rPr>
        <b/>
        <sz val="10"/>
        <rFont val="Times New Roman"/>
        <charset val="134"/>
      </rPr>
      <t xml:space="preserve"> 0.25-0.5km  </t>
    </r>
    <r>
      <rPr>
        <b/>
        <sz val="10"/>
        <rFont val="宋体"/>
        <charset val="134"/>
      </rPr>
      <t>工程</t>
    </r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</si>
  <si>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:1157</t>
    </r>
  </si>
  <si>
    <r>
      <rPr>
        <b/>
        <sz val="10"/>
        <rFont val="Times New Roman"/>
        <charset val="134"/>
      </rPr>
      <t>1m3</t>
    </r>
    <r>
      <rPr>
        <b/>
        <sz val="10"/>
        <rFont val="宋体"/>
        <charset val="134"/>
      </rPr>
      <t>挖掘机挖装</t>
    </r>
    <r>
      <rPr>
        <b/>
        <sz val="10"/>
        <rFont val="Times New Roman"/>
        <charset val="134"/>
      </rPr>
      <t>,</t>
    </r>
    <r>
      <rPr>
        <b/>
        <sz val="10"/>
        <rFont val="宋体"/>
        <charset val="134"/>
      </rPr>
      <t>自卸汽车运输</t>
    </r>
    <r>
      <rPr>
        <b/>
        <sz val="10"/>
        <rFont val="Times New Roman"/>
        <charset val="134"/>
      </rPr>
      <t xml:space="preserve">10km </t>
    </r>
    <r>
      <rPr>
        <b/>
        <sz val="10"/>
        <rFont val="宋体"/>
        <charset val="134"/>
      </rPr>
      <t>工程</t>
    </r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</si>
  <si>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:1163+1164*5</t>
    </r>
  </si>
  <si>
    <r>
      <rPr>
        <sz val="10"/>
        <rFont val="宋体"/>
        <charset val="134"/>
      </rPr>
      <t>工作内容：运距10</t>
    </r>
    <r>
      <rPr>
        <sz val="10"/>
        <rFont val="Times New Roman"/>
        <charset val="134"/>
      </rPr>
      <t>km</t>
    </r>
  </si>
  <si>
    <r>
      <rPr>
        <b/>
        <sz val="10"/>
        <rFont val="宋体"/>
        <charset val="134"/>
      </rPr>
      <t>拖拉机压实砂砾石</t>
    </r>
    <r>
      <rPr>
        <b/>
        <sz val="10"/>
        <rFont val="Times New Roman"/>
        <charset val="134"/>
      </rPr>
      <t xml:space="preserve">  </t>
    </r>
    <r>
      <rPr>
        <b/>
        <sz val="10"/>
        <rFont val="宋体"/>
        <charset val="134"/>
      </rPr>
      <t>工程</t>
    </r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</si>
  <si>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:1229</t>
    </r>
  </si>
  <si>
    <t>工作内容</t>
  </si>
  <si>
    <t>材料</t>
  </si>
  <si>
    <t>拖拉机74kw</t>
  </si>
  <si>
    <t>推土机74kw</t>
  </si>
  <si>
    <r>
      <rPr>
        <sz val="10"/>
        <rFont val="宋体"/>
        <charset val="134"/>
      </rPr>
      <t>蛙式打夯机</t>
    </r>
    <r>
      <rPr>
        <sz val="10"/>
        <rFont val="Times New Roman"/>
        <charset val="134"/>
      </rPr>
      <t>2.8kw</t>
    </r>
  </si>
  <si>
    <t>其它机械费</t>
  </si>
  <si>
    <r>
      <rPr>
        <b/>
        <sz val="10"/>
        <rFont val="宋体"/>
        <charset val="134"/>
      </rPr>
      <t>蛙式打夯机压实土方</t>
    </r>
    <r>
      <rPr>
        <b/>
        <sz val="10"/>
        <rFont val="Times New Roman"/>
        <charset val="134"/>
      </rPr>
      <t xml:space="preserve">  </t>
    </r>
    <r>
      <rPr>
        <b/>
        <sz val="10"/>
        <rFont val="宋体"/>
        <charset val="134"/>
      </rPr>
      <t>工程</t>
    </r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</si>
  <si>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:1231</t>
    </r>
  </si>
  <si>
    <r>
      <rPr>
        <sz val="10"/>
        <rFont val="Times New Roman"/>
        <charset val="134"/>
      </rPr>
      <t>m</t>
    </r>
    <r>
      <rPr>
        <vertAlign val="superscript"/>
        <sz val="10"/>
        <rFont val="Times New Roman"/>
        <charset val="134"/>
      </rPr>
      <t>3</t>
    </r>
  </si>
  <si>
    <t>打夯机1.0m3</t>
  </si>
  <si>
    <t>刨毛机</t>
  </si>
  <si>
    <r>
      <rPr>
        <b/>
        <sz val="10"/>
        <rFont val="宋体"/>
        <charset val="134"/>
      </rPr>
      <t>原土夯实</t>
    </r>
    <r>
      <rPr>
        <b/>
        <sz val="10"/>
        <rFont val="Times New Roman"/>
        <charset val="134"/>
      </rPr>
      <t xml:space="preserve"> </t>
    </r>
    <r>
      <rPr>
        <b/>
        <sz val="10"/>
        <rFont val="宋体"/>
        <charset val="134"/>
      </rPr>
      <t>工程</t>
    </r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</si>
  <si>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:1254</t>
    </r>
  </si>
  <si>
    <r>
      <rPr>
        <sz val="10"/>
        <rFont val="宋体"/>
        <charset val="134"/>
      </rPr>
      <t>挖掘机</t>
    </r>
    <r>
      <rPr>
        <sz val="10"/>
        <rFont val="Times New Roman"/>
        <charset val="134"/>
      </rPr>
      <t>1m3</t>
    </r>
  </si>
  <si>
    <t>74kw拖拉机</t>
  </si>
  <si>
    <r>
      <rPr>
        <b/>
        <sz val="10"/>
        <rFont val="宋体"/>
        <charset val="134"/>
      </rPr>
      <t>削坡土方</t>
    </r>
    <r>
      <rPr>
        <b/>
        <sz val="10"/>
        <rFont val="Times New Roman"/>
        <charset val="134"/>
      </rPr>
      <t xml:space="preserve">  </t>
    </r>
    <r>
      <rPr>
        <b/>
        <sz val="10"/>
        <rFont val="宋体"/>
        <charset val="134"/>
      </rPr>
      <t>工程</t>
    </r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</si>
  <si>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:1260</t>
    </r>
  </si>
  <si>
    <t>工作内容:挖方边坡</t>
  </si>
  <si>
    <r>
      <rPr>
        <b/>
        <sz val="10"/>
        <rFont val="宋体"/>
        <charset val="134"/>
      </rPr>
      <t>机械翻夯土（</t>
    </r>
    <r>
      <rPr>
        <b/>
        <sz val="10"/>
        <rFont val="Times New Roman"/>
        <charset val="134"/>
      </rPr>
      <t>3-4m</t>
    </r>
    <r>
      <rPr>
        <b/>
        <sz val="10"/>
        <rFont val="宋体"/>
        <charset val="134"/>
      </rPr>
      <t>）</t>
    </r>
    <r>
      <rPr>
        <b/>
        <sz val="10"/>
        <rFont val="Times New Roman"/>
        <charset val="134"/>
      </rPr>
      <t xml:space="preserve"> </t>
    </r>
    <r>
      <rPr>
        <b/>
        <sz val="10"/>
        <rFont val="宋体"/>
        <charset val="134"/>
      </rPr>
      <t>工程</t>
    </r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</si>
  <si>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:1248</t>
    </r>
  </si>
  <si>
    <t>自卸汽车5T</t>
  </si>
  <si>
    <r>
      <rPr>
        <b/>
        <sz val="14"/>
        <rFont val="Times New Roman"/>
        <charset val="134"/>
      </rPr>
      <t xml:space="preserve">                                         </t>
    </r>
    <r>
      <rPr>
        <b/>
        <sz val="14"/>
        <rFont val="宋体"/>
        <charset val="134"/>
      </rPr>
      <t>单</t>
    </r>
    <r>
      <rPr>
        <b/>
        <sz val="14"/>
        <rFont val="Times New Roman"/>
        <charset val="134"/>
      </rPr>
      <t xml:space="preserve">   </t>
    </r>
    <r>
      <rPr>
        <b/>
        <sz val="14"/>
        <rFont val="宋体"/>
        <charset val="134"/>
      </rPr>
      <t>位</t>
    </r>
    <r>
      <rPr>
        <b/>
        <sz val="14"/>
        <rFont val="Times New Roman"/>
        <charset val="134"/>
      </rPr>
      <t xml:space="preserve">   </t>
    </r>
    <r>
      <rPr>
        <b/>
        <sz val="14"/>
        <rFont val="宋体"/>
        <charset val="134"/>
      </rPr>
      <t>估</t>
    </r>
    <r>
      <rPr>
        <b/>
        <sz val="14"/>
        <rFont val="Times New Roman"/>
        <charset val="134"/>
      </rPr>
      <t xml:space="preserve">   </t>
    </r>
    <r>
      <rPr>
        <b/>
        <sz val="14"/>
        <rFont val="宋体"/>
        <charset val="134"/>
      </rPr>
      <t>价</t>
    </r>
    <r>
      <rPr>
        <b/>
        <sz val="14"/>
        <rFont val="Times New Roman"/>
        <charset val="134"/>
      </rPr>
      <t xml:space="preserve">   </t>
    </r>
    <r>
      <rPr>
        <b/>
        <sz val="14"/>
        <rFont val="宋体"/>
        <charset val="134"/>
      </rPr>
      <t>表</t>
    </r>
  </si>
  <si>
    <t>石方开挖（岩石Ⅴ-Ⅵ类） 工程</t>
  </si>
  <si>
    <t>定额编号:2009</t>
  </si>
  <si>
    <r>
      <rPr>
        <sz val="10"/>
        <rFont val="宋体"/>
        <charset val="134"/>
      </rPr>
      <t>定额单位:100m</t>
    </r>
    <r>
      <rPr>
        <vertAlign val="superscript"/>
        <sz val="10"/>
        <rFont val="宋体"/>
        <charset val="134"/>
      </rPr>
      <t>3</t>
    </r>
  </si>
  <si>
    <t>工作内容:</t>
  </si>
  <si>
    <t>合金钻头</t>
  </si>
  <si>
    <t>炸药</t>
  </si>
  <si>
    <t>雷管</t>
  </si>
  <si>
    <t>导火线</t>
  </si>
  <si>
    <t>其它材料费</t>
  </si>
  <si>
    <t>风钻 手持式</t>
  </si>
  <si>
    <t xml:space="preserve"> 扩大3%</t>
  </si>
  <si>
    <t>砖砌体工程</t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</si>
  <si>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:3070</t>
    </r>
  </si>
  <si>
    <t>砖</t>
  </si>
  <si>
    <t>千块</t>
  </si>
  <si>
    <t>砂浆</t>
  </si>
  <si>
    <t>砂浆搅拌机0.4m3</t>
  </si>
  <si>
    <r>
      <rPr>
        <b/>
        <sz val="10"/>
        <rFont val="宋体"/>
        <charset val="134"/>
      </rPr>
      <t>浆砌块石护底</t>
    </r>
    <r>
      <rPr>
        <b/>
        <sz val="10"/>
        <rFont val="Times New Roman"/>
        <charset val="134"/>
      </rPr>
      <t xml:space="preserve"> </t>
    </r>
    <r>
      <rPr>
        <b/>
        <sz val="10"/>
        <rFont val="宋体"/>
        <charset val="134"/>
      </rPr>
      <t>工程</t>
    </r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</si>
  <si>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:JYB1603</t>
    </r>
  </si>
  <si>
    <t>砼搅拌机0.4m3</t>
  </si>
  <si>
    <t>装载机2m3</t>
  </si>
  <si>
    <t>机动翻斗车1t</t>
  </si>
  <si>
    <t>单斗挖掘机液压2m3</t>
  </si>
  <si>
    <t>其他机械费</t>
  </si>
  <si>
    <r>
      <rPr>
        <b/>
        <sz val="10"/>
        <rFont val="宋体"/>
        <charset val="134"/>
      </rPr>
      <t>浆砌块石桥闸墩</t>
    </r>
    <r>
      <rPr>
        <b/>
        <sz val="10"/>
        <rFont val="Times New Roman"/>
        <charset val="134"/>
      </rPr>
      <t xml:space="preserve"> </t>
    </r>
    <r>
      <rPr>
        <b/>
        <sz val="10"/>
        <rFont val="宋体"/>
        <charset val="134"/>
      </rPr>
      <t>工程</t>
    </r>
  </si>
  <si>
    <t>定额编号:JYB1604</t>
  </si>
  <si>
    <r>
      <rPr>
        <b/>
        <sz val="10"/>
        <rFont val="宋体"/>
        <charset val="134"/>
      </rPr>
      <t>干砌石护坡</t>
    </r>
    <r>
      <rPr>
        <b/>
        <sz val="10"/>
        <rFont val="Times New Roman"/>
        <charset val="134"/>
      </rPr>
      <t xml:space="preserve"> </t>
    </r>
    <r>
      <rPr>
        <b/>
        <sz val="10"/>
        <rFont val="宋体"/>
        <charset val="134"/>
      </rPr>
      <t>工程</t>
    </r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</si>
  <si>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:3009</t>
    </r>
  </si>
  <si>
    <r>
      <rPr>
        <b/>
        <sz val="10"/>
        <rFont val="宋体"/>
        <charset val="134"/>
      </rPr>
      <t>浆砌块石挡土墙</t>
    </r>
    <r>
      <rPr>
        <b/>
        <sz val="10"/>
        <rFont val="Times New Roman"/>
        <charset val="134"/>
      </rPr>
      <t xml:space="preserve"> </t>
    </r>
    <r>
      <rPr>
        <b/>
        <sz val="10"/>
        <rFont val="宋体"/>
        <charset val="134"/>
      </rPr>
      <t>工程</t>
    </r>
  </si>
  <si>
    <t>定额编号:JYB1605</t>
  </si>
  <si>
    <t xml:space="preserve">                                                                                                             挡土墙混凝土C20(斜墙)   工程</t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</si>
  <si>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:4056</t>
    </r>
  </si>
  <si>
    <t>锯材</t>
  </si>
  <si>
    <t>组合钢模</t>
  </si>
  <si>
    <t>型钢</t>
  </si>
  <si>
    <t>卡扣件</t>
  </si>
  <si>
    <t>铁件</t>
  </si>
  <si>
    <t>预埋铁件</t>
  </si>
  <si>
    <t>电焊条</t>
  </si>
  <si>
    <r>
      <rPr>
        <sz val="10"/>
        <rFont val="宋体"/>
        <charset val="134"/>
      </rPr>
      <t>混凝土</t>
    </r>
    <r>
      <rPr>
        <sz val="10"/>
        <rFont val="Times New Roman"/>
        <charset val="134"/>
      </rPr>
      <t>C20</t>
    </r>
  </si>
  <si>
    <t>载重汽车    5t</t>
  </si>
  <si>
    <r>
      <rPr>
        <sz val="10"/>
        <rFont val="宋体"/>
        <charset val="134"/>
      </rPr>
      <t>汽车起重机</t>
    </r>
    <r>
      <rPr>
        <sz val="10"/>
        <rFont val="Times New Roman"/>
        <charset val="134"/>
      </rPr>
      <t>5t</t>
    </r>
  </si>
  <si>
    <t xml:space="preserve">电焊机  25KVA </t>
  </si>
  <si>
    <t xml:space="preserve">搅拌机  0.4m3 </t>
  </si>
  <si>
    <t>振捣器  插入式1.1KW</t>
  </si>
  <si>
    <t>混凝土运输</t>
  </si>
  <si>
    <t>混凝土水平运输</t>
  </si>
  <si>
    <t>混凝土垂直运输</t>
  </si>
  <si>
    <t>材料差(材料)</t>
  </si>
  <si>
    <t>材料差(机械)</t>
  </si>
  <si>
    <t>汽油(差)</t>
  </si>
  <si>
    <t xml:space="preserve">                                                                                                             挡土墙混凝土C25(斜墙)   工程</t>
  </si>
  <si>
    <r>
      <rPr>
        <sz val="10"/>
        <rFont val="宋体"/>
        <charset val="134"/>
      </rPr>
      <t>混凝土</t>
    </r>
    <r>
      <rPr>
        <sz val="10"/>
        <rFont val="Times New Roman"/>
        <charset val="134"/>
      </rPr>
      <t>C25</t>
    </r>
  </si>
  <si>
    <r>
      <rPr>
        <b/>
        <sz val="12"/>
        <rFont val="Times New Roman"/>
        <charset val="134"/>
      </rPr>
      <t xml:space="preserve">                                                   </t>
    </r>
    <r>
      <rPr>
        <b/>
        <sz val="12"/>
        <rFont val="宋体"/>
        <charset val="134"/>
      </rPr>
      <t>混凝土墙</t>
    </r>
    <r>
      <rPr>
        <b/>
        <sz val="12"/>
        <rFont val="Times New Roman"/>
        <charset val="134"/>
      </rPr>
      <t xml:space="preserve">C25  </t>
    </r>
    <r>
      <rPr>
        <b/>
        <sz val="12"/>
        <rFont val="宋体"/>
        <charset val="134"/>
      </rPr>
      <t>工程</t>
    </r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</si>
  <si>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:4060</t>
    </r>
  </si>
  <si>
    <t>工作内容：墙厚0.2-0.4m</t>
  </si>
  <si>
    <r>
      <rPr>
        <sz val="10"/>
        <rFont val="宋体"/>
        <charset val="134"/>
      </rPr>
      <t>混凝土</t>
    </r>
    <r>
      <rPr>
        <sz val="10"/>
        <rFont val="Times New Roman"/>
        <charset val="134"/>
      </rPr>
      <t>C30</t>
    </r>
  </si>
  <si>
    <t>振捣器  平板1.1KW</t>
  </si>
  <si>
    <r>
      <rPr>
        <b/>
        <sz val="12"/>
        <rFont val="Times New Roman"/>
        <charset val="134"/>
      </rPr>
      <t xml:space="preserve"> C25</t>
    </r>
    <r>
      <rPr>
        <b/>
        <sz val="12"/>
        <rFont val="宋体"/>
        <charset val="134"/>
      </rPr>
      <t>混凝土现浇挡土墙</t>
    </r>
    <r>
      <rPr>
        <b/>
        <sz val="12"/>
        <rFont val="Times New Roman"/>
        <charset val="134"/>
      </rPr>
      <t>(</t>
    </r>
    <r>
      <rPr>
        <b/>
        <sz val="12"/>
        <rFont val="宋体"/>
        <charset val="134"/>
      </rPr>
      <t>抗渗等级</t>
    </r>
    <r>
      <rPr>
        <b/>
        <sz val="12"/>
        <rFont val="Times New Roman"/>
        <charset val="134"/>
      </rPr>
      <t>W6</t>
    </r>
    <r>
      <rPr>
        <b/>
        <sz val="12"/>
        <rFont val="宋体"/>
        <charset val="134"/>
      </rPr>
      <t>，抗冻标号</t>
    </r>
    <r>
      <rPr>
        <b/>
        <sz val="12"/>
        <rFont val="Times New Roman"/>
        <charset val="134"/>
      </rPr>
      <t>F200</t>
    </r>
    <r>
      <rPr>
        <b/>
        <sz val="12"/>
        <rFont val="宋体"/>
        <charset val="134"/>
      </rPr>
      <t>）</t>
    </r>
  </si>
  <si>
    <r>
      <rPr>
        <b/>
        <sz val="12"/>
        <rFont val="宋体"/>
        <charset val="134"/>
      </rPr>
      <t>混凝土墙</t>
    </r>
    <r>
      <rPr>
        <b/>
        <sz val="12"/>
        <rFont val="Times New Roman"/>
        <charset val="134"/>
      </rPr>
      <t xml:space="preserve">C35  </t>
    </r>
    <r>
      <rPr>
        <b/>
        <sz val="12"/>
        <rFont val="宋体"/>
        <charset val="134"/>
      </rPr>
      <t>工程</t>
    </r>
    <r>
      <rPr>
        <b/>
        <sz val="12"/>
        <rFont val="Times New Roman"/>
        <charset val="134"/>
      </rPr>
      <t>(</t>
    </r>
    <r>
      <rPr>
        <b/>
        <sz val="12"/>
        <rFont val="宋体"/>
        <charset val="134"/>
      </rPr>
      <t>抗渗等级</t>
    </r>
    <r>
      <rPr>
        <b/>
        <sz val="12"/>
        <rFont val="Times New Roman"/>
        <charset val="134"/>
      </rPr>
      <t>W6</t>
    </r>
    <r>
      <rPr>
        <b/>
        <sz val="12"/>
        <rFont val="宋体"/>
        <charset val="134"/>
      </rPr>
      <t>，抗冻标号</t>
    </r>
    <r>
      <rPr>
        <b/>
        <sz val="12"/>
        <rFont val="Times New Roman"/>
        <charset val="134"/>
      </rPr>
      <t>F200</t>
    </r>
    <r>
      <rPr>
        <b/>
        <sz val="12"/>
        <rFont val="宋体"/>
        <charset val="134"/>
      </rPr>
      <t>）</t>
    </r>
  </si>
  <si>
    <t>齿墙</t>
  </si>
  <si>
    <t>工作内容：墙厚0.4-0.6m</t>
  </si>
  <si>
    <r>
      <rPr>
        <sz val="10"/>
        <rFont val="宋体"/>
        <charset val="134"/>
      </rPr>
      <t>混凝土</t>
    </r>
    <r>
      <rPr>
        <sz val="10"/>
        <rFont val="Times New Roman"/>
        <charset val="134"/>
      </rPr>
      <t>C25</t>
    </r>
    <r>
      <rPr>
        <sz val="10"/>
        <rFont val="宋体"/>
        <charset val="134"/>
      </rPr>
      <t>（商砼）</t>
    </r>
  </si>
  <si>
    <r>
      <rPr>
        <sz val="10"/>
        <rFont val="宋体"/>
        <charset val="134"/>
      </rPr>
      <t>混凝土</t>
    </r>
    <r>
      <rPr>
        <sz val="10"/>
        <rFont val="Times New Roman"/>
        <charset val="134"/>
      </rPr>
      <t>C35</t>
    </r>
    <r>
      <rPr>
        <sz val="10"/>
        <rFont val="宋体"/>
        <charset val="134"/>
      </rPr>
      <t>（商砼）</t>
    </r>
  </si>
  <si>
    <t>汽车起重机5T</t>
  </si>
  <si>
    <t>抗渗等级W6</t>
  </si>
  <si>
    <t>抗冻标号F200</t>
  </si>
  <si>
    <t>高抗硫酸盐水泥</t>
  </si>
  <si>
    <r>
      <rPr>
        <b/>
        <sz val="12"/>
        <rFont val="Times New Roman"/>
        <charset val="134"/>
      </rPr>
      <t xml:space="preserve">                                                  </t>
    </r>
    <r>
      <rPr>
        <b/>
        <sz val="12"/>
        <rFont val="宋体"/>
        <charset val="134"/>
      </rPr>
      <t>混凝土</t>
    </r>
    <r>
      <rPr>
        <b/>
        <sz val="12"/>
        <rFont val="Times New Roman"/>
        <charset val="134"/>
      </rPr>
      <t xml:space="preserve">C15 </t>
    </r>
    <r>
      <rPr>
        <b/>
        <sz val="12"/>
        <rFont val="宋体"/>
        <charset val="134"/>
      </rPr>
      <t>支墩  工程</t>
    </r>
  </si>
  <si>
    <r>
      <rPr>
        <b/>
        <sz val="12"/>
        <rFont val="Times New Roman"/>
        <charset val="134"/>
      </rPr>
      <t xml:space="preserve">                                                  </t>
    </r>
    <r>
      <rPr>
        <b/>
        <sz val="12"/>
        <rFont val="宋体"/>
        <charset val="134"/>
      </rPr>
      <t>混凝土</t>
    </r>
    <r>
      <rPr>
        <b/>
        <sz val="12"/>
        <rFont val="Times New Roman"/>
        <charset val="134"/>
      </rPr>
      <t xml:space="preserve">C25 </t>
    </r>
    <r>
      <rPr>
        <b/>
        <sz val="12"/>
        <rFont val="宋体"/>
        <charset val="134"/>
      </rPr>
      <t>支墩  工程</t>
    </r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</si>
  <si>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:4052</t>
    </r>
  </si>
  <si>
    <r>
      <rPr>
        <sz val="10"/>
        <rFont val="宋体"/>
        <charset val="134"/>
      </rPr>
      <t>混凝土</t>
    </r>
    <r>
      <rPr>
        <sz val="10"/>
        <rFont val="Times New Roman"/>
        <charset val="134"/>
      </rPr>
      <t>C15</t>
    </r>
  </si>
  <si>
    <r>
      <rPr>
        <b/>
        <sz val="12"/>
        <rFont val="Times New Roman"/>
        <charset val="134"/>
      </rPr>
      <t xml:space="preserve">                                                  </t>
    </r>
    <r>
      <rPr>
        <b/>
        <sz val="12"/>
        <rFont val="宋体"/>
        <charset val="134"/>
      </rPr>
      <t>混凝土</t>
    </r>
    <r>
      <rPr>
        <b/>
        <sz val="12"/>
        <rFont val="Times New Roman"/>
        <charset val="134"/>
      </rPr>
      <t xml:space="preserve">C20 </t>
    </r>
    <r>
      <rPr>
        <b/>
        <sz val="12"/>
        <rFont val="宋体"/>
        <charset val="134"/>
      </rPr>
      <t>镇墩</t>
    </r>
    <r>
      <rPr>
        <b/>
        <sz val="12"/>
        <rFont val="Times New Roman"/>
        <charset val="134"/>
      </rPr>
      <t xml:space="preserve"> </t>
    </r>
    <r>
      <rPr>
        <b/>
        <sz val="12"/>
        <rFont val="宋体"/>
        <charset val="134"/>
      </rPr>
      <t>工程</t>
    </r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</si>
  <si>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:4051</t>
    </r>
  </si>
  <si>
    <r>
      <rPr>
        <b/>
        <sz val="12"/>
        <rFont val="Times New Roman"/>
        <charset val="134"/>
      </rPr>
      <t xml:space="preserve">                                                  </t>
    </r>
    <r>
      <rPr>
        <b/>
        <sz val="12"/>
        <rFont val="宋体"/>
        <charset val="134"/>
      </rPr>
      <t>混凝土</t>
    </r>
    <r>
      <rPr>
        <b/>
        <sz val="12"/>
        <rFont val="Times New Roman"/>
        <charset val="134"/>
      </rPr>
      <t xml:space="preserve">C20 </t>
    </r>
    <r>
      <rPr>
        <b/>
        <sz val="12"/>
        <rFont val="宋体"/>
        <charset val="134"/>
      </rPr>
      <t>镇墩</t>
    </r>
    <r>
      <rPr>
        <b/>
        <sz val="12"/>
        <rFont val="Times New Roman"/>
        <charset val="134"/>
      </rPr>
      <t xml:space="preserve"> </t>
    </r>
    <r>
      <rPr>
        <b/>
        <sz val="12"/>
        <rFont val="宋体"/>
        <charset val="134"/>
      </rPr>
      <t>抗硫工程</t>
    </r>
  </si>
  <si>
    <r>
      <rPr>
        <b/>
        <sz val="12"/>
        <rFont val="Times New Roman"/>
        <charset val="134"/>
      </rPr>
      <t xml:space="preserve">                                                  </t>
    </r>
    <r>
      <rPr>
        <b/>
        <sz val="12"/>
        <rFont val="宋体"/>
        <charset val="134"/>
      </rPr>
      <t>混凝土</t>
    </r>
    <r>
      <rPr>
        <b/>
        <sz val="12"/>
        <rFont val="Times New Roman"/>
        <charset val="134"/>
      </rPr>
      <t xml:space="preserve">C25 </t>
    </r>
    <r>
      <rPr>
        <b/>
        <sz val="12"/>
        <rFont val="宋体"/>
        <charset val="134"/>
      </rPr>
      <t>镇墩</t>
    </r>
    <r>
      <rPr>
        <b/>
        <sz val="12"/>
        <rFont val="Times New Roman"/>
        <charset val="134"/>
      </rPr>
      <t xml:space="preserve"> </t>
    </r>
    <r>
      <rPr>
        <b/>
        <sz val="12"/>
        <rFont val="宋体"/>
        <charset val="134"/>
      </rPr>
      <t>工程</t>
    </r>
  </si>
  <si>
    <t xml:space="preserve">                                                   垫层混凝土C10   工程</t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</si>
  <si>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:4067</t>
    </r>
  </si>
  <si>
    <r>
      <rPr>
        <sz val="10"/>
        <rFont val="宋体"/>
        <charset val="134"/>
      </rPr>
      <t>混凝土</t>
    </r>
    <r>
      <rPr>
        <sz val="10"/>
        <rFont val="Times New Roman"/>
        <charset val="134"/>
      </rPr>
      <t>C10</t>
    </r>
  </si>
  <si>
    <r>
      <rPr>
        <b/>
        <sz val="12"/>
        <rFont val="Times New Roman"/>
        <charset val="134"/>
      </rPr>
      <t xml:space="preserve">                                                   </t>
    </r>
    <r>
      <rPr>
        <b/>
        <sz val="12"/>
        <rFont val="宋体"/>
        <charset val="134"/>
      </rPr>
      <t>垫层混凝土</t>
    </r>
    <r>
      <rPr>
        <b/>
        <sz val="12"/>
        <rFont val="Times New Roman"/>
        <charset val="134"/>
      </rPr>
      <t xml:space="preserve">C15  </t>
    </r>
    <r>
      <rPr>
        <b/>
        <sz val="12"/>
        <rFont val="宋体"/>
        <charset val="134"/>
      </rPr>
      <t>工程</t>
    </r>
  </si>
  <si>
    <t xml:space="preserve">                                    单   位   估   价   表</t>
  </si>
  <si>
    <r>
      <rPr>
        <b/>
        <sz val="12"/>
        <rFont val="Times New Roman"/>
        <charset val="134"/>
      </rPr>
      <t xml:space="preserve">                                                   </t>
    </r>
    <r>
      <rPr>
        <b/>
        <sz val="12"/>
        <rFont val="宋体"/>
        <charset val="134"/>
      </rPr>
      <t>闸底板混凝土</t>
    </r>
    <r>
      <rPr>
        <b/>
        <sz val="12"/>
        <rFont val="Times New Roman"/>
        <charset val="134"/>
      </rPr>
      <t xml:space="preserve">C25 </t>
    </r>
    <r>
      <rPr>
        <b/>
        <sz val="12"/>
        <rFont val="宋体"/>
        <charset val="134"/>
      </rPr>
      <t>工程</t>
    </r>
  </si>
  <si>
    <t>C35混凝土护底(抗渗等级W6，抗冻标号F200）</t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</si>
  <si>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:4070</t>
    </r>
  </si>
  <si>
    <r>
      <rPr>
        <sz val="10"/>
        <rFont val="宋体"/>
        <charset val="134"/>
      </rPr>
      <t>工作内容</t>
    </r>
    <r>
      <rPr>
        <sz val="10"/>
        <rFont val="Times New Roman"/>
        <charset val="134"/>
      </rPr>
      <t>:0.3~0.6</t>
    </r>
  </si>
  <si>
    <t>混凝土C35（商砼）</t>
  </si>
  <si>
    <r>
      <rPr>
        <b/>
        <sz val="12"/>
        <rFont val="Times New Roman"/>
        <charset val="134"/>
      </rPr>
      <t xml:space="preserve">                                                   </t>
    </r>
    <r>
      <rPr>
        <b/>
        <sz val="12"/>
        <rFont val="宋体"/>
        <charset val="134"/>
      </rPr>
      <t>闸底板混凝土</t>
    </r>
    <r>
      <rPr>
        <b/>
        <sz val="12"/>
        <rFont val="Times New Roman"/>
        <charset val="134"/>
      </rPr>
      <t xml:space="preserve">C30 </t>
    </r>
    <r>
      <rPr>
        <b/>
        <sz val="12"/>
        <rFont val="宋体"/>
        <charset val="134"/>
      </rPr>
      <t>工程</t>
    </r>
  </si>
  <si>
    <r>
      <rPr>
        <b/>
        <sz val="12"/>
        <rFont val="Times New Roman"/>
        <charset val="134"/>
      </rPr>
      <t xml:space="preserve">                                                  </t>
    </r>
    <r>
      <rPr>
        <b/>
        <sz val="12"/>
        <rFont val="宋体"/>
        <charset val="134"/>
      </rPr>
      <t>二期混凝土</t>
    </r>
    <r>
      <rPr>
        <b/>
        <sz val="12"/>
        <rFont val="Times New Roman"/>
        <charset val="134"/>
      </rPr>
      <t xml:space="preserve">C25 </t>
    </r>
    <r>
      <rPr>
        <b/>
        <sz val="12"/>
        <rFont val="宋体"/>
        <charset val="134"/>
      </rPr>
      <t>工程</t>
    </r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</si>
  <si>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:4083</t>
    </r>
  </si>
  <si>
    <t>载重汽车5t</t>
  </si>
  <si>
    <t>汽车起重机 5t</t>
  </si>
  <si>
    <t>塔式起重机 10t</t>
  </si>
  <si>
    <r>
      <rPr>
        <b/>
        <sz val="12"/>
        <rFont val="Times New Roman"/>
        <charset val="134"/>
      </rPr>
      <t xml:space="preserve">                                                    </t>
    </r>
    <r>
      <rPr>
        <b/>
        <sz val="12"/>
        <rFont val="宋体"/>
        <charset val="134"/>
      </rPr>
      <t>现浇桥板混凝土</t>
    </r>
    <r>
      <rPr>
        <b/>
        <sz val="12"/>
        <rFont val="Times New Roman"/>
        <charset val="134"/>
      </rPr>
      <t xml:space="preserve">C25 </t>
    </r>
    <r>
      <rPr>
        <b/>
        <sz val="12"/>
        <rFont val="宋体"/>
        <charset val="134"/>
      </rPr>
      <t>工程</t>
    </r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</si>
  <si>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:4094</t>
    </r>
  </si>
  <si>
    <t>组合钢模板</t>
  </si>
  <si>
    <t>混凝土C25</t>
  </si>
  <si>
    <t>振捣器  平板2.2KW</t>
  </si>
  <si>
    <t>电焊机 交流25KVA</t>
  </si>
  <si>
    <t xml:space="preserve">                                                    现浇桥板混凝土C20  工程</t>
  </si>
  <si>
    <r>
      <rPr>
        <b/>
        <sz val="12"/>
        <rFont val="Times New Roman"/>
        <charset val="134"/>
      </rPr>
      <t xml:space="preserve">                                                        </t>
    </r>
    <r>
      <rPr>
        <b/>
        <sz val="12"/>
        <rFont val="宋体"/>
        <charset val="134"/>
      </rPr>
      <t>现浇混凝土</t>
    </r>
    <r>
      <rPr>
        <b/>
        <sz val="12"/>
        <rFont val="Times New Roman"/>
        <charset val="134"/>
      </rPr>
      <t>C30</t>
    </r>
    <r>
      <rPr>
        <b/>
        <sz val="12"/>
        <rFont val="宋体"/>
        <charset val="134"/>
      </rPr>
      <t>板工程</t>
    </r>
  </si>
  <si>
    <t xml:space="preserve">搅拌机  0.4m3  </t>
  </si>
  <si>
    <r>
      <rPr>
        <b/>
        <sz val="12"/>
        <rFont val="Times New Roman"/>
        <charset val="134"/>
      </rPr>
      <t xml:space="preserve">                                                        </t>
    </r>
    <r>
      <rPr>
        <b/>
        <sz val="12"/>
        <rFont val="宋体"/>
        <charset val="134"/>
      </rPr>
      <t>混凝土帽</t>
    </r>
    <r>
      <rPr>
        <b/>
        <sz val="12"/>
        <rFont val="Times New Roman"/>
        <charset val="134"/>
      </rPr>
      <t>C15</t>
    </r>
    <r>
      <rPr>
        <b/>
        <sz val="12"/>
        <rFont val="宋体"/>
        <charset val="134"/>
      </rPr>
      <t>（抗硫）</t>
    </r>
    <r>
      <rPr>
        <b/>
        <sz val="12"/>
        <rFont val="Times New Roman"/>
        <charset val="134"/>
      </rPr>
      <t xml:space="preserve">  </t>
    </r>
    <r>
      <rPr>
        <b/>
        <sz val="12"/>
        <rFont val="宋体"/>
        <charset val="134"/>
      </rPr>
      <t>工程</t>
    </r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</si>
  <si>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:4124</t>
    </r>
  </si>
  <si>
    <r>
      <rPr>
        <sz val="10"/>
        <rFont val="宋体"/>
        <charset val="134"/>
      </rPr>
      <t>搅拌机  0.4m</t>
    </r>
    <r>
      <rPr>
        <vertAlign val="superscript"/>
        <sz val="10"/>
        <rFont val="宋体"/>
        <charset val="134"/>
      </rPr>
      <t>3</t>
    </r>
  </si>
  <si>
    <t>电焊机   25KVA</t>
  </si>
  <si>
    <r>
      <rPr>
        <b/>
        <sz val="12"/>
        <rFont val="Times New Roman"/>
        <charset val="134"/>
      </rPr>
      <t xml:space="preserve">                                                        </t>
    </r>
    <r>
      <rPr>
        <b/>
        <sz val="12"/>
        <rFont val="宋体"/>
        <charset val="134"/>
      </rPr>
      <t>混凝土帽</t>
    </r>
    <r>
      <rPr>
        <b/>
        <sz val="12"/>
        <rFont val="Times New Roman"/>
        <charset val="134"/>
      </rPr>
      <t xml:space="preserve">C25  </t>
    </r>
    <r>
      <rPr>
        <b/>
        <sz val="12"/>
        <rFont val="宋体"/>
        <charset val="134"/>
      </rPr>
      <t>工程</t>
    </r>
  </si>
  <si>
    <r>
      <rPr>
        <b/>
        <sz val="12"/>
        <rFont val="Times New Roman"/>
        <charset val="134"/>
      </rPr>
      <t xml:space="preserve">                                                        </t>
    </r>
    <r>
      <rPr>
        <b/>
        <sz val="12"/>
        <rFont val="宋体"/>
        <charset val="134"/>
      </rPr>
      <t>混凝土帽</t>
    </r>
    <r>
      <rPr>
        <b/>
        <sz val="12"/>
        <rFont val="Times New Roman"/>
        <charset val="134"/>
      </rPr>
      <t xml:space="preserve">C20  </t>
    </r>
    <r>
      <rPr>
        <b/>
        <sz val="12"/>
        <rFont val="宋体"/>
        <charset val="134"/>
      </rPr>
      <t>工程</t>
    </r>
  </si>
  <si>
    <t>F150</t>
  </si>
  <si>
    <r>
      <rPr>
        <b/>
        <sz val="12"/>
        <rFont val="Times New Roman"/>
        <charset val="134"/>
      </rPr>
      <t xml:space="preserve">                                                        </t>
    </r>
    <r>
      <rPr>
        <b/>
        <sz val="12"/>
        <rFont val="宋体"/>
        <charset val="134"/>
      </rPr>
      <t>混凝土护坡框格</t>
    </r>
    <r>
      <rPr>
        <b/>
        <sz val="12"/>
        <rFont val="Times New Roman"/>
        <charset val="134"/>
      </rPr>
      <t xml:space="preserve">C20  </t>
    </r>
    <r>
      <rPr>
        <b/>
        <sz val="12"/>
        <rFont val="宋体"/>
        <charset val="134"/>
      </rPr>
      <t>工程</t>
    </r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</si>
  <si>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:4134</t>
    </r>
  </si>
  <si>
    <r>
      <rPr>
        <b/>
        <sz val="12"/>
        <rFont val="Times New Roman"/>
        <charset val="134"/>
      </rPr>
      <t xml:space="preserve">                                                        </t>
    </r>
    <r>
      <rPr>
        <b/>
        <sz val="12"/>
        <rFont val="宋体"/>
        <charset val="134"/>
      </rPr>
      <t>混凝土</t>
    </r>
    <r>
      <rPr>
        <b/>
        <sz val="12"/>
        <rFont val="Times New Roman"/>
        <charset val="134"/>
      </rPr>
      <t xml:space="preserve">C20 </t>
    </r>
    <r>
      <rPr>
        <b/>
        <sz val="12"/>
        <rFont val="宋体"/>
        <charset val="134"/>
      </rPr>
      <t>明渠</t>
    </r>
    <r>
      <rPr>
        <b/>
        <sz val="12"/>
        <rFont val="Times New Roman"/>
        <charset val="134"/>
      </rPr>
      <t xml:space="preserve"> </t>
    </r>
    <r>
      <rPr>
        <b/>
        <sz val="12"/>
        <rFont val="宋体"/>
        <charset val="134"/>
      </rPr>
      <t>底板工程</t>
    </r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</si>
  <si>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:4072</t>
    </r>
  </si>
  <si>
    <t>汽车起重机  5t</t>
  </si>
  <si>
    <r>
      <rPr>
        <b/>
        <sz val="12"/>
        <rFont val="Times New Roman"/>
        <charset val="134"/>
      </rPr>
      <t xml:space="preserve">                                                        </t>
    </r>
    <r>
      <rPr>
        <b/>
        <sz val="12"/>
        <rFont val="宋体"/>
        <charset val="134"/>
      </rPr>
      <t>混凝土</t>
    </r>
    <r>
      <rPr>
        <b/>
        <sz val="12"/>
        <rFont val="Times New Roman"/>
        <charset val="134"/>
      </rPr>
      <t>C20</t>
    </r>
    <r>
      <rPr>
        <b/>
        <sz val="12"/>
        <rFont val="宋体"/>
        <charset val="134"/>
      </rPr>
      <t>明渠</t>
    </r>
    <r>
      <rPr>
        <b/>
        <sz val="12"/>
        <rFont val="Times New Roman"/>
        <charset val="134"/>
      </rPr>
      <t xml:space="preserve"> </t>
    </r>
    <r>
      <rPr>
        <b/>
        <sz val="12"/>
        <rFont val="宋体"/>
        <charset val="134"/>
      </rPr>
      <t>边坡</t>
    </r>
    <r>
      <rPr>
        <b/>
        <sz val="12"/>
        <rFont val="Times New Roman"/>
        <charset val="134"/>
      </rPr>
      <t xml:space="preserve">  </t>
    </r>
    <r>
      <rPr>
        <b/>
        <sz val="12"/>
        <rFont val="宋体"/>
        <charset val="134"/>
      </rPr>
      <t>工程</t>
    </r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</si>
  <si>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:4075</t>
    </r>
  </si>
  <si>
    <r>
      <rPr>
        <b/>
        <sz val="12"/>
        <rFont val="Times New Roman"/>
        <charset val="134"/>
      </rPr>
      <t xml:space="preserve">                                                        C30</t>
    </r>
    <r>
      <rPr>
        <b/>
        <sz val="12"/>
        <rFont val="宋体"/>
        <charset val="134"/>
      </rPr>
      <t>混凝土封闭圈</t>
    </r>
    <r>
      <rPr>
        <b/>
        <sz val="12"/>
        <rFont val="Times New Roman"/>
        <charset val="134"/>
      </rPr>
      <t xml:space="preserve"> </t>
    </r>
    <r>
      <rPr>
        <b/>
        <sz val="12"/>
        <rFont val="宋体"/>
        <charset val="134"/>
      </rPr>
      <t>（中部）</t>
    </r>
    <r>
      <rPr>
        <b/>
        <sz val="12"/>
        <rFont val="Times New Roman"/>
        <charset val="134"/>
      </rPr>
      <t xml:space="preserve"> </t>
    </r>
    <r>
      <rPr>
        <b/>
        <sz val="12"/>
        <rFont val="宋体"/>
        <charset val="134"/>
      </rPr>
      <t>工程</t>
    </r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</si>
  <si>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:4043</t>
    </r>
  </si>
  <si>
    <t>商混</t>
  </si>
  <si>
    <t>风水枪</t>
  </si>
  <si>
    <t>木材(差)</t>
  </si>
  <si>
    <t>C30商混</t>
  </si>
  <si>
    <r>
      <rPr>
        <b/>
        <sz val="12"/>
        <rFont val="Times New Roman"/>
        <charset val="134"/>
      </rPr>
      <t xml:space="preserve">                                                        C30</t>
    </r>
    <r>
      <rPr>
        <b/>
        <sz val="12"/>
        <rFont val="宋体"/>
        <charset val="134"/>
      </rPr>
      <t>混凝土封闭圈</t>
    </r>
    <r>
      <rPr>
        <b/>
        <sz val="12"/>
        <rFont val="Times New Roman"/>
        <charset val="134"/>
      </rPr>
      <t xml:space="preserve"> </t>
    </r>
    <r>
      <rPr>
        <b/>
        <sz val="12"/>
        <rFont val="宋体"/>
        <charset val="134"/>
      </rPr>
      <t>（下部）</t>
    </r>
    <r>
      <rPr>
        <b/>
        <sz val="12"/>
        <rFont val="Times New Roman"/>
        <charset val="134"/>
      </rPr>
      <t xml:space="preserve"> </t>
    </r>
    <r>
      <rPr>
        <b/>
        <sz val="12"/>
        <rFont val="宋体"/>
        <charset val="134"/>
      </rPr>
      <t>工程</t>
    </r>
  </si>
  <si>
    <r>
      <rPr>
        <b/>
        <sz val="12"/>
        <rFont val="Times New Roman"/>
        <charset val="134"/>
      </rPr>
      <t xml:space="preserve">                                                        C25</t>
    </r>
    <r>
      <rPr>
        <b/>
        <sz val="12"/>
        <rFont val="宋体"/>
        <charset val="134"/>
      </rPr>
      <t>混凝土封闭圈</t>
    </r>
    <r>
      <rPr>
        <b/>
        <sz val="12"/>
        <rFont val="Times New Roman"/>
        <charset val="134"/>
      </rPr>
      <t xml:space="preserve"> </t>
    </r>
    <r>
      <rPr>
        <b/>
        <sz val="12"/>
        <rFont val="宋体"/>
        <charset val="134"/>
      </rPr>
      <t>（中部）抗硫</t>
    </r>
    <r>
      <rPr>
        <b/>
        <sz val="12"/>
        <rFont val="Times New Roman"/>
        <charset val="134"/>
      </rPr>
      <t xml:space="preserve"> </t>
    </r>
    <r>
      <rPr>
        <b/>
        <sz val="12"/>
        <rFont val="宋体"/>
        <charset val="134"/>
      </rPr>
      <t>工程</t>
    </r>
  </si>
  <si>
    <r>
      <rPr>
        <b/>
        <sz val="12"/>
        <rFont val="Times New Roman"/>
        <charset val="134"/>
      </rPr>
      <t xml:space="preserve">                                                        C25</t>
    </r>
    <r>
      <rPr>
        <b/>
        <sz val="12"/>
        <rFont val="宋体"/>
        <charset val="134"/>
      </rPr>
      <t>混凝土封闭圈</t>
    </r>
    <r>
      <rPr>
        <b/>
        <sz val="12"/>
        <rFont val="Times New Roman"/>
        <charset val="134"/>
      </rPr>
      <t xml:space="preserve"> </t>
    </r>
    <r>
      <rPr>
        <b/>
        <sz val="12"/>
        <rFont val="宋体"/>
        <charset val="134"/>
      </rPr>
      <t>（下部）抗硫</t>
    </r>
    <r>
      <rPr>
        <b/>
        <sz val="12"/>
        <rFont val="Times New Roman"/>
        <charset val="134"/>
      </rPr>
      <t xml:space="preserve"> </t>
    </r>
    <r>
      <rPr>
        <b/>
        <sz val="12"/>
        <rFont val="宋体"/>
        <charset val="134"/>
      </rPr>
      <t>工程</t>
    </r>
  </si>
  <si>
    <r>
      <rPr>
        <sz val="10"/>
        <rFont val="宋体"/>
        <charset val="134"/>
      </rPr>
      <t>混凝土</t>
    </r>
    <r>
      <rPr>
        <sz val="10"/>
        <rFont val="Times New Roman"/>
        <charset val="134"/>
      </rPr>
      <t>C3025</t>
    </r>
  </si>
  <si>
    <r>
      <rPr>
        <b/>
        <sz val="12"/>
        <rFont val="宋体"/>
        <charset val="134"/>
      </rPr>
      <t>胶轮车运混凝土</t>
    </r>
    <r>
      <rPr>
        <b/>
        <sz val="10"/>
        <rFont val="宋体"/>
        <charset val="134"/>
      </rPr>
      <t>(50m)</t>
    </r>
  </si>
  <si>
    <t>定额编号:4228</t>
  </si>
  <si>
    <t>一.</t>
  </si>
  <si>
    <t>二.</t>
  </si>
  <si>
    <t>三.</t>
  </si>
  <si>
    <r>
      <rPr>
        <b/>
        <sz val="12"/>
        <rFont val="宋体"/>
        <charset val="134"/>
      </rPr>
      <t>塔式起重机吊运混凝土(</t>
    </r>
    <r>
      <rPr>
        <b/>
        <sz val="10"/>
        <rFont val="宋体"/>
        <charset val="134"/>
      </rPr>
      <t>吊高≤10m</t>
    </r>
    <r>
      <rPr>
        <b/>
        <sz val="12"/>
        <rFont val="宋体"/>
        <charset val="134"/>
      </rPr>
      <t>)</t>
    </r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</si>
  <si>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:4258</t>
    </r>
  </si>
  <si>
    <r>
      <rPr>
        <sz val="10"/>
        <rFont val="宋体"/>
        <charset val="134"/>
      </rPr>
      <t>二</t>
    </r>
    <r>
      <rPr>
        <sz val="10"/>
        <rFont val="Times New Roman"/>
        <charset val="134"/>
      </rPr>
      <t>.</t>
    </r>
  </si>
  <si>
    <r>
      <rPr>
        <sz val="10"/>
        <rFont val="宋体"/>
        <charset val="134"/>
      </rPr>
      <t>三</t>
    </r>
    <r>
      <rPr>
        <sz val="10"/>
        <rFont val="Times New Roman"/>
        <charset val="134"/>
      </rPr>
      <t>.</t>
    </r>
  </si>
  <si>
    <t>塔式起重机  6t</t>
  </si>
  <si>
    <r>
      <rPr>
        <sz val="10"/>
        <rFont val="宋体"/>
        <charset val="134"/>
      </rPr>
      <t>混凝土吊罐  0.65m</t>
    </r>
    <r>
      <rPr>
        <vertAlign val="superscript"/>
        <sz val="10"/>
        <rFont val="宋体"/>
        <charset val="134"/>
      </rPr>
      <t>3</t>
    </r>
  </si>
  <si>
    <r>
      <rPr>
        <b/>
        <sz val="12"/>
        <rFont val="宋体"/>
        <charset val="134"/>
      </rPr>
      <t>预制混凝土板</t>
    </r>
    <r>
      <rPr>
        <b/>
        <sz val="12"/>
        <rFont val="Times New Roman"/>
        <charset val="134"/>
      </rPr>
      <t xml:space="preserve"> C35 </t>
    </r>
    <r>
      <rPr>
        <b/>
        <sz val="12"/>
        <rFont val="宋体"/>
        <charset val="134"/>
      </rPr>
      <t>工程</t>
    </r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</si>
  <si>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:4163</t>
    </r>
  </si>
  <si>
    <t>铁钉</t>
  </si>
  <si>
    <r>
      <rPr>
        <sz val="10"/>
        <rFont val="宋体"/>
        <charset val="134"/>
      </rPr>
      <t>混凝土</t>
    </r>
    <r>
      <rPr>
        <sz val="10"/>
        <rFont val="Times New Roman"/>
        <charset val="134"/>
      </rPr>
      <t>C35</t>
    </r>
  </si>
  <si>
    <r>
      <rPr>
        <sz val="10"/>
        <rFont val="宋体"/>
        <charset val="134"/>
      </rPr>
      <t>搅拌机   0.4m</t>
    </r>
    <r>
      <rPr>
        <vertAlign val="superscript"/>
        <sz val="10"/>
        <rFont val="宋体"/>
        <charset val="134"/>
      </rPr>
      <t>3</t>
    </r>
  </si>
  <si>
    <t xml:space="preserve">塔式起重机  10t  </t>
  </si>
  <si>
    <t>小计</t>
  </si>
  <si>
    <r>
      <rPr>
        <b/>
        <sz val="12"/>
        <rFont val="宋体"/>
        <charset val="134"/>
      </rPr>
      <t>安装混凝土板</t>
    </r>
    <r>
      <rPr>
        <b/>
        <sz val="12"/>
        <rFont val="Times New Roman"/>
        <charset val="134"/>
      </rPr>
      <t xml:space="preserve"> C35</t>
    </r>
    <r>
      <rPr>
        <b/>
        <sz val="12"/>
        <rFont val="宋体"/>
        <charset val="134"/>
      </rPr>
      <t>工程</t>
    </r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</si>
  <si>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:4190</t>
    </r>
  </si>
  <si>
    <t>原木</t>
  </si>
  <si>
    <t>预制混凝土构件</t>
  </si>
  <si>
    <t xml:space="preserve">汽车起重机   5t  </t>
  </si>
  <si>
    <r>
      <rPr>
        <b/>
        <sz val="12"/>
        <rFont val="宋体"/>
        <charset val="134"/>
      </rPr>
      <t>预制混凝土平板</t>
    </r>
    <r>
      <rPr>
        <b/>
        <sz val="12"/>
        <rFont val="Times New Roman"/>
        <charset val="134"/>
      </rPr>
      <t xml:space="preserve"> C20 </t>
    </r>
    <r>
      <rPr>
        <b/>
        <sz val="12"/>
        <rFont val="宋体"/>
        <charset val="134"/>
      </rPr>
      <t>工程</t>
    </r>
  </si>
  <si>
    <r>
      <rPr>
        <b/>
        <sz val="12"/>
        <rFont val="宋体"/>
        <charset val="134"/>
      </rPr>
      <t>安装混凝土板</t>
    </r>
    <r>
      <rPr>
        <b/>
        <sz val="12"/>
        <rFont val="Times New Roman"/>
        <charset val="134"/>
      </rPr>
      <t xml:space="preserve"> C20 </t>
    </r>
    <r>
      <rPr>
        <b/>
        <sz val="12"/>
        <rFont val="宋体"/>
        <charset val="134"/>
      </rPr>
      <t>工程</t>
    </r>
  </si>
  <si>
    <r>
      <rPr>
        <b/>
        <sz val="12"/>
        <rFont val="Times New Roman"/>
        <charset val="134"/>
      </rPr>
      <t>V</t>
    </r>
    <r>
      <rPr>
        <b/>
        <sz val="12"/>
        <rFont val="宋体"/>
        <charset val="134"/>
      </rPr>
      <t>型</t>
    </r>
    <r>
      <rPr>
        <b/>
        <sz val="12"/>
        <rFont val="Times New Roman"/>
        <charset val="134"/>
      </rPr>
      <t xml:space="preserve">       </t>
    </r>
    <r>
      <rPr>
        <b/>
        <sz val="12"/>
        <rFont val="宋体"/>
        <charset val="134"/>
      </rPr>
      <t>塑料带止水</t>
    </r>
    <r>
      <rPr>
        <b/>
        <sz val="12"/>
        <rFont val="Times New Roman"/>
        <charset val="134"/>
      </rPr>
      <t xml:space="preserve">   </t>
    </r>
    <r>
      <rPr>
        <b/>
        <sz val="12"/>
        <rFont val="宋体"/>
        <charset val="134"/>
      </rPr>
      <t>工程</t>
    </r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</si>
  <si>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:4272</t>
    </r>
  </si>
  <si>
    <r>
      <rPr>
        <sz val="10"/>
        <rFont val="宋体"/>
        <charset val="134"/>
      </rPr>
      <t>定额单位</t>
    </r>
    <r>
      <rPr>
        <sz val="10"/>
        <rFont val="Times New Roman"/>
        <charset val="134"/>
      </rPr>
      <t>: 100</t>
    </r>
    <r>
      <rPr>
        <sz val="10"/>
        <rFont val="宋体"/>
        <charset val="134"/>
      </rPr>
      <t>延长米</t>
    </r>
  </si>
  <si>
    <r>
      <rPr>
        <sz val="10"/>
        <rFont val="Times New Roman"/>
        <charset val="134"/>
      </rPr>
      <t>V</t>
    </r>
    <r>
      <rPr>
        <sz val="10"/>
        <rFont val="宋体"/>
        <charset val="134"/>
      </rPr>
      <t>型塑料带止水</t>
    </r>
  </si>
  <si>
    <r>
      <rPr>
        <b/>
        <sz val="12"/>
        <rFont val="Times New Roman"/>
        <charset val="134"/>
      </rPr>
      <t xml:space="preserve">   651</t>
    </r>
    <r>
      <rPr>
        <b/>
        <sz val="12"/>
        <rFont val="宋体"/>
        <charset val="134"/>
      </rPr>
      <t>型</t>
    </r>
    <r>
      <rPr>
        <b/>
        <sz val="12"/>
        <rFont val="Times New Roman"/>
        <charset val="134"/>
      </rPr>
      <t xml:space="preserve">    </t>
    </r>
    <r>
      <rPr>
        <b/>
        <sz val="12"/>
        <rFont val="宋体"/>
        <charset val="134"/>
      </rPr>
      <t>塑料带止水</t>
    </r>
    <r>
      <rPr>
        <b/>
        <sz val="12"/>
        <rFont val="Times New Roman"/>
        <charset val="134"/>
      </rPr>
      <t xml:space="preserve">   </t>
    </r>
    <r>
      <rPr>
        <b/>
        <sz val="12"/>
        <rFont val="宋体"/>
        <charset val="134"/>
      </rPr>
      <t>工程</t>
    </r>
  </si>
  <si>
    <r>
      <rPr>
        <sz val="10"/>
        <rFont val="宋体"/>
        <charset val="134"/>
      </rPr>
      <t>塑料带止水</t>
    </r>
    <r>
      <rPr>
        <sz val="10"/>
        <rFont val="Times New Roman"/>
        <charset val="134"/>
      </rPr>
      <t>"651"</t>
    </r>
  </si>
  <si>
    <r>
      <rPr>
        <b/>
        <sz val="10"/>
        <rFont val="Times New Roman"/>
        <charset val="134"/>
      </rPr>
      <t xml:space="preserve">                                                                         </t>
    </r>
    <r>
      <rPr>
        <b/>
        <sz val="10"/>
        <rFont val="宋体"/>
        <charset val="134"/>
      </rPr>
      <t>水泥砂浆抹面</t>
    </r>
    <r>
      <rPr>
        <b/>
        <sz val="10"/>
        <rFont val="Times New Roman"/>
        <charset val="134"/>
      </rPr>
      <t xml:space="preserve">M10 </t>
    </r>
    <r>
      <rPr>
        <b/>
        <sz val="10"/>
        <rFont val="宋体"/>
        <charset val="134"/>
      </rPr>
      <t>工程</t>
    </r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</si>
  <si>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:4286</t>
    </r>
  </si>
  <si>
    <r>
      <rPr>
        <sz val="10"/>
        <rFont val="宋体"/>
        <charset val="134"/>
      </rPr>
      <t>定额单位</t>
    </r>
    <r>
      <rPr>
        <sz val="10"/>
        <rFont val="Times New Roman"/>
        <charset val="134"/>
      </rPr>
      <t>:100m2</t>
    </r>
  </si>
  <si>
    <t>工作内容：立面</t>
  </si>
  <si>
    <r>
      <rPr>
        <b/>
        <sz val="12"/>
        <rFont val="Times New Roman"/>
        <charset val="134"/>
      </rPr>
      <t xml:space="preserve">                                          </t>
    </r>
    <r>
      <rPr>
        <b/>
        <sz val="12"/>
        <rFont val="宋体"/>
        <charset val="134"/>
      </rPr>
      <t>沥青水泥砂浆</t>
    </r>
    <r>
      <rPr>
        <b/>
        <sz val="12"/>
        <rFont val="Times New Roman"/>
        <charset val="134"/>
      </rPr>
      <t xml:space="preserve">(1:1:4)               </t>
    </r>
    <r>
      <rPr>
        <b/>
        <sz val="12"/>
        <rFont val="宋体"/>
        <charset val="134"/>
      </rPr>
      <t>工程</t>
    </r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</si>
  <si>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:4296</t>
    </r>
  </si>
  <si>
    <r>
      <rPr>
        <sz val="10"/>
        <rFont val="宋体"/>
        <charset val="134"/>
      </rPr>
      <t>定额单位</t>
    </r>
    <r>
      <rPr>
        <sz val="10"/>
        <rFont val="Times New Roman"/>
        <charset val="134"/>
      </rPr>
      <t>: 100m</t>
    </r>
    <r>
      <rPr>
        <vertAlign val="superscript"/>
        <sz val="10"/>
        <rFont val="Times New Roman"/>
        <charset val="134"/>
      </rPr>
      <t>2</t>
    </r>
  </si>
  <si>
    <t>沥青</t>
  </si>
  <si>
    <t>砂</t>
  </si>
  <si>
    <t>木柴</t>
  </si>
  <si>
    <r>
      <rPr>
        <b/>
        <sz val="10"/>
        <rFont val="Times New Roman"/>
        <charset val="134"/>
      </rPr>
      <t xml:space="preserve">                                                                         </t>
    </r>
    <r>
      <rPr>
        <b/>
        <sz val="10"/>
        <rFont val="宋体"/>
        <charset val="134"/>
      </rPr>
      <t>复合</t>
    </r>
    <r>
      <rPr>
        <b/>
        <sz val="10"/>
        <rFont val="Times New Roman"/>
        <charset val="134"/>
      </rPr>
      <t xml:space="preserve"> </t>
    </r>
    <r>
      <rPr>
        <b/>
        <sz val="10"/>
        <rFont val="宋体"/>
        <charset val="134"/>
      </rPr>
      <t>土工布铺设（平）工程</t>
    </r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</si>
  <si>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:10204</t>
    </r>
  </si>
  <si>
    <t>工作内容：150g-0.3mm</t>
  </si>
  <si>
    <t>复合土工布</t>
  </si>
  <si>
    <r>
      <rPr>
        <sz val="10"/>
        <rFont val="Times New Roman"/>
        <charset val="134"/>
      </rPr>
      <t>m</t>
    </r>
    <r>
      <rPr>
        <vertAlign val="superscript"/>
        <sz val="10"/>
        <rFont val="Times New Roman"/>
        <charset val="134"/>
      </rPr>
      <t>2</t>
    </r>
  </si>
  <si>
    <t>工程较</t>
  </si>
  <si>
    <r>
      <rPr>
        <b/>
        <sz val="14"/>
        <rFont val="Times New Roman"/>
        <charset val="134"/>
      </rPr>
      <t xml:space="preserve"> </t>
    </r>
    <r>
      <rPr>
        <b/>
        <sz val="14"/>
        <rFont val="宋体"/>
        <charset val="134"/>
      </rPr>
      <t>单</t>
    </r>
    <r>
      <rPr>
        <b/>
        <sz val="14"/>
        <rFont val="Times New Roman"/>
        <charset val="134"/>
      </rPr>
      <t xml:space="preserve">   </t>
    </r>
    <r>
      <rPr>
        <b/>
        <sz val="14"/>
        <rFont val="宋体"/>
        <charset val="134"/>
      </rPr>
      <t>位</t>
    </r>
    <r>
      <rPr>
        <b/>
        <sz val="14"/>
        <rFont val="Times New Roman"/>
        <charset val="134"/>
      </rPr>
      <t xml:space="preserve">   </t>
    </r>
    <r>
      <rPr>
        <b/>
        <sz val="14"/>
        <rFont val="宋体"/>
        <charset val="134"/>
      </rPr>
      <t>估</t>
    </r>
    <r>
      <rPr>
        <b/>
        <sz val="14"/>
        <rFont val="Times New Roman"/>
        <charset val="134"/>
      </rPr>
      <t xml:space="preserve">   </t>
    </r>
    <r>
      <rPr>
        <b/>
        <sz val="14"/>
        <rFont val="宋体"/>
        <charset val="134"/>
      </rPr>
      <t>价</t>
    </r>
    <r>
      <rPr>
        <b/>
        <sz val="14"/>
        <rFont val="Times New Roman"/>
        <charset val="134"/>
      </rPr>
      <t xml:space="preserve">   </t>
    </r>
    <r>
      <rPr>
        <b/>
        <sz val="14"/>
        <rFont val="宋体"/>
        <charset val="134"/>
      </rPr>
      <t>表</t>
    </r>
  </si>
  <si>
    <r>
      <rPr>
        <b/>
        <sz val="10"/>
        <rFont val="Times New Roman"/>
        <charset val="134"/>
      </rPr>
      <t xml:space="preserve">                                                                       </t>
    </r>
    <r>
      <rPr>
        <b/>
        <sz val="10"/>
        <rFont val="宋体"/>
        <charset val="134"/>
      </rPr>
      <t>土工布铺设（平）工程</t>
    </r>
  </si>
  <si>
    <t>工作内容：200g-0.5mm-200g</t>
  </si>
  <si>
    <t>200g土工布</t>
  </si>
  <si>
    <t>250g土工布</t>
  </si>
  <si>
    <t>土工布</t>
  </si>
  <si>
    <r>
      <rPr>
        <b/>
        <sz val="12"/>
        <rFont val="Times New Roman"/>
        <charset val="134"/>
      </rPr>
      <t xml:space="preserve">                                              </t>
    </r>
    <r>
      <rPr>
        <b/>
        <sz val="12"/>
        <rFont val="宋体"/>
        <charset val="134"/>
      </rPr>
      <t>混凝土管安装</t>
    </r>
    <r>
      <rPr>
        <b/>
        <sz val="12"/>
        <rFont val="Times New Roman"/>
        <charset val="134"/>
      </rPr>
      <t xml:space="preserve">0.6m   </t>
    </r>
    <r>
      <rPr>
        <b/>
        <sz val="12"/>
        <rFont val="宋体"/>
        <charset val="134"/>
      </rPr>
      <t>工程</t>
    </r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</si>
  <si>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:8060</t>
    </r>
  </si>
  <si>
    <r>
      <rPr>
        <sz val="10"/>
        <rFont val="宋体"/>
        <charset val="134"/>
      </rPr>
      <t>定额单位</t>
    </r>
    <r>
      <rPr>
        <sz val="10"/>
        <rFont val="Times New Roman"/>
        <charset val="134"/>
      </rPr>
      <t>:100m</t>
    </r>
  </si>
  <si>
    <r>
      <rPr>
        <sz val="10"/>
        <rFont val="宋体"/>
        <charset val="134"/>
      </rPr>
      <t>钢筋混凝土管  φ=0.</t>
    </r>
    <r>
      <rPr>
        <sz val="10"/>
        <rFont val="宋体"/>
        <charset val="134"/>
      </rPr>
      <t>6</t>
    </r>
    <r>
      <rPr>
        <sz val="10"/>
        <rFont val="宋体"/>
        <charset val="134"/>
      </rPr>
      <t>m</t>
    </r>
  </si>
  <si>
    <t>ｍ</t>
  </si>
  <si>
    <t>钢筋混凝土管  φ=0.3m</t>
  </si>
  <si>
    <t>橡胶止水圈</t>
  </si>
  <si>
    <t>水泥砂浆</t>
  </si>
  <si>
    <r>
      <rPr>
        <sz val="10"/>
        <rFont val="宋体"/>
        <charset val="134"/>
      </rPr>
      <t>ｍ</t>
    </r>
    <r>
      <rPr>
        <vertAlign val="superscript"/>
        <sz val="10"/>
        <rFont val="宋体"/>
        <charset val="134"/>
      </rPr>
      <t>３</t>
    </r>
  </si>
  <si>
    <t>铁丝</t>
  </si>
  <si>
    <r>
      <rPr>
        <sz val="10"/>
        <rFont val="宋体"/>
        <charset val="134"/>
      </rPr>
      <t>卷扬机</t>
    </r>
    <r>
      <rPr>
        <sz val="10"/>
        <rFont val="Times New Roman"/>
        <charset val="134"/>
      </rPr>
      <t xml:space="preserve"> 3t</t>
    </r>
  </si>
  <si>
    <r>
      <rPr>
        <sz val="10"/>
        <rFont val="宋体"/>
        <charset val="134"/>
      </rPr>
      <t>电动葫芦</t>
    </r>
    <r>
      <rPr>
        <sz val="10"/>
        <rFont val="Times New Roman"/>
        <charset val="134"/>
      </rPr>
      <t xml:space="preserve"> 3t</t>
    </r>
  </si>
  <si>
    <t>主材</t>
  </si>
  <si>
    <r>
      <rPr>
        <b/>
        <sz val="12"/>
        <rFont val="Times New Roman"/>
        <charset val="134"/>
      </rPr>
      <t xml:space="preserve">                                             </t>
    </r>
    <r>
      <rPr>
        <b/>
        <sz val="12"/>
        <rFont val="Times New Roman"/>
        <charset val="134"/>
      </rPr>
      <t xml:space="preserve"> </t>
    </r>
    <r>
      <rPr>
        <b/>
        <sz val="12"/>
        <rFont val="宋体"/>
        <charset val="134"/>
      </rPr>
      <t>混凝土管安装</t>
    </r>
    <r>
      <rPr>
        <b/>
        <sz val="12"/>
        <rFont val="Times New Roman"/>
        <charset val="134"/>
      </rPr>
      <t xml:space="preserve">1.0m  </t>
    </r>
    <r>
      <rPr>
        <b/>
        <sz val="12"/>
        <rFont val="宋体"/>
        <charset val="134"/>
      </rPr>
      <t>工程</t>
    </r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</si>
  <si>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:8062</t>
    </r>
  </si>
  <si>
    <t>工作内容:二级排水管</t>
  </si>
  <si>
    <t>DN1000预应力钢筋制安砼管（Ⅱ级）</t>
  </si>
  <si>
    <r>
      <rPr>
        <b/>
        <sz val="12"/>
        <rFont val="Times New Roman"/>
        <charset val="134"/>
      </rPr>
      <t xml:space="preserve">                                              </t>
    </r>
    <r>
      <rPr>
        <b/>
        <sz val="12"/>
        <rFont val="宋体"/>
        <charset val="134"/>
      </rPr>
      <t>混凝土管安装</t>
    </r>
    <r>
      <rPr>
        <b/>
        <sz val="12"/>
        <rFont val="Times New Roman"/>
        <charset val="134"/>
      </rPr>
      <t xml:space="preserve">1.2m  </t>
    </r>
    <r>
      <rPr>
        <b/>
        <sz val="12"/>
        <rFont val="宋体"/>
        <charset val="134"/>
      </rPr>
      <t>工程</t>
    </r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</si>
  <si>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:8063</t>
    </r>
  </si>
  <si>
    <t>DN1200预应力钢筋制安砼管（Ⅱ级）</t>
  </si>
  <si>
    <r>
      <rPr>
        <b/>
        <sz val="12"/>
        <rFont val="Times New Roman"/>
        <charset val="134"/>
      </rPr>
      <t xml:space="preserve">                                               </t>
    </r>
    <r>
      <rPr>
        <b/>
        <sz val="12"/>
        <rFont val="宋体"/>
        <charset val="134"/>
      </rPr>
      <t>混凝土管安装</t>
    </r>
    <r>
      <rPr>
        <b/>
        <sz val="12"/>
        <rFont val="Times New Roman"/>
        <charset val="134"/>
      </rPr>
      <t xml:space="preserve">1.8m  </t>
    </r>
    <r>
      <rPr>
        <b/>
        <sz val="12"/>
        <rFont val="宋体"/>
        <charset val="134"/>
      </rPr>
      <t>工程</t>
    </r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</si>
  <si>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:8065</t>
    </r>
  </si>
  <si>
    <t>二级排水管</t>
  </si>
  <si>
    <r>
      <rPr>
        <sz val="10"/>
        <rFont val="宋体"/>
        <charset val="134"/>
      </rPr>
      <t>钢筋混凝土管  φ=1.</t>
    </r>
    <r>
      <rPr>
        <sz val="10"/>
        <rFont val="宋体"/>
        <charset val="134"/>
      </rPr>
      <t>8</t>
    </r>
    <r>
      <rPr>
        <sz val="10"/>
        <rFont val="宋体"/>
        <charset val="134"/>
      </rPr>
      <t>m</t>
    </r>
  </si>
  <si>
    <r>
      <rPr>
        <sz val="10"/>
        <rFont val="宋体"/>
        <charset val="134"/>
      </rPr>
      <t>混凝土管  φ=1.</t>
    </r>
    <r>
      <rPr>
        <sz val="10"/>
        <rFont val="宋体"/>
        <charset val="134"/>
      </rPr>
      <t>8</t>
    </r>
    <r>
      <rPr>
        <sz val="10"/>
        <rFont val="宋体"/>
        <charset val="134"/>
      </rPr>
      <t>m</t>
    </r>
  </si>
  <si>
    <r>
      <rPr>
        <b/>
        <sz val="12"/>
        <rFont val="Times New Roman"/>
        <charset val="134"/>
      </rPr>
      <t xml:space="preserve">                                               </t>
    </r>
    <r>
      <rPr>
        <b/>
        <sz val="12"/>
        <rFont val="宋体"/>
        <charset val="134"/>
      </rPr>
      <t>混凝土管安装</t>
    </r>
    <r>
      <rPr>
        <b/>
        <sz val="12"/>
        <rFont val="Times New Roman"/>
        <charset val="134"/>
      </rPr>
      <t xml:space="preserve">2.0m  </t>
    </r>
    <r>
      <rPr>
        <b/>
        <sz val="12"/>
        <rFont val="宋体"/>
        <charset val="134"/>
      </rPr>
      <t>工程</t>
    </r>
  </si>
  <si>
    <r>
      <rPr>
        <sz val="10"/>
        <rFont val="宋体"/>
        <charset val="134"/>
      </rPr>
      <t>钢筋混凝土管  φ=</t>
    </r>
    <r>
      <rPr>
        <sz val="10"/>
        <rFont val="宋体"/>
        <charset val="134"/>
      </rPr>
      <t>2.0</t>
    </r>
    <r>
      <rPr>
        <sz val="10"/>
        <rFont val="宋体"/>
        <charset val="134"/>
      </rPr>
      <t>m</t>
    </r>
  </si>
  <si>
    <r>
      <rPr>
        <sz val="10"/>
        <rFont val="宋体"/>
        <charset val="134"/>
      </rPr>
      <t>混凝土管  φ=</t>
    </r>
    <r>
      <rPr>
        <sz val="10"/>
        <rFont val="宋体"/>
        <charset val="134"/>
      </rPr>
      <t>2.0</t>
    </r>
    <r>
      <rPr>
        <sz val="10"/>
        <rFont val="宋体"/>
        <charset val="134"/>
      </rPr>
      <t>m</t>
    </r>
  </si>
  <si>
    <r>
      <rPr>
        <b/>
        <sz val="12"/>
        <rFont val="Times New Roman"/>
        <charset val="134"/>
      </rPr>
      <t xml:space="preserve">                                              PCP</t>
    </r>
    <r>
      <rPr>
        <b/>
        <sz val="12"/>
        <rFont val="宋体"/>
        <charset val="134"/>
      </rPr>
      <t>混凝土管</t>
    </r>
    <r>
      <rPr>
        <b/>
        <sz val="12"/>
        <rFont val="Times New Roman"/>
        <charset val="134"/>
      </rPr>
      <t>DN1.0m</t>
    </r>
    <r>
      <rPr>
        <b/>
        <sz val="12"/>
        <rFont val="宋体"/>
        <charset val="134"/>
      </rPr>
      <t>安装费</t>
    </r>
    <r>
      <rPr>
        <b/>
        <sz val="12"/>
        <rFont val="Times New Roman"/>
        <charset val="134"/>
      </rPr>
      <t xml:space="preserve">  </t>
    </r>
    <r>
      <rPr>
        <b/>
        <sz val="12"/>
        <rFont val="宋体"/>
        <charset val="134"/>
      </rPr>
      <t>工程</t>
    </r>
  </si>
  <si>
    <t xml:space="preserve"> 预应力混凝土管  φ=1.0m</t>
  </si>
  <si>
    <r>
      <rPr>
        <sz val="10"/>
        <rFont val="宋体"/>
        <charset val="134"/>
      </rPr>
      <t xml:space="preserve"> 预应力混凝土管  φ=1.</t>
    </r>
    <r>
      <rPr>
        <sz val="10"/>
        <rFont val="宋体"/>
        <charset val="134"/>
      </rPr>
      <t>2</t>
    </r>
    <r>
      <rPr>
        <sz val="10"/>
        <rFont val="宋体"/>
        <charset val="134"/>
      </rPr>
      <t>m</t>
    </r>
  </si>
  <si>
    <t>预应力混凝土管  φ=1.0m</t>
  </si>
  <si>
    <r>
      <rPr>
        <sz val="10"/>
        <rFont val="宋体"/>
        <charset val="134"/>
      </rPr>
      <t>预应力混凝土管  φ=1.</t>
    </r>
    <r>
      <rPr>
        <sz val="10"/>
        <rFont val="宋体"/>
        <charset val="134"/>
      </rPr>
      <t>2</t>
    </r>
    <r>
      <rPr>
        <sz val="10"/>
        <rFont val="宋体"/>
        <charset val="134"/>
      </rPr>
      <t>m</t>
    </r>
  </si>
  <si>
    <r>
      <rPr>
        <b/>
        <sz val="12"/>
        <rFont val="Times New Roman"/>
        <charset val="134"/>
      </rPr>
      <t xml:space="preserve">                                              PCP</t>
    </r>
    <r>
      <rPr>
        <b/>
        <sz val="12"/>
        <rFont val="宋体"/>
        <charset val="134"/>
      </rPr>
      <t>混凝土管安装费</t>
    </r>
    <r>
      <rPr>
        <b/>
        <sz val="12"/>
        <rFont val="Times New Roman"/>
        <charset val="134"/>
      </rPr>
      <t xml:space="preserve">0.5m  </t>
    </r>
    <r>
      <rPr>
        <b/>
        <sz val="12"/>
        <rFont val="宋体"/>
        <charset val="134"/>
      </rPr>
      <t>工程</t>
    </r>
  </si>
  <si>
    <r>
      <rPr>
        <sz val="10"/>
        <rFont val="宋体"/>
        <charset val="134"/>
      </rPr>
      <t>钢筋混凝土管  φ=0.</t>
    </r>
    <r>
      <rPr>
        <sz val="10"/>
        <rFont val="宋体"/>
        <charset val="134"/>
      </rPr>
      <t>5</t>
    </r>
    <r>
      <rPr>
        <sz val="10"/>
        <rFont val="宋体"/>
        <charset val="134"/>
      </rPr>
      <t>m</t>
    </r>
  </si>
  <si>
    <r>
      <rPr>
        <b/>
        <sz val="12"/>
        <rFont val="Times New Roman"/>
        <charset val="134"/>
      </rPr>
      <t xml:space="preserve">                                              PCP</t>
    </r>
    <r>
      <rPr>
        <b/>
        <sz val="12"/>
        <rFont val="宋体"/>
        <charset val="134"/>
      </rPr>
      <t>混凝土管安装费</t>
    </r>
    <r>
      <rPr>
        <b/>
        <sz val="12"/>
        <rFont val="Times New Roman"/>
        <charset val="134"/>
      </rPr>
      <t xml:space="preserve">0.6m  </t>
    </r>
    <r>
      <rPr>
        <b/>
        <sz val="12"/>
        <rFont val="宋体"/>
        <charset val="134"/>
      </rPr>
      <t>工程</t>
    </r>
  </si>
  <si>
    <r>
      <rPr>
        <b/>
        <sz val="12"/>
        <rFont val="Times New Roman"/>
        <charset val="134"/>
      </rPr>
      <t xml:space="preserve">                                              PCP</t>
    </r>
    <r>
      <rPr>
        <b/>
        <sz val="12"/>
        <rFont val="宋体"/>
        <charset val="134"/>
      </rPr>
      <t>混凝土管安装费</t>
    </r>
    <r>
      <rPr>
        <b/>
        <sz val="12"/>
        <rFont val="Times New Roman"/>
        <charset val="134"/>
      </rPr>
      <t xml:space="preserve">0.8m  </t>
    </r>
    <r>
      <rPr>
        <b/>
        <sz val="12"/>
        <rFont val="宋体"/>
        <charset val="134"/>
      </rPr>
      <t>工程</t>
    </r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</si>
  <si>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:8061</t>
    </r>
  </si>
  <si>
    <t>钢筋混凝土管  φ=0.8m</t>
  </si>
  <si>
    <r>
      <rPr>
        <b/>
        <sz val="12"/>
        <rFont val="Times New Roman"/>
        <charset val="134"/>
      </rPr>
      <t xml:space="preserve">                                                </t>
    </r>
    <r>
      <rPr>
        <b/>
        <sz val="12"/>
        <rFont val="宋体"/>
        <charset val="134"/>
      </rPr>
      <t>铸铁管安装费</t>
    </r>
    <r>
      <rPr>
        <b/>
        <sz val="12"/>
        <rFont val="Times New Roman"/>
        <charset val="134"/>
      </rPr>
      <t xml:space="preserve">  </t>
    </r>
    <r>
      <rPr>
        <b/>
        <sz val="12"/>
        <rFont val="宋体"/>
        <charset val="134"/>
      </rPr>
      <t>工程</t>
    </r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</si>
  <si>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:8021</t>
    </r>
  </si>
  <si>
    <r>
      <rPr>
        <sz val="10"/>
        <rFont val="宋体"/>
        <charset val="134"/>
      </rPr>
      <t>定额单位</t>
    </r>
    <r>
      <rPr>
        <sz val="10"/>
        <rFont val="Times New Roman"/>
        <charset val="134"/>
      </rPr>
      <t>:10m</t>
    </r>
  </si>
  <si>
    <t>DN500</t>
  </si>
  <si>
    <t>铸铁管  φ=0.5m</t>
  </si>
  <si>
    <t>青铅</t>
  </si>
  <si>
    <t>油麻</t>
  </si>
  <si>
    <t>焦炭</t>
  </si>
  <si>
    <t>履带起重机15t</t>
  </si>
  <si>
    <t xml:space="preserve">立式钻床 </t>
  </si>
  <si>
    <t>拖拉机 55lkw</t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</si>
  <si>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:8022</t>
    </r>
    <r>
      <rPr>
        <sz val="10"/>
        <rFont val="宋体"/>
        <charset val="134"/>
      </rPr>
      <t>调</t>
    </r>
  </si>
  <si>
    <r>
      <rPr>
        <sz val="10"/>
        <rFont val="宋体"/>
        <charset val="134"/>
      </rPr>
      <t>DN</t>
    </r>
    <r>
      <rPr>
        <sz val="10"/>
        <rFont val="宋体"/>
        <charset val="134"/>
      </rPr>
      <t>8</t>
    </r>
    <r>
      <rPr>
        <sz val="10"/>
        <rFont val="宋体"/>
        <charset val="134"/>
      </rPr>
      <t>00</t>
    </r>
  </si>
  <si>
    <t>铸铁管  φ=0.8m</t>
  </si>
  <si>
    <t>扩大13.3%</t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</si>
  <si>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:8023</t>
    </r>
    <r>
      <rPr>
        <sz val="10"/>
        <rFont val="宋体"/>
        <charset val="134"/>
      </rPr>
      <t>调</t>
    </r>
  </si>
  <si>
    <r>
      <rPr>
        <sz val="10"/>
        <rFont val="宋体"/>
        <charset val="134"/>
      </rPr>
      <t>DN</t>
    </r>
    <r>
      <rPr>
        <sz val="10"/>
        <rFont val="宋体"/>
        <charset val="134"/>
      </rPr>
      <t>10</t>
    </r>
    <r>
      <rPr>
        <sz val="10"/>
        <rFont val="宋体"/>
        <charset val="134"/>
      </rPr>
      <t>00</t>
    </r>
  </si>
  <si>
    <r>
      <rPr>
        <sz val="10"/>
        <rFont val="宋体"/>
        <charset val="134"/>
      </rPr>
      <t>铸铁管  φ=</t>
    </r>
    <r>
      <rPr>
        <sz val="10"/>
        <rFont val="宋体"/>
        <charset val="134"/>
      </rPr>
      <t>1.0</t>
    </r>
    <r>
      <rPr>
        <sz val="10"/>
        <rFont val="宋体"/>
        <charset val="134"/>
      </rPr>
      <t>m</t>
    </r>
  </si>
  <si>
    <r>
      <rPr>
        <sz val="10"/>
        <rFont val="宋体"/>
        <charset val="134"/>
      </rPr>
      <t>载重汽车1</t>
    </r>
    <r>
      <rPr>
        <sz val="10"/>
        <rFont val="宋体"/>
        <charset val="134"/>
      </rPr>
      <t>0</t>
    </r>
    <r>
      <rPr>
        <sz val="10"/>
        <rFont val="宋体"/>
        <charset val="134"/>
      </rPr>
      <t>t</t>
    </r>
  </si>
  <si>
    <r>
      <rPr>
        <b/>
        <sz val="12"/>
        <rFont val="Times New Roman"/>
        <charset val="134"/>
      </rPr>
      <t xml:space="preserve">                                                  </t>
    </r>
    <r>
      <rPr>
        <b/>
        <sz val="12"/>
        <rFont val="宋体"/>
        <charset val="134"/>
      </rPr>
      <t>桥面铺装层混凝土</t>
    </r>
    <r>
      <rPr>
        <b/>
        <sz val="12"/>
        <rFont val="Times New Roman"/>
        <charset val="134"/>
      </rPr>
      <t>C25</t>
    </r>
    <r>
      <rPr>
        <b/>
        <sz val="12"/>
        <rFont val="宋体"/>
        <charset val="134"/>
      </rPr>
      <t>工程</t>
    </r>
  </si>
  <si>
    <t xml:space="preserve">                                                  桥面铺装层混凝土C20工程</t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</si>
  <si>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:10019</t>
    </r>
    <r>
      <rPr>
        <sz val="10"/>
        <rFont val="宋体"/>
        <charset val="134"/>
      </rPr>
      <t>调</t>
    </r>
  </si>
  <si>
    <r>
      <rPr>
        <sz val="10"/>
        <rFont val="宋体"/>
        <charset val="134"/>
      </rPr>
      <t>定额单位</t>
    </r>
    <r>
      <rPr>
        <sz val="10"/>
        <rFont val="Times New Roman"/>
        <charset val="134"/>
      </rPr>
      <t>:1000m</t>
    </r>
    <r>
      <rPr>
        <vertAlign val="superscript"/>
        <sz val="10"/>
        <rFont val="Times New Roman"/>
        <charset val="134"/>
      </rPr>
      <t>2</t>
    </r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</si>
  <si>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:10020</t>
    </r>
  </si>
  <si>
    <r>
      <rPr>
        <sz val="10"/>
        <rFont val="宋体"/>
        <charset val="134"/>
      </rPr>
      <t>工作内容：δ18</t>
    </r>
    <r>
      <rPr>
        <sz val="10"/>
        <rFont val="Times New Roman"/>
        <charset val="134"/>
      </rPr>
      <t>cm</t>
    </r>
  </si>
  <si>
    <r>
      <rPr>
        <sz val="10"/>
        <rFont val="宋体"/>
        <charset val="134"/>
      </rPr>
      <t>工作内容：δ18</t>
    </r>
    <r>
      <rPr>
        <sz val="10"/>
        <rFont val="Times New Roman"/>
        <charset val="134"/>
      </rPr>
      <t>m</t>
    </r>
  </si>
  <si>
    <t>石屑</t>
  </si>
  <si>
    <t>矿粉</t>
  </si>
  <si>
    <t>混凝土搅拌机0.4m3</t>
  </si>
  <si>
    <t>内燃压路机</t>
  </si>
  <si>
    <r>
      <rPr>
        <b/>
        <sz val="12"/>
        <rFont val="Times New Roman"/>
        <charset val="134"/>
      </rPr>
      <t xml:space="preserve"> </t>
    </r>
    <r>
      <rPr>
        <b/>
        <sz val="12"/>
        <rFont val="宋体"/>
        <charset val="134"/>
      </rPr>
      <t>建筑物细部结构</t>
    </r>
    <r>
      <rPr>
        <b/>
        <sz val="12"/>
        <rFont val="Times New Roman"/>
        <charset val="134"/>
      </rPr>
      <t xml:space="preserve">  </t>
    </r>
    <r>
      <rPr>
        <b/>
        <sz val="12"/>
        <rFont val="宋体"/>
        <charset val="134"/>
      </rPr>
      <t>工程</t>
    </r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</si>
  <si>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</t>
    </r>
  </si>
  <si>
    <r>
      <rPr>
        <sz val="10"/>
        <rFont val="宋体"/>
        <charset val="134"/>
      </rPr>
      <t>定额单位</t>
    </r>
    <r>
      <rPr>
        <sz val="10"/>
        <rFont val="Times New Roman"/>
        <charset val="134"/>
      </rPr>
      <t>:m</t>
    </r>
    <r>
      <rPr>
        <vertAlign val="superscript"/>
        <sz val="10"/>
        <rFont val="Times New Roman"/>
        <charset val="134"/>
      </rPr>
      <t>3</t>
    </r>
  </si>
  <si>
    <r>
      <rPr>
        <b/>
        <sz val="12"/>
        <rFont val="宋体"/>
        <charset val="134"/>
      </rPr>
      <t>渠道细部结构</t>
    </r>
    <r>
      <rPr>
        <b/>
        <sz val="12"/>
        <rFont val="Times New Roman"/>
        <charset val="134"/>
      </rPr>
      <t xml:space="preserve">  </t>
    </r>
    <r>
      <rPr>
        <b/>
        <sz val="12"/>
        <rFont val="宋体"/>
        <charset val="134"/>
      </rPr>
      <t>工程</t>
    </r>
  </si>
  <si>
    <r>
      <rPr>
        <b/>
        <sz val="12"/>
        <rFont val="宋体"/>
        <charset val="134"/>
      </rPr>
      <t>泵站细部结构</t>
    </r>
    <r>
      <rPr>
        <b/>
        <sz val="12"/>
        <rFont val="Times New Roman"/>
        <charset val="134"/>
      </rPr>
      <t xml:space="preserve">  </t>
    </r>
    <r>
      <rPr>
        <b/>
        <sz val="12"/>
        <rFont val="宋体"/>
        <charset val="134"/>
      </rPr>
      <t>工程</t>
    </r>
  </si>
  <si>
    <t xml:space="preserve">                                            箱涵混凝土C25          工程</t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</si>
  <si>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:4081</t>
    </r>
  </si>
  <si>
    <t>履带起重机  10t</t>
  </si>
  <si>
    <t>电焊机    直流16-30KVA</t>
  </si>
  <si>
    <t>碎石</t>
  </si>
  <si>
    <t>混凝土拆除（机械）工程</t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</si>
  <si>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:10181</t>
    </r>
  </si>
  <si>
    <t>挖掘机1.0m3</t>
  </si>
  <si>
    <t>材差 柴油</t>
  </si>
  <si>
    <r>
      <rPr>
        <b/>
        <sz val="12"/>
        <rFont val="Times New Roman"/>
        <charset val="134"/>
      </rPr>
      <t xml:space="preserve">                                              </t>
    </r>
    <r>
      <rPr>
        <b/>
        <sz val="12"/>
        <rFont val="宋体"/>
        <charset val="134"/>
      </rPr>
      <t>渠道预制板</t>
    </r>
    <r>
      <rPr>
        <b/>
        <sz val="12"/>
        <rFont val="Times New Roman"/>
        <charset val="134"/>
      </rPr>
      <t xml:space="preserve">4-8cm C20 </t>
    </r>
    <r>
      <rPr>
        <b/>
        <sz val="12"/>
        <rFont val="宋体"/>
        <charset val="134"/>
      </rPr>
      <t>工程</t>
    </r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</si>
  <si>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:4138</t>
    </r>
  </si>
  <si>
    <t>振捣器  插入式2.2KW</t>
  </si>
  <si>
    <t>面积</t>
  </si>
  <si>
    <t>砼板量</t>
  </si>
  <si>
    <t>补偿费</t>
  </si>
  <si>
    <t>复垦费</t>
  </si>
  <si>
    <t>砼垫层</t>
  </si>
  <si>
    <t>推平</t>
  </si>
  <si>
    <r>
      <rPr>
        <b/>
        <sz val="12"/>
        <rFont val="Times New Roman"/>
        <charset val="134"/>
      </rPr>
      <t xml:space="preserve">                                         </t>
    </r>
    <r>
      <rPr>
        <b/>
        <sz val="12"/>
        <rFont val="宋体"/>
        <charset val="134"/>
      </rPr>
      <t>渠道预制板砌筑</t>
    </r>
    <r>
      <rPr>
        <b/>
        <sz val="12"/>
        <rFont val="Times New Roman"/>
        <charset val="134"/>
      </rPr>
      <t xml:space="preserve">4-8cm C20 </t>
    </r>
    <r>
      <rPr>
        <b/>
        <sz val="12"/>
        <rFont val="宋体"/>
        <charset val="134"/>
      </rPr>
      <t>工程</t>
    </r>
  </si>
  <si>
    <t>定额编号:3054调整</t>
  </si>
  <si>
    <t>工作内容： 缝板比0.28</t>
  </si>
  <si>
    <t>内插</t>
  </si>
  <si>
    <t>混凝土预制构件</t>
  </si>
  <si>
    <t>砂浆或细粒混凝土</t>
  </si>
  <si>
    <t>预制板运输</t>
  </si>
  <si>
    <r>
      <rPr>
        <b/>
        <sz val="12"/>
        <rFont val="Times New Roman"/>
        <charset val="134"/>
      </rPr>
      <t xml:space="preserve">                                              </t>
    </r>
    <r>
      <rPr>
        <b/>
        <sz val="12"/>
        <rFont val="宋体"/>
        <charset val="134"/>
      </rPr>
      <t>渠道预制板</t>
    </r>
    <r>
      <rPr>
        <b/>
        <sz val="12"/>
        <rFont val="Times New Roman"/>
        <charset val="134"/>
      </rPr>
      <t>4-8cm C20</t>
    </r>
    <r>
      <rPr>
        <b/>
        <sz val="12"/>
        <rFont val="宋体"/>
        <charset val="134"/>
      </rPr>
      <t>工程</t>
    </r>
  </si>
  <si>
    <t>专用钢模板</t>
  </si>
  <si>
    <r>
      <rPr>
        <b/>
        <sz val="12"/>
        <rFont val="Times New Roman"/>
        <charset val="134"/>
      </rPr>
      <t xml:space="preserve">                                          </t>
    </r>
    <r>
      <rPr>
        <b/>
        <sz val="12"/>
        <rFont val="宋体"/>
        <charset val="134"/>
      </rPr>
      <t>预制板运输</t>
    </r>
    <r>
      <rPr>
        <b/>
        <sz val="12"/>
        <rFont val="Times New Roman"/>
        <charset val="134"/>
      </rPr>
      <t>1.0km</t>
    </r>
    <r>
      <rPr>
        <b/>
        <sz val="12"/>
        <rFont val="宋体"/>
        <charset val="134"/>
      </rPr>
      <t>（手扶）</t>
    </r>
    <r>
      <rPr>
        <b/>
        <sz val="12"/>
        <rFont val="Times New Roman"/>
        <charset val="134"/>
      </rPr>
      <t xml:space="preserve"> </t>
    </r>
    <r>
      <rPr>
        <b/>
        <sz val="12"/>
        <rFont val="宋体"/>
        <charset val="134"/>
      </rPr>
      <t>工程</t>
    </r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</si>
  <si>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:4217</t>
    </r>
  </si>
  <si>
    <t>拖拉机   11KW</t>
  </si>
  <si>
    <t>定额编号:3054</t>
  </si>
  <si>
    <r>
      <rPr>
        <b/>
        <sz val="12"/>
        <rFont val="Times New Roman"/>
        <charset val="134"/>
      </rPr>
      <t xml:space="preserve">                                              </t>
    </r>
    <r>
      <rPr>
        <b/>
        <sz val="12"/>
        <rFont val="宋体"/>
        <charset val="134"/>
      </rPr>
      <t>预制</t>
    </r>
    <r>
      <rPr>
        <b/>
        <sz val="12"/>
        <rFont val="Times New Roman"/>
        <charset val="134"/>
      </rPr>
      <t xml:space="preserve"> C25</t>
    </r>
    <r>
      <rPr>
        <b/>
        <sz val="12"/>
        <rFont val="宋体"/>
        <charset val="134"/>
      </rPr>
      <t>混凝土道牙工程</t>
    </r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</si>
  <si>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:4143</t>
    </r>
  </si>
  <si>
    <r>
      <rPr>
        <b/>
        <sz val="12"/>
        <rFont val="Times New Roman"/>
        <charset val="134"/>
      </rPr>
      <t xml:space="preserve">                                        </t>
    </r>
    <r>
      <rPr>
        <b/>
        <sz val="12"/>
        <rFont val="宋体"/>
        <charset val="134"/>
      </rPr>
      <t>安装混凝土道牙</t>
    </r>
    <r>
      <rPr>
        <b/>
        <sz val="12"/>
        <rFont val="Times New Roman"/>
        <charset val="134"/>
      </rPr>
      <t>C25</t>
    </r>
    <r>
      <rPr>
        <b/>
        <sz val="12"/>
        <rFont val="宋体"/>
        <charset val="134"/>
      </rPr>
      <t>工程</t>
    </r>
  </si>
  <si>
    <t>定额编号:3051</t>
  </si>
  <si>
    <t xml:space="preserve">工作内容： </t>
  </si>
  <si>
    <t>预制构件</t>
  </si>
  <si>
    <t xml:space="preserve"> 运输远</t>
  </si>
  <si>
    <t>林草措施单价分析表</t>
  </si>
  <si>
    <t>撒播</t>
  </si>
  <si>
    <t>定额编号:部水保08056</t>
  </si>
  <si>
    <t>定额单位:hm2</t>
  </si>
  <si>
    <t>(一)</t>
  </si>
  <si>
    <t>草籽</t>
  </si>
  <si>
    <t>(二)</t>
  </si>
  <si>
    <r>
      <rPr>
        <b/>
        <sz val="10"/>
        <rFont val="Times New Roman"/>
        <charset val="134"/>
      </rPr>
      <t xml:space="preserve">                                                               </t>
    </r>
    <r>
      <rPr>
        <b/>
        <sz val="10"/>
        <rFont val="宋体"/>
        <charset val="134"/>
      </rPr>
      <t>水泥砂浆垫层</t>
    </r>
    <r>
      <rPr>
        <b/>
        <sz val="10"/>
        <rFont val="Times New Roman"/>
        <charset val="134"/>
      </rPr>
      <t>50#</t>
    </r>
    <r>
      <rPr>
        <b/>
        <sz val="10"/>
        <rFont val="宋体"/>
        <charset val="134"/>
      </rPr>
      <t>δ</t>
    </r>
    <r>
      <rPr>
        <b/>
        <sz val="10"/>
        <rFont val="Times New Roman"/>
        <charset val="134"/>
      </rPr>
      <t xml:space="preserve">3cm </t>
    </r>
    <r>
      <rPr>
        <b/>
        <sz val="10"/>
        <rFont val="宋体"/>
        <charset val="134"/>
      </rPr>
      <t>工程</t>
    </r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</si>
  <si>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:10223</t>
    </r>
  </si>
  <si>
    <t>砂浆搅拌机</t>
  </si>
  <si>
    <t>单   位   估   价   表</t>
  </si>
  <si>
    <t>3：7灰土垫层 工程</t>
  </si>
  <si>
    <t>定额编号:10227</t>
  </si>
  <si>
    <t>白灰</t>
  </si>
  <si>
    <t>土</t>
  </si>
  <si>
    <t>蛙式打夯机</t>
  </si>
  <si>
    <t>2:8水泥土垫层 工程</t>
  </si>
  <si>
    <t>定额编号:10231</t>
  </si>
  <si>
    <r>
      <rPr>
        <b/>
        <sz val="10"/>
        <rFont val="宋体"/>
        <charset val="134"/>
      </rPr>
      <t>顶管安装 DN1</t>
    </r>
    <r>
      <rPr>
        <b/>
        <sz val="10"/>
        <rFont val="宋体"/>
        <charset val="134"/>
      </rPr>
      <t>8</t>
    </r>
    <r>
      <rPr>
        <b/>
        <sz val="10"/>
        <rFont val="宋体"/>
        <charset val="134"/>
      </rPr>
      <t>00工程</t>
    </r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</si>
  <si>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</t>
    </r>
    <r>
      <rPr>
        <sz val="10"/>
        <rFont val="宋体"/>
        <charset val="134"/>
      </rPr>
      <t>水利部</t>
    </r>
    <r>
      <rPr>
        <sz val="10"/>
        <rFont val="Times New Roman"/>
        <charset val="134"/>
      </rPr>
      <t>GB9052</t>
    </r>
  </si>
  <si>
    <t>橡胶板</t>
  </si>
  <si>
    <t>膨润土</t>
  </si>
  <si>
    <t>碱粉</t>
  </si>
  <si>
    <t>外加剂</t>
  </si>
  <si>
    <r>
      <rPr>
        <sz val="10"/>
        <rFont val="宋体"/>
        <charset val="134"/>
      </rPr>
      <t>m</t>
    </r>
    <r>
      <rPr>
        <sz val="10"/>
        <rFont val="宋体"/>
        <charset val="134"/>
      </rPr>
      <t>3</t>
    </r>
  </si>
  <si>
    <r>
      <rPr>
        <sz val="10"/>
        <rFont val="宋体"/>
        <charset val="134"/>
      </rPr>
      <t>汽车起重机2</t>
    </r>
    <r>
      <rPr>
        <sz val="10"/>
        <rFont val="宋体"/>
        <charset val="134"/>
      </rPr>
      <t>5</t>
    </r>
    <r>
      <rPr>
        <sz val="10"/>
        <rFont val="宋体"/>
        <charset val="134"/>
      </rPr>
      <t>t</t>
    </r>
  </si>
  <si>
    <t>卷扬机 3t</t>
  </si>
  <si>
    <t>高压油泵 50MPa</t>
  </si>
  <si>
    <r>
      <rPr>
        <sz val="10"/>
        <rFont val="宋体"/>
        <charset val="134"/>
      </rPr>
      <t xml:space="preserve">顶管设备 </t>
    </r>
    <r>
      <rPr>
        <sz val="10"/>
        <rFont val="宋体"/>
        <charset val="134"/>
      </rPr>
      <t>2000</t>
    </r>
  </si>
  <si>
    <t>液压千斤顶 200t</t>
  </si>
  <si>
    <t xml:space="preserve">泥浆搅拌机 </t>
  </si>
  <si>
    <t>灌浆泵 中低压泥浆</t>
  </si>
  <si>
    <r>
      <rPr>
        <sz val="10"/>
        <rFont val="宋体"/>
        <charset val="134"/>
      </rPr>
      <t>顶管 DN1</t>
    </r>
    <r>
      <rPr>
        <sz val="10"/>
        <rFont val="宋体"/>
        <charset val="134"/>
      </rPr>
      <t>8</t>
    </r>
    <r>
      <rPr>
        <sz val="10"/>
        <rFont val="宋体"/>
        <charset val="134"/>
      </rPr>
      <t>00</t>
    </r>
  </si>
  <si>
    <t>坑内平台安拆 工程</t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</si>
  <si>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</t>
    </r>
    <r>
      <rPr>
        <sz val="10"/>
        <rFont val="宋体"/>
        <charset val="134"/>
      </rPr>
      <t>水利部</t>
    </r>
    <r>
      <rPr>
        <sz val="10"/>
        <rFont val="Times New Roman"/>
        <charset val="134"/>
      </rPr>
      <t>GB9046</t>
    </r>
  </si>
  <si>
    <r>
      <rPr>
        <sz val="10"/>
        <rFont val="宋体"/>
        <charset val="134"/>
      </rPr>
      <t>定额单位</t>
    </r>
    <r>
      <rPr>
        <sz val="10"/>
        <rFont val="Times New Roman"/>
        <charset val="134"/>
      </rPr>
      <t>:1</t>
    </r>
    <r>
      <rPr>
        <sz val="10"/>
        <rFont val="宋体"/>
        <charset val="134"/>
      </rPr>
      <t>次</t>
    </r>
  </si>
  <si>
    <r>
      <rPr>
        <sz val="10"/>
        <rFont val="宋体"/>
        <charset val="134"/>
      </rPr>
      <t>1</t>
    </r>
    <r>
      <rPr>
        <sz val="10"/>
        <rFont val="宋体"/>
        <charset val="134"/>
      </rPr>
      <t>400-1800</t>
    </r>
  </si>
  <si>
    <t>钢板</t>
  </si>
  <si>
    <t>枕木</t>
  </si>
  <si>
    <t>扒钉</t>
  </si>
  <si>
    <r>
      <rPr>
        <sz val="10"/>
        <rFont val="宋体"/>
        <charset val="134"/>
      </rPr>
      <t>汽车起重机8</t>
    </r>
    <r>
      <rPr>
        <sz val="10"/>
        <rFont val="宋体"/>
        <charset val="134"/>
      </rPr>
      <t>t</t>
    </r>
  </si>
  <si>
    <r>
      <rPr>
        <sz val="10"/>
        <rFont val="宋体"/>
        <charset val="134"/>
      </rPr>
      <t xml:space="preserve">载重汽车 </t>
    </r>
    <r>
      <rPr>
        <sz val="10"/>
        <rFont val="宋体"/>
        <charset val="134"/>
      </rPr>
      <t>8</t>
    </r>
    <r>
      <rPr>
        <sz val="10"/>
        <rFont val="宋体"/>
        <charset val="134"/>
      </rPr>
      <t>t</t>
    </r>
  </si>
  <si>
    <t>种植树 工程</t>
  </si>
  <si>
    <t>定额编号:水保定额08087</t>
  </si>
  <si>
    <t>定额单位:100株</t>
  </si>
  <si>
    <t>定额编号:水保定额08116</t>
  </si>
  <si>
    <t>工作内容:挖坑、栽植、浇水、覆土保墒、清理。</t>
  </si>
  <si>
    <t>树（D:3-4cm）</t>
  </si>
  <si>
    <t>定额编号:水保定额08136</t>
  </si>
  <si>
    <t>定额单位:每公顷年</t>
  </si>
  <si>
    <t>工作内容:松土、除草、培垄、定株、修枝、施肥、浇水、喷药等抚育工作。</t>
  </si>
  <si>
    <t>定额编号:水保定额08137</t>
  </si>
  <si>
    <t>项目   格槟块石基础 1000X1000x2000mm</t>
  </si>
  <si>
    <t>项目名称：格宾石笼护脚</t>
  </si>
  <si>
    <t>定额编号：9012                                           单位：100m³</t>
  </si>
  <si>
    <t>编 号</t>
  </si>
  <si>
    <t>名 称 及 规 格</t>
  </si>
  <si>
    <t>单  位</t>
  </si>
  <si>
    <t>数  量</t>
  </si>
  <si>
    <t>单  价</t>
  </si>
  <si>
    <t>合  价</t>
  </si>
  <si>
    <t>重镀高尔凡（5%铝锌合金）</t>
  </si>
  <si>
    <r>
      <rPr>
        <sz val="10"/>
        <rFont val="宋体"/>
        <charset val="134"/>
      </rPr>
      <t>m</t>
    </r>
    <r>
      <rPr>
        <vertAlign val="superscript"/>
        <sz val="10"/>
        <rFont val="宋体"/>
        <charset val="134"/>
      </rPr>
      <t>2</t>
    </r>
  </si>
  <si>
    <t>机械使用费</t>
  </si>
  <si>
    <t>砼搅拌机0.4立方米</t>
  </si>
  <si>
    <t>(三)</t>
  </si>
  <si>
    <t>税　金</t>
  </si>
  <si>
    <t>阶段系数</t>
  </si>
  <si>
    <t>格宾石笼 护坡 工程1000X500x5000mm</t>
  </si>
  <si>
    <t>定额编号:9010</t>
  </si>
  <si>
    <r>
      <rPr>
        <sz val="10.5"/>
        <rFont val="宋体"/>
        <charset val="134"/>
      </rPr>
      <t>定额单位:100m</t>
    </r>
    <r>
      <rPr>
        <vertAlign val="superscript"/>
        <sz val="10.5"/>
        <rFont val="宋体"/>
        <charset val="134"/>
      </rPr>
      <t>3</t>
    </r>
  </si>
  <si>
    <t xml:space="preserve">块石 </t>
  </si>
  <si>
    <t>格宾</t>
  </si>
  <si>
    <r>
      <rPr>
        <sz val="10.5"/>
        <rFont val="宋体"/>
        <charset val="134"/>
      </rPr>
      <t>m</t>
    </r>
    <r>
      <rPr>
        <vertAlign val="superscript"/>
        <sz val="10.5"/>
        <rFont val="宋体"/>
        <charset val="134"/>
      </rPr>
      <t>2</t>
    </r>
  </si>
  <si>
    <t xml:space="preserve"> 胶 轮 车</t>
  </si>
  <si>
    <t>块石(差)</t>
  </si>
  <si>
    <t>项目名称：格栅石笼基础</t>
  </si>
  <si>
    <t>聚丙烯双向格栅SS30</t>
  </si>
  <si>
    <t>干茬石挤密桩 工程</t>
  </si>
  <si>
    <t>定额编号:6111</t>
  </si>
  <si>
    <t>干茬石</t>
  </si>
  <si>
    <t>震动打桩机</t>
  </si>
  <si>
    <t>建筑工程单价表</t>
  </si>
  <si>
    <t>项目名称:Φ200PE管安装</t>
  </si>
  <si>
    <t>单位：10m</t>
  </si>
  <si>
    <t>塑料管 综合</t>
  </si>
  <si>
    <t>破布</t>
  </si>
  <si>
    <t>三氯乙烯</t>
  </si>
  <si>
    <t>电熔焊接机 3.5kw</t>
  </si>
  <si>
    <t>项目名称:Φ160PE管安装</t>
  </si>
  <si>
    <r>
      <rPr>
        <sz val="11"/>
        <rFont val="宋体"/>
        <charset val="134"/>
      </rPr>
      <t>定额编号：借市政定额4-</t>
    </r>
    <r>
      <rPr>
        <sz val="11"/>
        <rFont val="宋体"/>
        <charset val="134"/>
      </rPr>
      <t>1</t>
    </r>
    <r>
      <rPr>
        <sz val="11"/>
        <rFont val="宋体"/>
        <charset val="134"/>
      </rPr>
      <t>-487</t>
    </r>
  </si>
  <si>
    <t>项目名称:Φ110PE管安装</t>
  </si>
  <si>
    <r>
      <rPr>
        <sz val="11"/>
        <rFont val="宋体"/>
        <charset val="134"/>
      </rPr>
      <t>定额编号：借市政定额4-</t>
    </r>
    <r>
      <rPr>
        <sz val="11"/>
        <rFont val="宋体"/>
        <charset val="134"/>
      </rPr>
      <t>1</t>
    </r>
    <r>
      <rPr>
        <sz val="11"/>
        <rFont val="宋体"/>
        <charset val="134"/>
      </rPr>
      <t>-487(修)</t>
    </r>
  </si>
  <si>
    <t>施工机械台时计算表</t>
  </si>
  <si>
    <t>序         号</t>
  </si>
  <si>
    <t>机械名称</t>
  </si>
  <si>
    <t>挖掘机</t>
  </si>
  <si>
    <t>推土机</t>
  </si>
  <si>
    <t>拖拉机</t>
  </si>
  <si>
    <t>规          格</t>
  </si>
  <si>
    <r>
      <rPr>
        <sz val="10"/>
        <rFont val="宋体"/>
        <charset val="134"/>
      </rPr>
      <t>1m</t>
    </r>
    <r>
      <rPr>
        <vertAlign val="superscript"/>
        <sz val="10"/>
        <rFont val="宋体"/>
        <charset val="134"/>
      </rPr>
      <t>3</t>
    </r>
  </si>
  <si>
    <t>59kw</t>
  </si>
  <si>
    <t>74kw</t>
  </si>
  <si>
    <t>2.8kw</t>
  </si>
  <si>
    <t>依据定额名称</t>
  </si>
  <si>
    <t>Ⅰ类        费用</t>
  </si>
  <si>
    <t>折旧费</t>
  </si>
  <si>
    <t>修理及替换设备费</t>
  </si>
  <si>
    <t>安装拆卸费</t>
  </si>
  <si>
    <t>Ⅱ类费用</t>
  </si>
  <si>
    <t>人工:</t>
  </si>
  <si>
    <t>元/工时</t>
  </si>
  <si>
    <t>汽油:</t>
  </si>
  <si>
    <t>元/kg</t>
  </si>
  <si>
    <t>柴油:</t>
  </si>
  <si>
    <t>电：</t>
  </si>
  <si>
    <t>元/kw.h</t>
  </si>
  <si>
    <t>风：</t>
  </si>
  <si>
    <t>元/m3</t>
  </si>
  <si>
    <t>水：</t>
  </si>
  <si>
    <t>煤</t>
  </si>
  <si>
    <t>合计    元/台时</t>
  </si>
  <si>
    <t>胶轮架子车</t>
  </si>
  <si>
    <t>搅拌机</t>
  </si>
  <si>
    <t>混凝土吊罐</t>
  </si>
  <si>
    <t>振捣器</t>
  </si>
  <si>
    <t>载重汽车</t>
  </si>
  <si>
    <t>规格</t>
  </si>
  <si>
    <t>0.4m3</t>
  </si>
  <si>
    <t>1m3</t>
  </si>
  <si>
    <t>插入式1.1kw</t>
  </si>
  <si>
    <t>5t</t>
  </si>
  <si>
    <t>Ⅰ类费用</t>
  </si>
  <si>
    <t>自卸汽车</t>
  </si>
  <si>
    <t>门座式起重机</t>
  </si>
  <si>
    <t>塔式起重机</t>
  </si>
  <si>
    <t>履带式起重机</t>
  </si>
  <si>
    <t>卷扬机</t>
  </si>
  <si>
    <t>10t</t>
  </si>
  <si>
    <t>10/30t</t>
  </si>
  <si>
    <t>电焊机</t>
  </si>
  <si>
    <t>汽车起重机</t>
  </si>
  <si>
    <t>离心水泵</t>
  </si>
  <si>
    <t>羊角碾</t>
  </si>
  <si>
    <t>平板式</t>
  </si>
  <si>
    <t>直流30kw</t>
  </si>
  <si>
    <t>交流25kw</t>
  </si>
  <si>
    <t>17kw</t>
  </si>
  <si>
    <t>5~7t</t>
  </si>
  <si>
    <t>电动葫芦</t>
  </si>
  <si>
    <t>V型斗车</t>
  </si>
  <si>
    <t>轴流通风机</t>
  </si>
  <si>
    <t>11kw</t>
  </si>
  <si>
    <t>12-15t</t>
  </si>
  <si>
    <t>3t</t>
  </si>
  <si>
    <t>0.6m3</t>
  </si>
  <si>
    <t>6t</t>
  </si>
  <si>
    <t>7.5kw</t>
  </si>
  <si>
    <t>振动碾</t>
  </si>
  <si>
    <t>风钻</t>
  </si>
  <si>
    <t>灰浆搅拌机</t>
  </si>
  <si>
    <t>灌浆泵</t>
  </si>
  <si>
    <t>车床</t>
  </si>
  <si>
    <t>双面刨床</t>
  </si>
  <si>
    <t>13-14t</t>
  </si>
  <si>
    <t>手持式</t>
  </si>
  <si>
    <t>中压</t>
  </si>
  <si>
    <t>250-400</t>
  </si>
  <si>
    <t>剪板机</t>
  </si>
  <si>
    <t>型钢剪断机</t>
  </si>
  <si>
    <t>圆盘锯</t>
  </si>
  <si>
    <t>冲击钻机</t>
  </si>
  <si>
    <t>13kw</t>
  </si>
  <si>
    <t>CZ-22</t>
  </si>
  <si>
    <t>变频8.5kw</t>
  </si>
  <si>
    <t>55kw</t>
  </si>
  <si>
    <t>对焊机</t>
  </si>
  <si>
    <t>钢筋弯曲机</t>
  </si>
  <si>
    <t>钢筋切断机</t>
  </si>
  <si>
    <t>钢筋调直机</t>
  </si>
  <si>
    <t>5~10kw</t>
  </si>
  <si>
    <t>150型</t>
  </si>
  <si>
    <t>20kw</t>
  </si>
  <si>
    <t>4-14kw</t>
  </si>
  <si>
    <t>25t</t>
  </si>
  <si>
    <t>3.5t</t>
  </si>
  <si>
    <t>16t</t>
  </si>
  <si>
    <t>8t</t>
  </si>
  <si>
    <t>插入式1.5kw</t>
  </si>
  <si>
    <t>泥浆搅拌机</t>
  </si>
  <si>
    <t>泥浆泵</t>
  </si>
  <si>
    <t>小型带锯</t>
  </si>
  <si>
    <t>轮胎碾</t>
  </si>
  <si>
    <t>1t</t>
  </si>
  <si>
    <t>9-16t</t>
  </si>
  <si>
    <t>叉式起重机</t>
  </si>
  <si>
    <t>变频机组</t>
  </si>
  <si>
    <t>简易缆索起重机</t>
  </si>
  <si>
    <t>装载机</t>
  </si>
  <si>
    <t>手扶拖拉机</t>
  </si>
  <si>
    <t>1-2t</t>
  </si>
  <si>
    <t>4.5kvA</t>
  </si>
  <si>
    <t xml:space="preserve">   40t</t>
  </si>
  <si>
    <t>14kw</t>
  </si>
  <si>
    <t>机动翻斗车</t>
  </si>
  <si>
    <t>吊斗</t>
  </si>
  <si>
    <t>混凝土泵</t>
  </si>
  <si>
    <t>强制式搅拌机</t>
  </si>
  <si>
    <t>8.5kvA</t>
  </si>
  <si>
    <t>30m3/h</t>
  </si>
  <si>
    <t>0.35m3</t>
  </si>
  <si>
    <t xml:space="preserve">链式起重机  </t>
  </si>
  <si>
    <t>40t</t>
  </si>
  <si>
    <t>20t</t>
  </si>
  <si>
    <t>8~12t</t>
  </si>
  <si>
    <t>88kw</t>
  </si>
  <si>
    <t>5.0t</t>
  </si>
  <si>
    <t>潜水泵</t>
  </si>
  <si>
    <t xml:space="preserve">强夯机   </t>
  </si>
  <si>
    <t>风镐</t>
  </si>
  <si>
    <t xml:space="preserve">震动打桩机   </t>
  </si>
  <si>
    <t>7kw</t>
  </si>
  <si>
    <t>200tm</t>
  </si>
  <si>
    <t>建筑工程单价分析表</t>
  </si>
  <si>
    <t>定额编号:1033</t>
  </si>
  <si>
    <r>
      <rPr>
        <sz val="10.5"/>
        <rFont val="宋体"/>
        <charset val="134"/>
      </rPr>
      <t>定额单位</t>
    </r>
    <r>
      <rPr>
        <sz val="10.5"/>
        <rFont val="Times New Roman"/>
        <charset val="134"/>
      </rPr>
      <t>:100m</t>
    </r>
    <r>
      <rPr>
        <vertAlign val="superscript"/>
        <sz val="10.5"/>
        <rFont val="Times New Roman"/>
        <charset val="134"/>
      </rPr>
      <t>3</t>
    </r>
  </si>
  <si>
    <r>
      <rPr>
        <sz val="10.5"/>
        <rFont val="宋体"/>
        <charset val="134"/>
      </rPr>
      <t>一</t>
    </r>
    <r>
      <rPr>
        <sz val="10.5"/>
        <rFont val="Times New Roman"/>
        <charset val="134"/>
      </rPr>
      <t>.</t>
    </r>
  </si>
  <si>
    <r>
      <rPr>
        <b/>
        <sz val="10"/>
        <rFont val="Times New Roman"/>
        <charset val="134"/>
      </rPr>
      <t>1m</t>
    </r>
    <r>
      <rPr>
        <b/>
        <vertAlign val="superscript"/>
        <sz val="10"/>
        <rFont val="Times New Roman"/>
        <charset val="134"/>
      </rPr>
      <t>3</t>
    </r>
    <r>
      <rPr>
        <b/>
        <sz val="10"/>
        <rFont val="宋体"/>
        <charset val="134"/>
      </rPr>
      <t>挖掘机挖土ⅠⅡ类</t>
    </r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</si>
  <si>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:1144</t>
    </r>
  </si>
  <si>
    <r>
      <rPr>
        <b/>
        <sz val="10"/>
        <rFont val="Times New Roman"/>
        <charset val="134"/>
      </rPr>
      <t>74kw</t>
    </r>
    <r>
      <rPr>
        <b/>
        <sz val="10"/>
        <rFont val="宋体"/>
        <charset val="134"/>
      </rPr>
      <t>推土机推土（</t>
    </r>
    <r>
      <rPr>
        <b/>
        <sz val="10"/>
        <rFont val="Times New Roman"/>
        <charset val="134"/>
      </rPr>
      <t>30m</t>
    </r>
    <r>
      <rPr>
        <b/>
        <sz val="10"/>
        <rFont val="宋体"/>
        <charset val="134"/>
      </rPr>
      <t>）</t>
    </r>
    <r>
      <rPr>
        <b/>
        <sz val="10"/>
        <rFont val="Times New Roman"/>
        <charset val="134"/>
      </rPr>
      <t xml:space="preserve"> </t>
    </r>
    <r>
      <rPr>
        <b/>
        <sz val="10"/>
        <rFont val="宋体"/>
        <charset val="134"/>
      </rPr>
      <t>工程</t>
    </r>
  </si>
  <si>
    <r>
      <rPr>
        <b/>
        <sz val="10"/>
        <rFont val="Times New Roman"/>
        <charset val="134"/>
      </rPr>
      <t xml:space="preserve">                                                          1m3 </t>
    </r>
    <r>
      <rPr>
        <b/>
        <sz val="10"/>
        <rFont val="宋体"/>
        <charset val="134"/>
      </rPr>
      <t>挖掘机挖运自卸汽车运</t>
    </r>
    <r>
      <rPr>
        <b/>
        <sz val="10"/>
        <rFont val="Times New Roman"/>
        <charset val="134"/>
      </rPr>
      <t xml:space="preserve">1km  </t>
    </r>
    <r>
      <rPr>
        <b/>
        <sz val="10"/>
        <rFont val="宋体"/>
        <charset val="134"/>
      </rPr>
      <t>工程</t>
    </r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</si>
  <si>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:1159</t>
    </r>
  </si>
  <si>
    <r>
      <rPr>
        <b/>
        <sz val="10"/>
        <rFont val="Times New Roman"/>
        <charset val="134"/>
      </rPr>
      <t>1m3</t>
    </r>
    <r>
      <rPr>
        <b/>
        <sz val="10"/>
        <rFont val="宋体"/>
        <charset val="134"/>
      </rPr>
      <t>挖掘机装石渣汽车运输</t>
    </r>
    <r>
      <rPr>
        <b/>
        <sz val="10"/>
        <rFont val="Times New Roman"/>
        <charset val="134"/>
      </rPr>
      <t xml:space="preserve">1km </t>
    </r>
    <r>
      <rPr>
        <b/>
        <sz val="10"/>
        <rFont val="宋体"/>
        <charset val="134"/>
      </rPr>
      <t>工程</t>
    </r>
  </si>
  <si>
    <t>定额编号:2416</t>
  </si>
  <si>
    <r>
      <rPr>
        <sz val="10"/>
        <rFont val="宋体"/>
        <charset val="134"/>
      </rPr>
      <t>工作内容：运距1</t>
    </r>
    <r>
      <rPr>
        <sz val="10"/>
        <rFont val="Times New Roman"/>
        <charset val="134"/>
      </rPr>
      <t>km</t>
    </r>
  </si>
  <si>
    <r>
      <rPr>
        <sz val="10"/>
        <rFont val="宋体"/>
        <charset val="134"/>
      </rPr>
      <t>推土机74</t>
    </r>
    <r>
      <rPr>
        <sz val="10"/>
        <rFont val="Times New Roman"/>
        <charset val="134"/>
      </rPr>
      <t>kw</t>
    </r>
  </si>
  <si>
    <r>
      <rPr>
        <b/>
        <sz val="10"/>
        <rFont val="宋体"/>
        <charset val="134"/>
      </rPr>
      <t>拖拉机压实土方</t>
    </r>
    <r>
      <rPr>
        <b/>
        <sz val="10"/>
        <rFont val="Times New Roman"/>
        <charset val="134"/>
      </rPr>
      <t xml:space="preserve">  </t>
    </r>
    <r>
      <rPr>
        <b/>
        <sz val="10"/>
        <rFont val="宋体"/>
        <charset val="134"/>
      </rPr>
      <t>工程</t>
    </r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</si>
  <si>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:1225</t>
    </r>
  </si>
  <si>
    <r>
      <rPr>
        <b/>
        <sz val="10"/>
        <rFont val="宋体"/>
        <charset val="134"/>
      </rPr>
      <t>建筑物土方回填</t>
    </r>
    <r>
      <rPr>
        <b/>
        <sz val="10"/>
        <rFont val="Times New Roman"/>
        <charset val="134"/>
      </rPr>
      <t xml:space="preserve">  </t>
    </r>
    <r>
      <rPr>
        <b/>
        <sz val="10"/>
        <rFont val="宋体"/>
        <charset val="134"/>
      </rPr>
      <t>工程</t>
    </r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</si>
  <si>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:1238</t>
    </r>
  </si>
  <si>
    <t>工作内容:机械夯实</t>
  </si>
  <si>
    <r>
      <rPr>
        <b/>
        <sz val="10"/>
        <rFont val="宋体"/>
        <charset val="134"/>
      </rPr>
      <t>浆砌块石平面护坡</t>
    </r>
    <r>
      <rPr>
        <b/>
        <sz val="10"/>
        <rFont val="Times New Roman"/>
        <charset val="134"/>
      </rPr>
      <t xml:space="preserve"> </t>
    </r>
    <r>
      <rPr>
        <b/>
        <sz val="10"/>
        <rFont val="宋体"/>
        <charset val="134"/>
      </rPr>
      <t>工程</t>
    </r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</si>
  <si>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:JYB1601</t>
    </r>
  </si>
  <si>
    <t>浆砌块石基础工程</t>
  </si>
  <si>
    <t>机械吸水管铺设 工程</t>
  </si>
  <si>
    <t xml:space="preserve">定额编号：9025调               </t>
  </si>
  <si>
    <t>定额单位：100米</t>
  </si>
  <si>
    <t>工作内容：开沟铺管机挖沟，人工辅助铺管，安装管件。</t>
  </si>
  <si>
    <t>单   位</t>
  </si>
  <si>
    <t>1）</t>
  </si>
  <si>
    <t>一、人工</t>
  </si>
  <si>
    <t>二、:材       料</t>
  </si>
  <si>
    <t>1、PE波纹管</t>
  </si>
  <si>
    <t>米</t>
  </si>
  <si>
    <t>2、其他材料费（材料费1%）</t>
  </si>
  <si>
    <t>元</t>
  </si>
  <si>
    <t>三、机       械</t>
  </si>
  <si>
    <t>1、推土机（平路）74kw</t>
  </si>
  <si>
    <t>2、开沟铺管机</t>
  </si>
  <si>
    <t>3、激光制导仪</t>
  </si>
  <si>
    <t>4、手扶拖拉机11kw</t>
  </si>
  <si>
    <t>2）</t>
  </si>
  <si>
    <t>利润</t>
  </si>
  <si>
    <t>PE波纹管</t>
  </si>
  <si>
    <t>吸水管外包料制作  工程</t>
  </si>
  <si>
    <t xml:space="preserve">定额编号：9026调               </t>
  </si>
  <si>
    <r>
      <rPr>
        <sz val="10"/>
        <rFont val="宋体"/>
        <charset val="134"/>
      </rPr>
      <t>定额单位：100m</t>
    </r>
    <r>
      <rPr>
        <vertAlign val="superscript"/>
        <sz val="10"/>
        <rFont val="宋体"/>
        <charset val="134"/>
      </rPr>
      <t>2</t>
    </r>
  </si>
  <si>
    <t>工作内容：清理、缠裹、堆放、场内材料运输。</t>
  </si>
  <si>
    <r>
      <rPr>
        <sz val="10"/>
        <color indexed="8"/>
        <rFont val="宋体"/>
        <charset val="134"/>
      </rPr>
      <t>名</t>
    </r>
    <r>
      <rPr>
        <sz val="10"/>
        <rFont val="宋体"/>
        <charset val="134"/>
      </rPr>
      <t xml:space="preserve">    </t>
    </r>
    <r>
      <rPr>
        <sz val="10"/>
        <color indexed="8"/>
        <rFont val="宋体"/>
        <charset val="134"/>
      </rPr>
      <t>称</t>
    </r>
    <r>
      <rPr>
        <sz val="10"/>
        <rFont val="宋体"/>
        <charset val="134"/>
      </rPr>
      <t xml:space="preserve">    </t>
    </r>
    <r>
      <rPr>
        <sz val="10"/>
        <color indexed="8"/>
        <rFont val="宋体"/>
        <charset val="134"/>
      </rPr>
      <t>及</t>
    </r>
    <r>
      <rPr>
        <sz val="10"/>
        <rFont val="宋体"/>
        <charset val="134"/>
      </rPr>
      <t xml:space="preserve">    </t>
    </r>
    <r>
      <rPr>
        <sz val="10"/>
        <color indexed="8"/>
        <rFont val="宋体"/>
        <charset val="134"/>
      </rPr>
      <t>规</t>
    </r>
    <r>
      <rPr>
        <sz val="10"/>
        <rFont val="宋体"/>
        <charset val="134"/>
      </rPr>
      <t xml:space="preserve">    </t>
    </r>
    <r>
      <rPr>
        <sz val="10"/>
        <color indexed="8"/>
        <rFont val="宋体"/>
        <charset val="134"/>
      </rPr>
      <t>格</t>
    </r>
  </si>
  <si>
    <r>
      <rPr>
        <sz val="10"/>
        <color rgb="FF000000"/>
        <rFont val="宋体"/>
        <charset val="134"/>
      </rPr>
      <t>单</t>
    </r>
    <r>
      <rPr>
        <sz val="10"/>
        <rFont val="宋体"/>
        <charset val="134"/>
      </rPr>
      <t xml:space="preserve">  </t>
    </r>
    <r>
      <rPr>
        <sz val="10"/>
        <color rgb="FF000000"/>
        <rFont val="宋体"/>
        <charset val="134"/>
      </rPr>
      <t>位</t>
    </r>
  </si>
  <si>
    <r>
      <rPr>
        <sz val="10"/>
        <color indexed="8"/>
        <rFont val="宋体"/>
        <charset val="134"/>
      </rPr>
      <t>数</t>
    </r>
    <r>
      <rPr>
        <sz val="10"/>
        <rFont val="宋体"/>
        <charset val="134"/>
      </rPr>
      <t xml:space="preserve">    </t>
    </r>
    <r>
      <rPr>
        <sz val="10"/>
        <color indexed="8"/>
        <rFont val="宋体"/>
        <charset val="134"/>
      </rPr>
      <t>量</t>
    </r>
  </si>
  <si>
    <r>
      <rPr>
        <sz val="10"/>
        <color indexed="8"/>
        <rFont val="宋体"/>
        <charset val="134"/>
      </rPr>
      <t>一、人工</t>
    </r>
    <r>
      <rPr>
        <sz val="10"/>
        <rFont val="宋体"/>
        <charset val="134"/>
      </rPr>
      <t xml:space="preserve">:      </t>
    </r>
    <r>
      <rPr>
        <sz val="10"/>
        <color indexed="8"/>
        <rFont val="宋体"/>
        <charset val="134"/>
      </rPr>
      <t>技工</t>
    </r>
  </si>
  <si>
    <r>
      <rPr>
        <sz val="10"/>
        <color indexed="8"/>
        <rFont val="宋体"/>
        <charset val="134"/>
      </rPr>
      <t>二、机</t>
    </r>
    <r>
      <rPr>
        <sz val="10"/>
        <rFont val="宋体"/>
        <charset val="134"/>
      </rPr>
      <t xml:space="preserve">       </t>
    </r>
    <r>
      <rPr>
        <sz val="10"/>
        <color indexed="8"/>
        <rFont val="宋体"/>
        <charset val="134"/>
      </rPr>
      <t>械</t>
    </r>
  </si>
  <si>
    <t>缝纫机</t>
  </si>
  <si>
    <t>三、材料费</t>
  </si>
  <si>
    <t>包裹料（无纺布）</t>
  </si>
  <si>
    <t>平米</t>
  </si>
  <si>
    <t>其他材料费（5%）</t>
  </si>
  <si>
    <r>
      <rPr>
        <sz val="10"/>
        <rFont val="宋体"/>
        <charset val="134"/>
      </rPr>
      <t>2</t>
    </r>
    <r>
      <rPr>
        <sz val="10"/>
        <color indexed="8"/>
        <rFont val="宋体"/>
        <charset val="134"/>
      </rPr>
      <t>）</t>
    </r>
  </si>
  <si>
    <r>
      <rPr>
        <b/>
        <sz val="12"/>
        <rFont val="Times New Roman"/>
        <charset val="134"/>
      </rPr>
      <t xml:space="preserve">                                                   </t>
    </r>
    <r>
      <rPr>
        <b/>
        <sz val="12"/>
        <rFont val="宋体"/>
        <charset val="134"/>
      </rPr>
      <t>垫层混凝土</t>
    </r>
    <r>
      <rPr>
        <b/>
        <sz val="12"/>
        <rFont val="Times New Roman"/>
        <charset val="134"/>
      </rPr>
      <t xml:space="preserve">C20  </t>
    </r>
    <r>
      <rPr>
        <b/>
        <sz val="12"/>
        <rFont val="宋体"/>
        <charset val="134"/>
      </rPr>
      <t>工程</t>
    </r>
  </si>
  <si>
    <t xml:space="preserve">                                                                                                       闸底板混凝土C15   工程</t>
  </si>
  <si>
    <t xml:space="preserve">                                                   闸底板混凝土C20  工程</t>
  </si>
  <si>
    <r>
      <rPr>
        <b/>
        <sz val="12"/>
        <rFont val="宋体"/>
        <charset val="134"/>
      </rPr>
      <t>预制混凝土板</t>
    </r>
    <r>
      <rPr>
        <b/>
        <sz val="12"/>
        <rFont val="Times New Roman"/>
        <charset val="134"/>
      </rPr>
      <t xml:space="preserve"> C25 </t>
    </r>
    <r>
      <rPr>
        <b/>
        <sz val="12"/>
        <rFont val="宋体"/>
        <charset val="134"/>
      </rPr>
      <t>工程</t>
    </r>
  </si>
  <si>
    <r>
      <rPr>
        <b/>
        <sz val="12"/>
        <rFont val="宋体"/>
        <charset val="134"/>
      </rPr>
      <t>安装混凝土板</t>
    </r>
    <r>
      <rPr>
        <b/>
        <sz val="12"/>
        <rFont val="Times New Roman"/>
        <charset val="134"/>
      </rPr>
      <t xml:space="preserve"> C25 </t>
    </r>
    <r>
      <rPr>
        <b/>
        <sz val="12"/>
        <rFont val="宋体"/>
        <charset val="134"/>
      </rPr>
      <t>工程</t>
    </r>
  </si>
  <si>
    <r>
      <rPr>
        <b/>
        <sz val="12"/>
        <rFont val="宋体"/>
        <charset val="134"/>
      </rPr>
      <t>钢筋制安</t>
    </r>
    <r>
      <rPr>
        <b/>
        <sz val="12"/>
        <rFont val="Times New Roman"/>
        <charset val="134"/>
      </rPr>
      <t xml:space="preserve"> </t>
    </r>
    <r>
      <rPr>
        <b/>
        <sz val="12"/>
        <rFont val="宋体"/>
        <charset val="134"/>
      </rPr>
      <t>工程</t>
    </r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</si>
  <si>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:4267</t>
    </r>
  </si>
  <si>
    <r>
      <rPr>
        <sz val="10"/>
        <rFont val="宋体"/>
        <charset val="134"/>
      </rPr>
      <t>定额单位</t>
    </r>
    <r>
      <rPr>
        <sz val="10"/>
        <rFont val="Times New Roman"/>
        <charset val="134"/>
      </rPr>
      <t>:t</t>
    </r>
  </si>
  <si>
    <t>钢筋调直机   14kw</t>
  </si>
  <si>
    <t>风(砂)水枪</t>
  </si>
  <si>
    <t>钢筋切断机   20kw</t>
  </si>
  <si>
    <r>
      <rPr>
        <sz val="10"/>
        <rFont val="宋体"/>
        <charset val="134"/>
      </rPr>
      <t xml:space="preserve">钢筋弯曲机   </t>
    </r>
    <r>
      <rPr>
        <sz val="12"/>
        <rFont val="宋体"/>
        <charset val="134"/>
      </rPr>
      <t>ø</t>
    </r>
    <r>
      <rPr>
        <sz val="10"/>
        <rFont val="宋体"/>
        <charset val="134"/>
      </rPr>
      <t>6-40</t>
    </r>
  </si>
  <si>
    <t>电焊机  25kva</t>
  </si>
  <si>
    <t>对焊机   电弧150型</t>
  </si>
  <si>
    <t>载重汽车   5t</t>
  </si>
  <si>
    <t>汽车起重机   10t</t>
  </si>
  <si>
    <r>
      <rPr>
        <b/>
        <sz val="12"/>
        <rFont val="Times New Roman"/>
        <charset val="134"/>
      </rPr>
      <t xml:space="preserve">                                              </t>
    </r>
    <r>
      <rPr>
        <b/>
        <sz val="12"/>
        <rFont val="宋体"/>
        <charset val="134"/>
      </rPr>
      <t>混凝土管安装</t>
    </r>
    <r>
      <rPr>
        <b/>
        <sz val="12"/>
        <rFont val="Times New Roman"/>
        <charset val="134"/>
      </rPr>
      <t xml:space="preserve">0.8m  </t>
    </r>
    <r>
      <rPr>
        <b/>
        <sz val="12"/>
        <rFont val="宋体"/>
        <charset val="134"/>
      </rPr>
      <t>工程</t>
    </r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</si>
  <si>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 xml:space="preserve">:JYB1305 </t>
    </r>
  </si>
  <si>
    <r>
      <rPr>
        <sz val="10"/>
        <rFont val="宋体"/>
        <charset val="134"/>
      </rPr>
      <t>定额单位</t>
    </r>
    <r>
      <rPr>
        <sz val="10"/>
        <rFont val="Times New Roman"/>
        <charset val="134"/>
      </rPr>
      <t>:km</t>
    </r>
  </si>
  <si>
    <r>
      <rPr>
        <sz val="10"/>
        <rFont val="宋体"/>
        <charset val="134"/>
      </rPr>
      <t>汽车起重机10</t>
    </r>
    <r>
      <rPr>
        <sz val="10"/>
        <rFont val="Times New Roman"/>
        <charset val="134"/>
      </rPr>
      <t>t</t>
    </r>
  </si>
  <si>
    <r>
      <rPr>
        <sz val="10"/>
        <rFont val="宋体"/>
        <charset val="134"/>
      </rPr>
      <t>载重汽车10</t>
    </r>
    <r>
      <rPr>
        <sz val="10"/>
        <rFont val="Times New Roman"/>
        <charset val="134"/>
      </rPr>
      <t>t</t>
    </r>
  </si>
  <si>
    <t xml:space="preserve">                                               混凝土管安装1.5m  工程</t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</si>
  <si>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:JYB13010</t>
    </r>
  </si>
  <si>
    <t>定额单位:km</t>
  </si>
  <si>
    <t>一级排水管</t>
  </si>
  <si>
    <r>
      <rPr>
        <sz val="10"/>
        <rFont val="宋体"/>
        <charset val="134"/>
      </rPr>
      <t>钢筋混凝土管  φ=1.</t>
    </r>
    <r>
      <rPr>
        <sz val="10"/>
        <rFont val="宋体"/>
        <charset val="134"/>
      </rPr>
      <t>5</t>
    </r>
    <r>
      <rPr>
        <sz val="10"/>
        <rFont val="宋体"/>
        <charset val="134"/>
      </rPr>
      <t>m</t>
    </r>
  </si>
  <si>
    <r>
      <rPr>
        <sz val="10"/>
        <rFont val="宋体"/>
        <charset val="134"/>
      </rPr>
      <t>汽车起重机25</t>
    </r>
    <r>
      <rPr>
        <sz val="10"/>
        <rFont val="Times New Roman"/>
        <charset val="134"/>
      </rPr>
      <t>t</t>
    </r>
  </si>
  <si>
    <r>
      <rPr>
        <sz val="10"/>
        <rFont val="宋体"/>
        <charset val="134"/>
      </rPr>
      <t>载重汽车12</t>
    </r>
    <r>
      <rPr>
        <sz val="10"/>
        <rFont val="Times New Roman"/>
        <charset val="134"/>
      </rPr>
      <t>t</t>
    </r>
  </si>
  <si>
    <t>混凝土管  φ=1.5m</t>
  </si>
  <si>
    <t>砂砾石路面</t>
  </si>
  <si>
    <t>定额编号:10015 (15cm厚）</t>
  </si>
  <si>
    <r>
      <rPr>
        <sz val="10.5"/>
        <rFont val="宋体"/>
        <charset val="134"/>
      </rPr>
      <t>定额单位</t>
    </r>
    <r>
      <rPr>
        <sz val="10.5"/>
        <rFont val="Times New Roman"/>
        <charset val="134"/>
      </rPr>
      <t>:1000m</t>
    </r>
    <r>
      <rPr>
        <vertAlign val="superscript"/>
        <sz val="10.5"/>
        <rFont val="Times New Roman"/>
        <charset val="134"/>
      </rPr>
      <t>2</t>
    </r>
  </si>
  <si>
    <r>
      <rPr>
        <sz val="10"/>
        <rFont val="宋体"/>
        <charset val="134"/>
      </rPr>
      <t>内然压路机</t>
    </r>
    <r>
      <rPr>
        <sz val="10"/>
        <rFont val="Times New Roman"/>
        <charset val="134"/>
      </rPr>
      <t>12-15t</t>
    </r>
  </si>
  <si>
    <r>
      <rPr>
        <b/>
        <sz val="12"/>
        <rFont val="Times New Roman"/>
        <charset val="134"/>
      </rPr>
      <t xml:space="preserve"> </t>
    </r>
    <r>
      <rPr>
        <b/>
        <sz val="12"/>
        <rFont val="宋体"/>
        <charset val="134"/>
      </rPr>
      <t>碎石路面工程</t>
    </r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</si>
  <si>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:10017</t>
    </r>
  </si>
  <si>
    <r>
      <rPr>
        <sz val="10"/>
        <rFont val="宋体"/>
        <charset val="134"/>
      </rPr>
      <t>工作内容：δ10</t>
    </r>
    <r>
      <rPr>
        <sz val="10"/>
        <rFont val="Times New Roman"/>
        <charset val="134"/>
      </rPr>
      <t>cm</t>
    </r>
  </si>
  <si>
    <t>黏土</t>
  </si>
  <si>
    <t>浆砌石拆除工程</t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</si>
  <si>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:10191</t>
    </r>
  </si>
  <si>
    <t>挖掘机1m3</t>
  </si>
  <si>
    <t>混凝土板拆除（机械）工程</t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</si>
  <si>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:10188</t>
    </r>
  </si>
  <si>
    <r>
      <rPr>
        <sz val="10"/>
        <rFont val="宋体"/>
        <charset val="134"/>
      </rPr>
      <t>挖掘机1.0m</t>
    </r>
    <r>
      <rPr>
        <vertAlign val="superscript"/>
        <sz val="10"/>
        <rFont val="宋体"/>
        <charset val="134"/>
      </rPr>
      <t>3</t>
    </r>
  </si>
  <si>
    <r>
      <rPr>
        <b/>
        <sz val="12"/>
        <rFont val="Times New Roman"/>
        <charset val="134"/>
      </rPr>
      <t xml:space="preserve">                                          </t>
    </r>
    <r>
      <rPr>
        <b/>
        <sz val="12"/>
        <rFont val="宋体"/>
        <charset val="134"/>
      </rPr>
      <t>预制板运输</t>
    </r>
    <r>
      <rPr>
        <b/>
        <sz val="12"/>
        <rFont val="Times New Roman"/>
        <charset val="134"/>
      </rPr>
      <t>5.0km</t>
    </r>
    <r>
      <rPr>
        <b/>
        <sz val="12"/>
        <rFont val="宋体"/>
        <charset val="134"/>
      </rPr>
      <t>（手扶）</t>
    </r>
    <r>
      <rPr>
        <b/>
        <sz val="12"/>
        <rFont val="Times New Roman"/>
        <charset val="134"/>
      </rPr>
      <t xml:space="preserve"> </t>
    </r>
    <r>
      <rPr>
        <b/>
        <sz val="12"/>
        <rFont val="宋体"/>
        <charset val="134"/>
      </rPr>
      <t>工程</t>
    </r>
  </si>
  <si>
    <r>
      <rPr>
        <b/>
        <sz val="12"/>
        <rFont val="Times New Roman"/>
        <charset val="134"/>
      </rPr>
      <t xml:space="preserve">                                              </t>
    </r>
    <r>
      <rPr>
        <b/>
        <sz val="12"/>
        <rFont val="宋体"/>
        <charset val="134"/>
      </rPr>
      <t>渠道预制</t>
    </r>
    <r>
      <rPr>
        <b/>
        <sz val="12"/>
        <rFont val="Times New Roman"/>
        <charset val="134"/>
      </rPr>
      <t>U</t>
    </r>
    <r>
      <rPr>
        <b/>
        <sz val="12"/>
        <rFont val="宋体"/>
        <charset val="134"/>
      </rPr>
      <t>型板</t>
    </r>
    <r>
      <rPr>
        <b/>
        <sz val="12"/>
        <rFont val="Times New Roman"/>
        <charset val="134"/>
      </rPr>
      <t xml:space="preserve"> C20 </t>
    </r>
    <r>
      <rPr>
        <b/>
        <sz val="12"/>
        <rFont val="宋体"/>
        <charset val="134"/>
      </rPr>
      <t>工程</t>
    </r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</si>
  <si>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:4142</t>
    </r>
  </si>
  <si>
    <r>
      <rPr>
        <b/>
        <sz val="12"/>
        <rFont val="Times New Roman"/>
        <charset val="134"/>
      </rPr>
      <t xml:space="preserve">                                         </t>
    </r>
    <r>
      <rPr>
        <b/>
        <sz val="12"/>
        <rFont val="宋体"/>
        <charset val="134"/>
      </rPr>
      <t>渠道预制弧形板砌筑</t>
    </r>
    <r>
      <rPr>
        <b/>
        <sz val="12"/>
        <rFont val="Times New Roman"/>
        <charset val="134"/>
      </rPr>
      <t xml:space="preserve">4-8cm C20 </t>
    </r>
    <r>
      <rPr>
        <b/>
        <sz val="12"/>
        <rFont val="宋体"/>
        <charset val="134"/>
      </rPr>
      <t>工程</t>
    </r>
  </si>
  <si>
    <t>工作内容： 缝板比0.21</t>
  </si>
  <si>
    <t xml:space="preserve">                                                     细石混凝土C20  工程</t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</si>
  <si>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:4082</t>
    </r>
  </si>
  <si>
    <t>振捣器  1.1KW</t>
  </si>
  <si>
    <t>路基工程</t>
  </si>
  <si>
    <r>
      <rPr>
        <sz val="10"/>
        <rFont val="宋体"/>
        <charset val="134"/>
      </rPr>
      <t>定额编号</t>
    </r>
    <r>
      <rPr>
        <sz val="10"/>
        <rFont val="Times New Roman"/>
        <charset val="134"/>
      </rPr>
      <t>:10013</t>
    </r>
  </si>
  <si>
    <r>
      <rPr>
        <sz val="10"/>
        <rFont val="宋体"/>
        <charset val="134"/>
      </rPr>
      <t>工作内容：δ15</t>
    </r>
    <r>
      <rPr>
        <sz val="10"/>
        <rFont val="Times New Roman"/>
        <charset val="134"/>
      </rPr>
      <t>cm</t>
    </r>
  </si>
  <si>
    <t>砂土</t>
  </si>
  <si>
    <r>
      <rPr>
        <b/>
        <sz val="12"/>
        <rFont val="Times New Roman"/>
        <charset val="134"/>
      </rPr>
      <t xml:space="preserve">                                                  </t>
    </r>
    <r>
      <rPr>
        <b/>
        <sz val="12"/>
        <rFont val="宋体"/>
        <charset val="134"/>
      </rPr>
      <t>混凝土</t>
    </r>
    <r>
      <rPr>
        <b/>
        <sz val="12"/>
        <rFont val="Times New Roman"/>
        <charset val="134"/>
      </rPr>
      <t xml:space="preserve">C20 </t>
    </r>
    <r>
      <rPr>
        <b/>
        <sz val="12"/>
        <rFont val="宋体"/>
        <charset val="134"/>
      </rPr>
      <t>支墩  工程</t>
    </r>
  </si>
  <si>
    <t>材料量汇总表</t>
  </si>
  <si>
    <t xml:space="preserve">kg </t>
  </si>
  <si>
    <t>工程量汇总表</t>
  </si>
  <si>
    <r>
      <rPr>
        <sz val="10"/>
        <rFont val="宋体"/>
        <charset val="134"/>
      </rPr>
      <t>Ｃ1</t>
    </r>
    <r>
      <rPr>
        <sz val="10"/>
        <rFont val="宋体"/>
        <charset val="134"/>
      </rPr>
      <t>5</t>
    </r>
    <r>
      <rPr>
        <sz val="10"/>
        <rFont val="宋体"/>
        <charset val="134"/>
      </rPr>
      <t>混凝土</t>
    </r>
  </si>
  <si>
    <r>
      <rPr>
        <sz val="10"/>
        <rFont val="Times New Roman"/>
        <charset val="134"/>
      </rPr>
      <t>100m</t>
    </r>
    <r>
      <rPr>
        <vertAlign val="superscript"/>
        <sz val="10"/>
        <rFont val="Times New Roman"/>
        <charset val="134"/>
      </rPr>
      <t>3</t>
    </r>
  </si>
  <si>
    <t>Ｃ20混凝土</t>
  </si>
  <si>
    <t>施工用电</t>
  </si>
  <si>
    <t>kwh</t>
  </si>
  <si>
    <t>Ｃ25混凝土</t>
  </si>
  <si>
    <t>浆砌石</t>
  </si>
  <si>
    <t>建筑物土方开挖</t>
  </si>
  <si>
    <t>管线土方开挖</t>
  </si>
  <si>
    <t>管线土方回填</t>
  </si>
  <si>
    <t>土地平整（推土机推土）</t>
  </si>
  <si>
    <t>项目名称:Φ1000PE管安装</t>
  </si>
  <si>
    <t>定额编号：借市政定额3-1-4-496</t>
  </si>
  <si>
    <t>汽车式起重机 提升质量(t) 8</t>
  </si>
  <si>
    <t>载重汽车 装载质量(t) 8</t>
  </si>
  <si>
    <t>电熔焊接机 3.5kW</t>
  </si>
  <si>
    <t>项目名称:Φ800PE管安装</t>
  </si>
  <si>
    <t>定额编号：借市政定额3-1-4-494</t>
  </si>
  <si>
    <t>项目名称:Φ600PE管安装</t>
  </si>
  <si>
    <t>项目名称:Φ315PE管安装</t>
  </si>
  <si>
    <r>
      <rPr>
        <sz val="11"/>
        <rFont val="宋体"/>
        <charset val="134"/>
      </rPr>
      <t>定额编号：借市政定额4-</t>
    </r>
    <r>
      <rPr>
        <sz val="11"/>
        <rFont val="宋体"/>
        <charset val="134"/>
      </rPr>
      <t>1</t>
    </r>
    <r>
      <rPr>
        <sz val="11"/>
        <rFont val="宋体"/>
        <charset val="134"/>
      </rPr>
      <t>-488</t>
    </r>
  </si>
  <si>
    <t>项目名称:Φ400UPVC管安装</t>
  </si>
  <si>
    <t>定额编号：8035</t>
  </si>
  <si>
    <t>Φ400UPVC管</t>
  </si>
  <si>
    <t>胶圈</t>
  </si>
  <si>
    <t>项目名称:Φ315UPVC管安装</t>
  </si>
  <si>
    <r>
      <rPr>
        <sz val="11"/>
        <rFont val="宋体"/>
        <charset val="134"/>
      </rPr>
      <t>项目名称:Φ</t>
    </r>
    <r>
      <rPr>
        <sz val="11"/>
        <rFont val="宋体"/>
        <charset val="134"/>
      </rPr>
      <t>280</t>
    </r>
    <r>
      <rPr>
        <sz val="11"/>
        <rFont val="宋体"/>
        <charset val="134"/>
      </rPr>
      <t>UPVC管安装</t>
    </r>
  </si>
  <si>
    <t>定额编号：8034</t>
  </si>
  <si>
    <t>定额编号：8034（修）</t>
  </si>
  <si>
    <t>Φ315UPVC管</t>
  </si>
  <si>
    <t>项目名称:Φ250UPVC管安装</t>
  </si>
  <si>
    <r>
      <rPr>
        <sz val="11"/>
        <rFont val="宋体"/>
        <charset val="134"/>
      </rPr>
      <t>项目名称:Φ2</t>
    </r>
    <r>
      <rPr>
        <sz val="11"/>
        <rFont val="宋体"/>
        <charset val="134"/>
      </rPr>
      <t>25</t>
    </r>
    <r>
      <rPr>
        <sz val="11"/>
        <rFont val="宋体"/>
        <charset val="134"/>
      </rPr>
      <t>UPVC管安装</t>
    </r>
  </si>
  <si>
    <t>定额编号：8033</t>
  </si>
  <si>
    <t>定额编号：8033（修）</t>
  </si>
  <si>
    <t>Φ250UPVC管</t>
  </si>
  <si>
    <t>项目名称:Φ200UPVC管安装</t>
  </si>
  <si>
    <t>定额编号：8032</t>
  </si>
  <si>
    <t>Φ200UPVC管</t>
  </si>
  <si>
    <t>项目名称:Φ160UPVC管安装</t>
  </si>
  <si>
    <t>定额编号：8031</t>
  </si>
  <si>
    <t>项目名称:Φ125UPVC管安装</t>
  </si>
  <si>
    <t>定额编号：8030</t>
  </si>
  <si>
    <t>Φ125UPVC管</t>
  </si>
  <si>
    <t>项目名称:Φ90UPVC管安装</t>
  </si>
  <si>
    <t>定额编号：8029</t>
  </si>
  <si>
    <t>Φ90UPVC管</t>
  </si>
  <si>
    <t>项目名称:Φ75UPVC管安装</t>
  </si>
  <si>
    <t>定额编号：8028</t>
  </si>
  <si>
    <t>Φ75UPVC管</t>
  </si>
  <si>
    <t>项目名称:Φ50UPVC管安装</t>
  </si>
  <si>
    <t>定额编号：8025</t>
  </si>
  <si>
    <t>Φ50UPVC管</t>
  </si>
  <si>
    <t>项目名称:Φ25UPVC管安装</t>
  </si>
  <si>
    <t>定额编号：8023</t>
  </si>
  <si>
    <t>项目名称:DN1200玻璃钢管安装</t>
  </si>
  <si>
    <t>项目名称:</t>
  </si>
  <si>
    <t>定额编号：10136</t>
  </si>
  <si>
    <t>单位：1km</t>
  </si>
  <si>
    <t>木电杆</t>
  </si>
  <si>
    <t>根</t>
  </si>
  <si>
    <t>铁横担 ∠63*6*1200</t>
  </si>
  <si>
    <t>导线 LGJ</t>
  </si>
  <si>
    <t>针式瓷瓶P-10</t>
  </si>
  <si>
    <t>悬式绝缘子 X-4.5</t>
  </si>
  <si>
    <t>并沟线夹 JB-2</t>
  </si>
  <si>
    <t>镀锌钢绞线 GJ-50</t>
  </si>
  <si>
    <t>楔形线夹 NX-2</t>
  </si>
  <si>
    <t>UT线夹 NUT-2</t>
  </si>
  <si>
    <t>混凝土拉线盘 LP-8</t>
  </si>
  <si>
    <t>混凝土底盘</t>
  </si>
  <si>
    <t>螺栓</t>
  </si>
  <si>
    <t>定额编号：借建筑定额2-10-1-293</t>
  </si>
  <si>
    <t>Φ50UPVC塑料排水管</t>
  </si>
  <si>
    <t>塑料排水管(热熔直接)</t>
  </si>
  <si>
    <t>锯条(各种规格)</t>
  </si>
  <si>
    <t>铁纱布</t>
  </si>
  <si>
    <t>张</t>
  </si>
  <si>
    <t>电动单级离心清水泵出口</t>
  </si>
  <si>
    <t>项目   承插铸铁管安装（φ600）</t>
  </si>
  <si>
    <t>100延m</t>
  </si>
  <si>
    <t>铸铁管</t>
  </si>
  <si>
    <t>石棉</t>
  </si>
  <si>
    <t>水泥 425#</t>
  </si>
  <si>
    <t>氧气</t>
  </si>
  <si>
    <t>乙炔气</t>
  </si>
  <si>
    <t>履带式起重机 15t</t>
  </si>
  <si>
    <t>立式钻床 Ф25</t>
  </si>
  <si>
    <t>拖拉机 55kw</t>
  </si>
  <si>
    <t>载重汽车 5t</t>
  </si>
  <si>
    <t>㎏</t>
  </si>
  <si>
    <t>项目   承插铸铁管安装（φ400）</t>
  </si>
  <si>
    <t>抗硫</t>
  </si>
  <si>
    <t>工日</t>
  </si>
  <si>
    <t>推土机59kw</t>
  </si>
  <si>
    <t>自卸汽车8t</t>
  </si>
  <si>
    <t>砼搅拌机</t>
  </si>
  <si>
    <t>拖拉机11kw</t>
  </si>
  <si>
    <t>汽车起重机5t</t>
  </si>
  <si>
    <t>名称</t>
  </si>
  <si>
    <t>工程量</t>
  </si>
  <si>
    <t>Ｃ30砼</t>
  </si>
  <si>
    <t>Ｃ25砼</t>
  </si>
  <si>
    <t>Ｃ25砼  抗硫</t>
  </si>
  <si>
    <t>Ｃ20砼</t>
  </si>
  <si>
    <t>Ｃ20砼  抗硫</t>
  </si>
  <si>
    <t>预制Ｃ20砼</t>
  </si>
  <si>
    <t>现浇C15砼板</t>
  </si>
  <si>
    <t>渠道挖方</t>
  </si>
  <si>
    <t>挖冻土</t>
  </si>
  <si>
    <t>削坡土方</t>
  </si>
  <si>
    <t>原土夯实</t>
  </si>
  <si>
    <t>2：8水泥土</t>
  </si>
  <si>
    <t>清基土方(9.92)</t>
  </si>
  <si>
    <t>余土外运（1km)</t>
  </si>
  <si>
    <t>防洪挖方</t>
  </si>
  <si>
    <t>挖掘机挖土</t>
  </si>
  <si>
    <t>挖掘机挖土汽车运1km（8.15）</t>
  </si>
  <si>
    <t>泥结石路面（单侧）</t>
  </si>
  <si>
    <t xml:space="preserve">     具体取费标准如下表：</t>
  </si>
  <si>
    <t xml:space="preserve">                   取 费 表</t>
  </si>
  <si>
    <r>
      <rPr>
        <sz val="10"/>
        <rFont val="宋体"/>
        <charset val="134"/>
      </rPr>
      <t>名</t>
    </r>
    <r>
      <rPr>
        <sz val="10"/>
        <rFont val="Times New Roman"/>
        <charset val="134"/>
      </rPr>
      <t xml:space="preserve">   </t>
    </r>
    <r>
      <rPr>
        <sz val="10"/>
        <rFont val="宋体"/>
        <charset val="134"/>
      </rPr>
      <t>称</t>
    </r>
  </si>
  <si>
    <r>
      <rPr>
        <sz val="10"/>
        <rFont val="宋体"/>
        <charset val="134"/>
      </rPr>
      <t>税</t>
    </r>
    <r>
      <rPr>
        <sz val="10"/>
        <rFont val="Times New Roman"/>
        <charset val="134"/>
      </rPr>
      <t xml:space="preserve">   </t>
    </r>
    <r>
      <rPr>
        <sz val="10"/>
        <rFont val="宋体"/>
        <charset val="134"/>
      </rPr>
      <t>金</t>
    </r>
  </si>
  <si>
    <t>扩大系数</t>
  </si>
  <si>
    <t>石方工程</t>
  </si>
  <si>
    <t>砌石工程</t>
  </si>
  <si>
    <t>混凝土工程</t>
  </si>
  <si>
    <t>钢筋工程</t>
  </si>
  <si>
    <t>钻孔灌浆及锚固工程</t>
  </si>
  <si>
    <t>疏浚工程</t>
  </si>
  <si>
    <t>机电金结设备安装工程</t>
  </si>
  <si>
    <t>其他工程</t>
  </si>
  <si>
    <r>
      <rPr>
        <b/>
        <sz val="14"/>
        <rFont val="宋体"/>
        <charset val="134"/>
      </rPr>
      <t xml:space="preserve"> </t>
    </r>
    <r>
      <rPr>
        <b/>
        <sz val="16"/>
        <rFont val="宋体"/>
        <charset val="134"/>
      </rPr>
      <t xml:space="preserve">               </t>
    </r>
    <r>
      <rPr>
        <b/>
        <sz val="18"/>
        <rFont val="宋体"/>
        <charset val="134"/>
      </rPr>
      <t>基础材料单价表</t>
    </r>
  </si>
  <si>
    <r>
      <rPr>
        <b/>
        <sz val="14"/>
        <rFont val="宋体"/>
        <charset val="134"/>
      </rPr>
      <t xml:space="preserve"> </t>
    </r>
    <r>
      <rPr>
        <b/>
        <sz val="16"/>
        <rFont val="宋体"/>
        <charset val="134"/>
      </rPr>
      <t xml:space="preserve">          </t>
    </r>
    <r>
      <rPr>
        <b/>
        <sz val="18"/>
        <rFont val="宋体"/>
        <charset val="134"/>
      </rPr>
      <t>基础材料单价表</t>
    </r>
  </si>
  <si>
    <t>电雷管</t>
  </si>
  <si>
    <r>
      <rPr>
        <sz val="10"/>
        <rFont val="宋体"/>
        <charset val="134"/>
      </rPr>
      <t>钢板厚</t>
    </r>
    <r>
      <rPr>
        <sz val="10"/>
        <rFont val="Times New Roman"/>
        <charset val="134"/>
      </rPr>
      <t>4mm</t>
    </r>
  </si>
  <si>
    <r>
      <rPr>
        <sz val="9"/>
        <rFont val="宋体"/>
        <charset val="134"/>
      </rPr>
      <t>钢板厚</t>
    </r>
    <r>
      <rPr>
        <sz val="9"/>
        <rFont val="Times New Roman"/>
        <charset val="134"/>
      </rPr>
      <t>4mm</t>
    </r>
  </si>
  <si>
    <t>钢材</t>
  </si>
  <si>
    <t>钢管</t>
  </si>
  <si>
    <t>只</t>
  </si>
  <si>
    <t>滑模</t>
  </si>
  <si>
    <t>环氧砂浆</t>
  </si>
  <si>
    <r>
      <rPr>
        <sz val="9"/>
        <rFont val="宋体"/>
        <charset val="134"/>
      </rPr>
      <t>m</t>
    </r>
    <r>
      <rPr>
        <vertAlign val="superscript"/>
        <sz val="9"/>
        <rFont val="宋体"/>
        <charset val="134"/>
      </rPr>
      <t>3</t>
    </r>
  </si>
  <si>
    <t>ｋｇ</t>
  </si>
  <si>
    <t>砾（碎〕石</t>
  </si>
  <si>
    <r>
      <rPr>
        <sz val="10"/>
        <rFont val="文鼎中宋"/>
        <charset val="134"/>
      </rPr>
      <t>ｍ</t>
    </r>
    <r>
      <rPr>
        <vertAlign val="superscript"/>
        <sz val="10"/>
        <rFont val="文鼎中宋"/>
        <charset val="134"/>
      </rPr>
      <t>３</t>
    </r>
  </si>
  <si>
    <r>
      <rPr>
        <sz val="9"/>
        <rFont val="文鼎中宋"/>
        <charset val="134"/>
      </rPr>
      <t>ｍ</t>
    </r>
    <r>
      <rPr>
        <vertAlign val="superscript"/>
        <sz val="9"/>
        <rFont val="文鼎中宋"/>
        <charset val="134"/>
      </rPr>
      <t>３</t>
    </r>
  </si>
  <si>
    <t>麻布</t>
  </si>
  <si>
    <t>铁垫块</t>
  </si>
  <si>
    <t>塑料带止水</t>
  </si>
  <si>
    <t>油毛毡</t>
  </si>
  <si>
    <t>专用组合钢模</t>
  </si>
  <si>
    <t>灌浆管</t>
  </si>
  <si>
    <r>
      <rPr>
        <sz val="10"/>
        <rFont val="宋体"/>
        <charset val="134"/>
      </rPr>
      <t>钢筋砼管</t>
    </r>
    <r>
      <rPr>
        <sz val="10"/>
        <rFont val="Times New Roman"/>
        <charset val="134"/>
      </rPr>
      <t xml:space="preserve">  </t>
    </r>
    <r>
      <rPr>
        <sz val="10"/>
        <rFont val="宋体"/>
        <charset val="134"/>
      </rPr>
      <t>φ</t>
    </r>
    <r>
      <rPr>
        <sz val="10"/>
        <rFont val="Times New Roman"/>
        <charset val="134"/>
      </rPr>
      <t>=1.6m</t>
    </r>
  </si>
  <si>
    <r>
      <rPr>
        <sz val="10"/>
        <rFont val="宋体"/>
        <charset val="134"/>
      </rPr>
      <t>铅丝</t>
    </r>
    <r>
      <rPr>
        <sz val="10"/>
        <rFont val="Times New Roman"/>
        <charset val="134"/>
      </rPr>
      <t>8#</t>
    </r>
  </si>
  <si>
    <r>
      <rPr>
        <sz val="10"/>
        <rFont val="宋体"/>
        <charset val="134"/>
      </rPr>
      <t>钢筋砼管</t>
    </r>
    <r>
      <rPr>
        <sz val="10"/>
        <rFont val="Times New Roman"/>
        <charset val="134"/>
      </rPr>
      <t xml:space="preserve">  </t>
    </r>
    <r>
      <rPr>
        <sz val="10"/>
        <rFont val="宋体"/>
        <charset val="134"/>
      </rPr>
      <t>φ</t>
    </r>
    <r>
      <rPr>
        <sz val="10"/>
        <rFont val="Times New Roman"/>
        <charset val="134"/>
      </rPr>
      <t>=1.4m</t>
    </r>
  </si>
  <si>
    <r>
      <rPr>
        <sz val="10"/>
        <rFont val="宋体"/>
        <charset val="134"/>
      </rPr>
      <t>铅丝</t>
    </r>
    <r>
      <rPr>
        <sz val="10"/>
        <rFont val="Times New Roman"/>
        <charset val="134"/>
      </rPr>
      <t>10#</t>
    </r>
  </si>
  <si>
    <r>
      <rPr>
        <sz val="10"/>
        <rFont val="宋体"/>
        <charset val="134"/>
      </rPr>
      <t>钢筋砼管</t>
    </r>
    <r>
      <rPr>
        <sz val="10"/>
        <rFont val="Times New Roman"/>
        <charset val="134"/>
      </rPr>
      <t xml:space="preserve">  </t>
    </r>
    <r>
      <rPr>
        <sz val="10"/>
        <rFont val="宋体"/>
        <charset val="134"/>
      </rPr>
      <t>φ</t>
    </r>
    <r>
      <rPr>
        <sz val="10"/>
        <rFont val="Times New Roman"/>
        <charset val="134"/>
      </rPr>
      <t>=1.2m</t>
    </r>
  </si>
  <si>
    <t>橡胶伸缩体</t>
  </si>
  <si>
    <r>
      <rPr>
        <sz val="10"/>
        <rFont val="宋体"/>
        <charset val="134"/>
      </rPr>
      <t>钢筋砼管</t>
    </r>
    <r>
      <rPr>
        <sz val="10"/>
        <rFont val="Times New Roman"/>
        <charset val="134"/>
      </rPr>
      <t xml:space="preserve">  </t>
    </r>
    <r>
      <rPr>
        <sz val="10"/>
        <rFont val="宋体"/>
        <charset val="134"/>
      </rPr>
      <t>φ</t>
    </r>
    <r>
      <rPr>
        <sz val="10"/>
        <rFont val="Times New Roman"/>
        <charset val="134"/>
      </rPr>
      <t>=1.0m</t>
    </r>
  </si>
  <si>
    <r>
      <rPr>
        <sz val="10"/>
        <rFont val="宋体"/>
        <charset val="134"/>
      </rPr>
      <t>橡胶支座（</t>
    </r>
    <r>
      <rPr>
        <sz val="10"/>
        <rFont val="Times New Roman"/>
        <charset val="134"/>
      </rPr>
      <t>150*150*42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</si>
  <si>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钢筋砼管</t>
    </r>
    <r>
      <rPr>
        <sz val="10"/>
        <rFont val="Times New Roman"/>
        <charset val="134"/>
      </rPr>
      <t xml:space="preserve">  </t>
    </r>
    <r>
      <rPr>
        <sz val="10"/>
        <rFont val="宋体"/>
        <charset val="134"/>
      </rPr>
      <t>φ</t>
    </r>
    <r>
      <rPr>
        <sz val="10"/>
        <rFont val="Times New Roman"/>
        <charset val="134"/>
      </rPr>
      <t>=0.8m</t>
    </r>
  </si>
  <si>
    <t>钢管加工</t>
  </si>
  <si>
    <r>
      <rPr>
        <sz val="10"/>
        <rFont val="宋体"/>
        <charset val="134"/>
      </rPr>
      <t>钢筋砼管</t>
    </r>
    <r>
      <rPr>
        <sz val="10"/>
        <rFont val="Times New Roman"/>
        <charset val="134"/>
      </rPr>
      <t xml:space="preserve">  </t>
    </r>
    <r>
      <rPr>
        <sz val="10"/>
        <rFont val="宋体"/>
        <charset val="134"/>
      </rPr>
      <t>φ</t>
    </r>
    <r>
      <rPr>
        <sz val="10"/>
        <rFont val="Times New Roman"/>
        <charset val="134"/>
      </rPr>
      <t>=0.6m</t>
    </r>
  </si>
  <si>
    <r>
      <rPr>
        <sz val="10"/>
        <rFont val="Times New Roman"/>
        <charset val="134"/>
      </rPr>
      <t>PVC</t>
    </r>
    <r>
      <rPr>
        <sz val="10"/>
        <rFont val="宋体"/>
        <charset val="134"/>
      </rPr>
      <t>泄水管（φ</t>
    </r>
    <r>
      <rPr>
        <sz val="10"/>
        <rFont val="Times New Roman"/>
        <charset val="134"/>
      </rPr>
      <t>=500</t>
    </r>
    <r>
      <rPr>
        <sz val="10"/>
        <rFont val="宋体"/>
        <charset val="134"/>
      </rPr>
      <t>）</t>
    </r>
  </si>
  <si>
    <t>PE软管材价格表</t>
  </si>
  <si>
    <t xml:space="preserve">                      PVC-U管材价格表</t>
  </si>
  <si>
    <t>低压输水软管PEФ63</t>
  </si>
  <si>
    <t>0.25MPa</t>
  </si>
  <si>
    <t>低压输水软管PEФ75</t>
  </si>
  <si>
    <t>低压输水软管PEФ90</t>
  </si>
  <si>
    <t>低压输水软管PEФ110</t>
  </si>
  <si>
    <t>低压输水软管PEФ125</t>
  </si>
  <si>
    <t>0.26MPa</t>
  </si>
  <si>
    <t>PEФ32</t>
  </si>
  <si>
    <t>0.4MPa</t>
  </si>
  <si>
    <t>PEФ40</t>
  </si>
  <si>
    <t>PEФ50</t>
  </si>
  <si>
    <t>PEФ63</t>
  </si>
  <si>
    <t>PEФ75</t>
  </si>
  <si>
    <t>PEФ90</t>
  </si>
  <si>
    <t xml:space="preserve">                              玻璃钢管材价格表</t>
  </si>
  <si>
    <t>宁夏鸿通管业有限公司：8422218-609  传真：0951 4066387</t>
  </si>
  <si>
    <t>销售部：黄永华</t>
  </si>
  <si>
    <r>
      <rPr>
        <b/>
        <sz val="10"/>
        <rFont val="宋体"/>
        <charset val="134"/>
      </rPr>
      <t>公称外径</t>
    </r>
    <r>
      <rPr>
        <b/>
        <sz val="10"/>
        <rFont val="Times New Roman"/>
        <charset val="134"/>
      </rPr>
      <t>(dn)</t>
    </r>
  </si>
  <si>
    <r>
      <rPr>
        <b/>
        <sz val="10"/>
        <rFont val="宋体"/>
        <charset val="134"/>
      </rPr>
      <t>公</t>
    </r>
    <r>
      <rPr>
        <b/>
        <sz val="10"/>
        <rFont val="Times New Roman"/>
        <charset val="134"/>
      </rPr>
      <t xml:space="preserve">        </t>
    </r>
    <r>
      <rPr>
        <b/>
        <sz val="10"/>
        <rFont val="宋体"/>
        <charset val="134"/>
      </rPr>
      <t>称</t>
    </r>
    <r>
      <rPr>
        <b/>
        <sz val="10"/>
        <rFont val="Times New Roman"/>
        <charset val="134"/>
      </rPr>
      <t xml:space="preserve">    </t>
    </r>
    <r>
      <rPr>
        <b/>
        <sz val="10"/>
        <rFont val="宋体"/>
        <charset val="134"/>
      </rPr>
      <t>压</t>
    </r>
    <r>
      <rPr>
        <b/>
        <sz val="10"/>
        <rFont val="Times New Roman"/>
        <charset val="134"/>
      </rPr>
      <t xml:space="preserve">       </t>
    </r>
    <r>
      <rPr>
        <b/>
        <sz val="10"/>
        <rFont val="宋体"/>
        <charset val="134"/>
      </rPr>
      <t>力</t>
    </r>
  </si>
  <si>
    <t>3.0 Mpa</t>
  </si>
  <si>
    <t>3.5 Mpa</t>
  </si>
  <si>
    <t>4.0 Mpa</t>
  </si>
  <si>
    <t>5.0 Mpa</t>
  </si>
  <si>
    <t>￠100</t>
  </si>
  <si>
    <t>￠150</t>
  </si>
  <si>
    <t>￠300</t>
  </si>
  <si>
    <t>￠600</t>
  </si>
  <si>
    <t>￠700</t>
  </si>
  <si>
    <t>￠800</t>
  </si>
  <si>
    <t>￠1000</t>
  </si>
  <si>
    <t>￠1200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</si>
</sst>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2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176" formatCode="_ \¥* #,##0.00_ ;_ \¥* \-#,##0.00_ ;_ \¥* &quot;-&quot;??_ ;_ @_ "/>
    <numFmt numFmtId="177" formatCode="[$-F800]dddd\,\ mmmm\ dd\,\ yyyy"/>
    <numFmt numFmtId="178" formatCode="0_ "/>
    <numFmt numFmtId="179" formatCode="0.00_ "/>
    <numFmt numFmtId="180" formatCode="0.00_);[Red]\(0.00\)"/>
    <numFmt numFmtId="181" formatCode="0_);[Red]\(0\)"/>
    <numFmt numFmtId="182" formatCode="0.0"/>
    <numFmt numFmtId="183" formatCode="0.0%"/>
    <numFmt numFmtId="184" formatCode="0.000_ "/>
    <numFmt numFmtId="185" formatCode="0.0_ "/>
    <numFmt numFmtId="186" formatCode="0.000"/>
    <numFmt numFmtId="187" formatCode="0.0_);[Red]\(0.0\)"/>
    <numFmt numFmtId="188" formatCode="0.0000_);[Red]\(0.0000\)"/>
    <numFmt numFmtId="189" formatCode="0.000_);[Red]\(0.000\)"/>
    <numFmt numFmtId="190" formatCode="0.00000_ "/>
    <numFmt numFmtId="191" formatCode="0.000000000_);[Red]\(0.000000000\)"/>
    <numFmt numFmtId="192" formatCode="0;_"/>
    <numFmt numFmtId="193" formatCode="0_);\(0\)"/>
    <numFmt numFmtId="194" formatCode="0.00_);\(0.00\)"/>
    <numFmt numFmtId="195" formatCode="0.0;_됀"/>
    <numFmt numFmtId="196" formatCode="0.00;[Red]0.00"/>
  </numFmts>
  <fonts count="143">
    <font>
      <sz val="12"/>
      <name val="宋体"/>
      <charset val="134"/>
    </font>
    <font>
      <sz val="12"/>
      <name val="Times New Roman"/>
      <charset val="134"/>
    </font>
    <font>
      <b/>
      <sz val="14"/>
      <name val="宋体"/>
      <charset val="134"/>
    </font>
    <font>
      <sz val="11"/>
      <name val="宋体"/>
      <charset val="134"/>
    </font>
    <font>
      <b/>
      <sz val="11"/>
      <name val="宋体"/>
      <charset val="134"/>
    </font>
    <font>
      <b/>
      <sz val="11"/>
      <name val="Times New Roman"/>
      <charset val="134"/>
    </font>
    <font>
      <sz val="11"/>
      <name val="Times New Roman"/>
      <charset val="134"/>
    </font>
    <font>
      <sz val="10"/>
      <name val="宋体"/>
      <charset val="134"/>
    </font>
    <font>
      <b/>
      <sz val="10"/>
      <name val="宋体"/>
      <charset val="134"/>
    </font>
    <font>
      <b/>
      <sz val="10"/>
      <name val="Times New Roman"/>
      <charset val="134"/>
    </font>
    <font>
      <sz val="10"/>
      <name val="Times New Roman"/>
      <charset val="134"/>
    </font>
    <font>
      <sz val="10.5"/>
      <name val="宋体"/>
      <charset val="134"/>
    </font>
    <font>
      <b/>
      <sz val="18"/>
      <name val="宋体"/>
      <charset val="134"/>
    </font>
    <font>
      <b/>
      <sz val="12"/>
      <name val="宋体"/>
      <charset val="134"/>
    </font>
    <font>
      <sz val="9"/>
      <name val="宋体"/>
      <charset val="134"/>
    </font>
    <font>
      <sz val="10"/>
      <name val="文鼎中宋"/>
      <charset val="134"/>
    </font>
    <font>
      <sz val="9"/>
      <name val="文鼎中宋"/>
      <charset val="134"/>
    </font>
    <font>
      <sz val="9"/>
      <name val="Times New Roman"/>
      <charset val="134"/>
    </font>
    <font>
      <sz val="16"/>
      <name val="宋体"/>
      <charset val="134"/>
    </font>
    <font>
      <sz val="16"/>
      <name val="黑体"/>
      <charset val="134"/>
    </font>
    <font>
      <b/>
      <sz val="16"/>
      <name val="宋体"/>
      <charset val="134"/>
    </font>
    <font>
      <b/>
      <sz val="14"/>
      <name val="Times New Roman"/>
      <charset val="134"/>
    </font>
    <font>
      <b/>
      <sz val="10.5"/>
      <name val="宋体"/>
      <charset val="134"/>
    </font>
    <font>
      <sz val="10.5"/>
      <name val="Times New Roman"/>
      <charset val="134"/>
    </font>
    <font>
      <sz val="10"/>
      <color indexed="8"/>
      <name val="宋体"/>
      <charset val="134"/>
    </font>
    <font>
      <sz val="10"/>
      <color rgb="FF000000"/>
      <name val="宋体"/>
      <charset val="134"/>
    </font>
    <font>
      <b/>
      <sz val="12"/>
      <name val="Times New Roman"/>
      <charset val="134"/>
    </font>
    <font>
      <sz val="12"/>
      <name val="微软雅黑"/>
      <charset val="134"/>
    </font>
    <font>
      <sz val="10"/>
      <name val="微软雅黑"/>
      <charset val="134"/>
    </font>
    <font>
      <b/>
      <sz val="16"/>
      <name val="微软雅黑"/>
      <charset val="134"/>
    </font>
    <font>
      <b/>
      <sz val="12"/>
      <name val="微软雅黑"/>
      <charset val="134"/>
    </font>
    <font>
      <sz val="14"/>
      <name val="微软雅黑"/>
      <charset val="134"/>
    </font>
    <font>
      <sz val="10"/>
      <color indexed="10"/>
      <name val="宋体"/>
      <charset val="134"/>
    </font>
    <font>
      <b/>
      <sz val="10.5"/>
      <color indexed="10"/>
      <name val="宋体"/>
      <charset val="134"/>
    </font>
    <font>
      <sz val="10.5"/>
      <color indexed="10"/>
      <name val="宋体"/>
      <charset val="134"/>
    </font>
    <font>
      <sz val="12"/>
      <name val="宋体"/>
      <charset val="134"/>
      <scheme val="minor"/>
    </font>
    <font>
      <b/>
      <sz val="16"/>
      <name val="宋体"/>
      <charset val="134"/>
      <scheme val="minor"/>
    </font>
    <font>
      <sz val="10"/>
      <name val="宋体"/>
      <charset val="134"/>
      <scheme val="minor"/>
    </font>
    <font>
      <sz val="16"/>
      <name val="宋体"/>
      <charset val="134"/>
      <scheme val="minor"/>
    </font>
    <font>
      <sz val="11"/>
      <name val="仿宋"/>
      <charset val="134"/>
    </font>
    <font>
      <sz val="9.6"/>
      <color rgb="FF000000"/>
      <name val="宋体"/>
      <charset val="134"/>
      <scheme val="minor"/>
    </font>
    <font>
      <sz val="14"/>
      <name val="Times New Roman"/>
      <charset val="134"/>
    </font>
    <font>
      <sz val="10"/>
      <name val="仿宋_GB2312"/>
      <charset val="134"/>
    </font>
    <font>
      <b/>
      <sz val="12"/>
      <color indexed="10"/>
      <name val="宋体"/>
      <charset val="134"/>
    </font>
    <font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9"/>
      <color theme="1"/>
      <name val="宋体"/>
      <charset val="134"/>
    </font>
    <font>
      <sz val="9"/>
      <color theme="1"/>
      <name val="宋体"/>
      <charset val="134"/>
    </font>
    <font>
      <sz val="14"/>
      <name val="宋体"/>
      <charset val="134"/>
    </font>
    <font>
      <sz val="10.5"/>
      <color theme="1"/>
      <name val="微软雅黑"/>
      <charset val="134"/>
    </font>
    <font>
      <b/>
      <sz val="10.5"/>
      <name val="微软雅黑"/>
      <charset val="134"/>
    </font>
    <font>
      <b/>
      <sz val="10.5"/>
      <color theme="1"/>
      <name val="微软雅黑"/>
      <charset val="134"/>
    </font>
    <font>
      <sz val="10.5"/>
      <name val="微软雅黑"/>
      <charset val="134"/>
    </font>
    <font>
      <b/>
      <sz val="18"/>
      <name val="微软雅黑"/>
      <charset val="134"/>
    </font>
    <font>
      <b/>
      <sz val="10.5"/>
      <color theme="1"/>
      <name val="宋体"/>
      <charset val="134"/>
    </font>
    <font>
      <sz val="10.5"/>
      <color rgb="FFFF0000"/>
      <name val="微软雅黑"/>
      <charset val="134"/>
    </font>
    <font>
      <b/>
      <sz val="10"/>
      <color theme="1"/>
      <name val="宋体"/>
      <charset val="134"/>
    </font>
    <font>
      <sz val="10.5"/>
      <color indexed="8"/>
      <name val="微软雅黑"/>
      <charset val="134"/>
    </font>
    <font>
      <sz val="11"/>
      <color theme="1"/>
      <name val="微软雅黑"/>
      <charset val="134"/>
    </font>
    <font>
      <b/>
      <sz val="16"/>
      <color indexed="8"/>
      <name val="宋体"/>
      <charset val="134"/>
    </font>
    <font>
      <sz val="9"/>
      <color indexed="8"/>
      <name val="仿宋_GB2312"/>
      <charset val="134"/>
    </font>
    <font>
      <sz val="10.5"/>
      <color rgb="FF000000"/>
      <name val="宋体"/>
      <charset val="134"/>
    </font>
    <font>
      <sz val="10.5"/>
      <color indexed="8"/>
      <name val="宋体"/>
      <charset val="134"/>
    </font>
    <font>
      <sz val="10.5"/>
      <color theme="1"/>
      <name val="宋体"/>
      <charset val="134"/>
    </font>
    <font>
      <b/>
      <sz val="16"/>
      <color theme="1"/>
      <name val="宋体"/>
      <charset val="134"/>
    </font>
    <font>
      <b/>
      <sz val="10.5"/>
      <color rgb="FF000000"/>
      <name val="宋体"/>
      <charset val="134"/>
    </font>
    <font>
      <b/>
      <sz val="10.5"/>
      <color indexed="8"/>
      <name val="宋体"/>
      <charset val="134"/>
    </font>
    <font>
      <sz val="10.5"/>
      <color theme="1"/>
      <name val="宋体"/>
      <charset val="134"/>
      <scheme val="minor"/>
    </font>
    <font>
      <sz val="11"/>
      <color theme="1"/>
      <name val="宋体"/>
      <charset val="134"/>
    </font>
    <font>
      <b/>
      <sz val="10"/>
      <color indexed="8"/>
      <name val="宋体"/>
      <charset val="134"/>
    </font>
    <font>
      <sz val="10"/>
      <color indexed="8"/>
      <name val="仿宋_GB2312"/>
      <charset val="134"/>
    </font>
    <font>
      <sz val="11"/>
      <color indexed="8"/>
      <name val="等线"/>
      <charset val="134"/>
    </font>
    <font>
      <b/>
      <sz val="18"/>
      <name val="Times New Roman"/>
      <charset val="134"/>
    </font>
    <font>
      <b/>
      <sz val="10.5"/>
      <name val="宋体"/>
      <charset val="134"/>
      <scheme val="minor"/>
    </font>
    <font>
      <sz val="10.5"/>
      <name val="宋体"/>
      <charset val="134"/>
      <scheme val="minor"/>
    </font>
    <font>
      <b/>
      <sz val="18"/>
      <name val="宋体"/>
      <charset val="134"/>
      <scheme val="minor"/>
    </font>
    <font>
      <b/>
      <sz val="10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8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9"/>
      <name val="宋体"/>
      <charset val="134"/>
      <scheme val="minor"/>
    </font>
    <font>
      <sz val="10"/>
      <color theme="1"/>
      <name val="宋体"/>
      <charset val="134"/>
      <scheme val="minor"/>
    </font>
    <font>
      <sz val="11"/>
      <color rgb="FF000000"/>
      <name val="宋体"/>
      <charset val="134"/>
    </font>
    <font>
      <sz val="11"/>
      <color indexed="8"/>
      <name val="宋体"/>
      <charset val="134"/>
      <scheme val="minor"/>
    </font>
    <font>
      <sz val="11"/>
      <name val="宋体"/>
      <charset val="134"/>
      <scheme val="minor"/>
    </font>
    <font>
      <b/>
      <sz val="10"/>
      <color rgb="FF000000"/>
      <name val="宋体"/>
      <charset val="134"/>
      <scheme val="minor"/>
    </font>
    <font>
      <sz val="10"/>
      <color indexed="8"/>
      <name val="宋体"/>
      <charset val="134"/>
      <scheme val="minor"/>
    </font>
    <font>
      <sz val="10"/>
      <color rgb="FF00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b/>
      <sz val="11"/>
      <color indexed="52"/>
      <name val="宋体"/>
      <charset val="134"/>
    </font>
    <font>
      <b/>
      <sz val="11"/>
      <color indexed="63"/>
      <name val="宋体"/>
      <charset val="134"/>
    </font>
    <font>
      <sz val="10"/>
      <name val="Arial"/>
      <charset val="134"/>
    </font>
    <font>
      <sz val="11"/>
      <color indexed="60"/>
      <name val="宋体"/>
      <charset val="134"/>
    </font>
    <font>
      <b/>
      <sz val="13"/>
      <color indexed="56"/>
      <name val="宋体"/>
      <charset val="134"/>
    </font>
    <font>
      <sz val="11"/>
      <color indexed="9"/>
      <name val="宋体"/>
      <charset val="134"/>
    </font>
    <font>
      <sz val="9"/>
      <color theme="1"/>
      <name val="宋体"/>
      <charset val="134"/>
      <scheme val="minor"/>
    </font>
    <font>
      <sz val="10"/>
      <name val="Geneva"/>
      <charset val="134"/>
    </font>
    <font>
      <b/>
      <sz val="15"/>
      <color indexed="56"/>
      <name val="宋体"/>
      <charset val="134"/>
    </font>
    <font>
      <b/>
      <sz val="11"/>
      <color indexed="56"/>
      <name val="宋体"/>
      <charset val="134"/>
    </font>
    <font>
      <b/>
      <sz val="18"/>
      <color indexed="56"/>
      <name val="宋体"/>
      <charset val="134"/>
    </font>
    <font>
      <sz val="11"/>
      <color indexed="20"/>
      <name val="宋体"/>
      <charset val="134"/>
    </font>
    <font>
      <u/>
      <sz val="12"/>
      <color indexed="12"/>
      <name val="宋体"/>
      <charset val="134"/>
    </font>
    <font>
      <sz val="11"/>
      <color indexed="17"/>
      <name val="宋体"/>
      <charset val="134"/>
    </font>
    <font>
      <b/>
      <sz val="11"/>
      <color indexed="8"/>
      <name val="宋体"/>
      <charset val="134"/>
    </font>
    <font>
      <b/>
      <sz val="11"/>
      <color indexed="9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sz val="11"/>
      <color indexed="52"/>
      <name val="宋体"/>
      <charset val="134"/>
    </font>
    <font>
      <sz val="11"/>
      <color indexed="62"/>
      <name val="宋体"/>
      <charset val="134"/>
    </font>
    <font>
      <vertAlign val="superscript"/>
      <sz val="10"/>
      <name val="宋体"/>
      <charset val="134"/>
    </font>
    <font>
      <vertAlign val="superscript"/>
      <sz val="9"/>
      <name val="宋体"/>
      <charset val="134"/>
    </font>
    <font>
      <vertAlign val="superscript"/>
      <sz val="10"/>
      <name val="文鼎中宋"/>
      <charset val="134"/>
    </font>
    <font>
      <vertAlign val="superscript"/>
      <sz val="9"/>
      <name val="文鼎中宋"/>
      <charset val="134"/>
    </font>
    <font>
      <vertAlign val="superscript"/>
      <sz val="10"/>
      <name val="Times New Roman"/>
      <charset val="134"/>
    </font>
    <font>
      <b/>
      <sz val="14"/>
      <name val="黑体"/>
      <charset val="134"/>
    </font>
    <font>
      <u/>
      <sz val="10"/>
      <name val="宋体"/>
      <charset val="134"/>
    </font>
    <font>
      <vertAlign val="superscript"/>
      <sz val="10.5"/>
      <name val="Times New Roman"/>
      <charset val="134"/>
    </font>
    <font>
      <b/>
      <vertAlign val="superscript"/>
      <sz val="10"/>
      <name val="Times New Roman"/>
      <charset val="134"/>
    </font>
    <font>
      <vertAlign val="superscript"/>
      <sz val="10.5"/>
      <name val="宋体"/>
      <charset val="134"/>
    </font>
    <font>
      <vertAlign val="superscript"/>
      <sz val="10"/>
      <name val="宋体"/>
      <charset val="134"/>
      <scheme val="minor"/>
    </font>
    <font>
      <vertAlign val="superscript"/>
      <sz val="10.5"/>
      <name val="微软雅黑"/>
      <charset val="134"/>
    </font>
    <font>
      <vertAlign val="superscript"/>
      <sz val="10.5"/>
      <color theme="1"/>
      <name val="微软雅黑"/>
      <charset val="134"/>
    </font>
    <font>
      <sz val="9"/>
      <name val="仿宋_GB2312"/>
      <charset val="134"/>
    </font>
    <font>
      <sz val="9"/>
      <name val="宋体"/>
      <charset val="134"/>
    </font>
  </fonts>
  <fills count="67">
    <fill>
      <patternFill patternType="none"/>
    </fill>
    <fill>
      <patternFill patternType="gray125"/>
    </fill>
    <fill>
      <patternFill patternType="solid">
        <fgColor indexed="1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39991454817346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</fills>
  <borders count="4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</borders>
  <cellStyleXfs count="165">
    <xf numFmtId="0" fontId="0" fillId="0" borderId="0"/>
    <xf numFmtId="43" fontId="44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41" fontId="44" fillId="0" borderId="0" applyFont="0" applyFill="0" applyBorder="0" applyAlignment="0" applyProtection="0">
      <alignment vertical="center"/>
    </xf>
    <xf numFmtId="42" fontId="44" fillId="0" borderId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4" fillId="23" borderId="23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3" fillId="0" borderId="24" applyNumberFormat="0" applyFill="0" applyAlignment="0" applyProtection="0">
      <alignment vertical="center"/>
    </xf>
    <xf numFmtId="0" fontId="94" fillId="0" borderId="24" applyNumberFormat="0" applyFill="0" applyAlignment="0" applyProtection="0">
      <alignment vertical="center"/>
    </xf>
    <xf numFmtId="0" fontId="95" fillId="0" borderId="25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6" fillId="24" borderId="26" applyNumberFormat="0" applyAlignment="0" applyProtection="0">
      <alignment vertical="center"/>
    </xf>
    <xf numFmtId="0" fontId="97" fillId="25" borderId="27" applyNumberFormat="0" applyAlignment="0" applyProtection="0">
      <alignment vertical="center"/>
    </xf>
    <xf numFmtId="0" fontId="98" fillId="25" borderId="26" applyNumberFormat="0" applyAlignment="0" applyProtection="0">
      <alignment vertical="center"/>
    </xf>
    <xf numFmtId="0" fontId="99" fillId="26" borderId="28" applyNumberFormat="0" applyAlignment="0" applyProtection="0">
      <alignment vertical="center"/>
    </xf>
    <xf numFmtId="0" fontId="100" fillId="0" borderId="29" applyNumberFormat="0" applyFill="0" applyAlignment="0" applyProtection="0">
      <alignment vertical="center"/>
    </xf>
    <xf numFmtId="0" fontId="101" fillId="0" borderId="30" applyNumberFormat="0" applyFill="0" applyAlignment="0" applyProtection="0">
      <alignment vertical="center"/>
    </xf>
    <xf numFmtId="0" fontId="102" fillId="27" borderId="0" applyNumberFormat="0" applyBorder="0" applyAlignment="0" applyProtection="0">
      <alignment vertical="center"/>
    </xf>
    <xf numFmtId="0" fontId="103" fillId="28" borderId="0" applyNumberFormat="0" applyBorder="0" applyAlignment="0" applyProtection="0">
      <alignment vertical="center"/>
    </xf>
    <xf numFmtId="0" fontId="104" fillId="29" borderId="0" applyNumberFormat="0" applyBorder="0" applyAlignment="0" applyProtection="0">
      <alignment vertical="center"/>
    </xf>
    <xf numFmtId="0" fontId="105" fillId="30" borderId="0" applyNumberFormat="0" applyBorder="0" applyAlignment="0" applyProtection="0">
      <alignment vertical="center"/>
    </xf>
    <xf numFmtId="0" fontId="106" fillId="31" borderId="0" applyNumberFormat="0" applyBorder="0" applyAlignment="0" applyProtection="0">
      <alignment vertical="center"/>
    </xf>
    <xf numFmtId="0" fontId="106" fillId="32" borderId="0" applyNumberFormat="0" applyBorder="0" applyAlignment="0" applyProtection="0">
      <alignment vertical="center"/>
    </xf>
    <xf numFmtId="0" fontId="105" fillId="33" borderId="0" applyNumberFormat="0" applyBorder="0" applyAlignment="0" applyProtection="0">
      <alignment vertical="center"/>
    </xf>
    <xf numFmtId="0" fontId="105" fillId="34" borderId="0" applyNumberFormat="0" applyBorder="0" applyAlignment="0" applyProtection="0">
      <alignment vertical="center"/>
    </xf>
    <xf numFmtId="0" fontId="106" fillId="35" borderId="0" applyNumberFormat="0" applyBorder="0" applyAlignment="0" applyProtection="0">
      <alignment vertical="center"/>
    </xf>
    <xf numFmtId="0" fontId="106" fillId="19" borderId="0" applyNumberFormat="0" applyBorder="0" applyAlignment="0" applyProtection="0">
      <alignment vertical="center"/>
    </xf>
    <xf numFmtId="0" fontId="105" fillId="36" borderId="0" applyNumberFormat="0" applyBorder="0" applyAlignment="0" applyProtection="0">
      <alignment vertical="center"/>
    </xf>
    <xf numFmtId="0" fontId="105" fillId="37" borderId="0" applyNumberFormat="0" applyBorder="0" applyAlignment="0" applyProtection="0">
      <alignment vertical="center"/>
    </xf>
    <xf numFmtId="0" fontId="106" fillId="38" borderId="0" applyNumberFormat="0" applyBorder="0" applyAlignment="0" applyProtection="0">
      <alignment vertical="center"/>
    </xf>
    <xf numFmtId="0" fontId="106" fillId="39" borderId="0" applyNumberFormat="0" applyBorder="0" applyAlignment="0" applyProtection="0">
      <alignment vertical="center"/>
    </xf>
    <xf numFmtId="0" fontId="105" fillId="40" borderId="0" applyNumberFormat="0" applyBorder="0" applyAlignment="0" applyProtection="0">
      <alignment vertical="center"/>
    </xf>
    <xf numFmtId="0" fontId="105" fillId="41" borderId="0" applyNumberFormat="0" applyBorder="0" applyAlignment="0" applyProtection="0">
      <alignment vertical="center"/>
    </xf>
    <xf numFmtId="0" fontId="106" fillId="42" borderId="0" applyNumberFormat="0" applyBorder="0" applyAlignment="0" applyProtection="0">
      <alignment vertical="center"/>
    </xf>
    <xf numFmtId="0" fontId="106" fillId="43" borderId="0" applyNumberFormat="0" applyBorder="0" applyAlignment="0" applyProtection="0">
      <alignment vertical="center"/>
    </xf>
    <xf numFmtId="0" fontId="105" fillId="44" borderId="0" applyNumberFormat="0" applyBorder="0" applyAlignment="0" applyProtection="0">
      <alignment vertical="center"/>
    </xf>
    <xf numFmtId="0" fontId="105" fillId="45" borderId="0" applyNumberFormat="0" applyBorder="0" applyAlignment="0" applyProtection="0">
      <alignment vertical="center"/>
    </xf>
    <xf numFmtId="0" fontId="106" fillId="46" borderId="0" applyNumberFormat="0" applyBorder="0" applyAlignment="0" applyProtection="0">
      <alignment vertical="center"/>
    </xf>
    <xf numFmtId="0" fontId="106" fillId="47" borderId="0" applyNumberFormat="0" applyBorder="0" applyAlignment="0" applyProtection="0">
      <alignment vertical="center"/>
    </xf>
    <xf numFmtId="0" fontId="105" fillId="48" borderId="0" applyNumberFormat="0" applyBorder="0" applyAlignment="0" applyProtection="0">
      <alignment vertical="center"/>
    </xf>
    <xf numFmtId="0" fontId="105" fillId="49" borderId="0" applyNumberFormat="0" applyBorder="0" applyAlignment="0" applyProtection="0">
      <alignment vertical="center"/>
    </xf>
    <xf numFmtId="0" fontId="106" fillId="50" borderId="0" applyNumberFormat="0" applyBorder="0" applyAlignment="0" applyProtection="0">
      <alignment vertical="center"/>
    </xf>
    <xf numFmtId="0" fontId="106" fillId="51" borderId="0" applyNumberFormat="0" applyBorder="0" applyAlignment="0" applyProtection="0">
      <alignment vertical="center"/>
    </xf>
    <xf numFmtId="0" fontId="105" fillId="52" borderId="0" applyNumberFormat="0" applyBorder="0" applyAlignment="0" applyProtection="0">
      <alignment vertical="center"/>
    </xf>
    <xf numFmtId="0" fontId="0" fillId="0" borderId="0"/>
    <xf numFmtId="0" fontId="107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108" fillId="54" borderId="31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/>
    <xf numFmtId="9" fontId="0" fillId="0" borderId="0" applyFont="0" applyFill="0" applyBorder="0" applyAlignment="0" applyProtection="0"/>
    <xf numFmtId="0" fontId="0" fillId="0" borderId="0"/>
    <xf numFmtId="0" fontId="107" fillId="55" borderId="0" applyNumberFormat="0" applyBorder="0" applyAlignment="0" applyProtection="0">
      <alignment vertical="center"/>
    </xf>
    <xf numFmtId="0" fontId="109" fillId="54" borderId="32" applyNumberFormat="0" applyAlignment="0" applyProtection="0">
      <alignment vertical="center"/>
    </xf>
    <xf numFmtId="0" fontId="110" fillId="0" borderId="0"/>
    <xf numFmtId="0" fontId="0" fillId="0" borderId="0">
      <alignment vertical="center"/>
    </xf>
    <xf numFmtId="0" fontId="0" fillId="0" borderId="0"/>
    <xf numFmtId="0" fontId="107" fillId="56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0" fillId="0" borderId="0"/>
    <xf numFmtId="0" fontId="112" fillId="0" borderId="33" applyNumberFormat="0" applyFill="0" applyAlignment="0" applyProtection="0">
      <alignment vertical="center"/>
    </xf>
    <xf numFmtId="0" fontId="110" fillId="0" borderId="0"/>
    <xf numFmtId="0" fontId="107" fillId="8" borderId="0" applyNumberFormat="0" applyBorder="0" applyAlignment="0" applyProtection="0">
      <alignment vertical="center"/>
    </xf>
    <xf numFmtId="0" fontId="107" fillId="5" borderId="0" applyNumberFormat="0" applyBorder="0" applyAlignment="0" applyProtection="0">
      <alignment vertical="center"/>
    </xf>
    <xf numFmtId="0" fontId="107" fillId="7" borderId="0" applyNumberFormat="0" applyBorder="0" applyAlignment="0" applyProtection="0">
      <alignment vertical="center"/>
    </xf>
    <xf numFmtId="0" fontId="107" fillId="55" borderId="0" applyNumberFormat="0" applyBorder="0" applyAlignment="0" applyProtection="0">
      <alignment vertical="center"/>
    </xf>
    <xf numFmtId="0" fontId="0" fillId="0" borderId="0"/>
    <xf numFmtId="0" fontId="107" fillId="57" borderId="0" applyNumberFormat="0" applyBorder="0" applyAlignment="0" applyProtection="0">
      <alignment vertical="center"/>
    </xf>
    <xf numFmtId="0" fontId="107" fillId="5" borderId="0" applyNumberFormat="0" applyBorder="0" applyAlignment="0" applyProtection="0">
      <alignment vertical="center"/>
    </xf>
    <xf numFmtId="0" fontId="107" fillId="56" borderId="0" applyNumberFormat="0" applyBorder="0" applyAlignment="0" applyProtection="0">
      <alignment vertical="center"/>
    </xf>
    <xf numFmtId="0" fontId="107" fillId="58" borderId="0" applyNumberFormat="0" applyBorder="0" applyAlignment="0" applyProtection="0">
      <alignment vertical="center"/>
    </xf>
    <xf numFmtId="0" fontId="107" fillId="12" borderId="0" applyNumberFormat="0" applyBorder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107" fillId="58" borderId="0" applyNumberFormat="0" applyBorder="0" applyAlignment="0" applyProtection="0">
      <alignment vertical="center"/>
    </xf>
    <xf numFmtId="0" fontId="107" fillId="59" borderId="0" applyNumberFormat="0" applyBorder="0" applyAlignment="0" applyProtection="0">
      <alignment vertical="center"/>
    </xf>
    <xf numFmtId="0" fontId="113" fillId="60" borderId="0" applyNumberFormat="0" applyBorder="0" applyAlignment="0" applyProtection="0">
      <alignment vertical="center"/>
    </xf>
    <xf numFmtId="0" fontId="113" fillId="12" borderId="0" applyNumberFormat="0" applyBorder="0" applyAlignment="0" applyProtection="0">
      <alignment vertical="center"/>
    </xf>
    <xf numFmtId="0" fontId="0" fillId="0" borderId="0" applyBorder="0">
      <alignment vertical="center"/>
    </xf>
    <xf numFmtId="0" fontId="107" fillId="0" borderId="0">
      <alignment vertical="center"/>
    </xf>
    <xf numFmtId="0" fontId="113" fillId="16" borderId="0" applyNumberFormat="0" applyBorder="0" applyAlignment="0" applyProtection="0">
      <alignment vertical="center"/>
    </xf>
    <xf numFmtId="0" fontId="113" fillId="61" borderId="0" applyNumberFormat="0" applyBorder="0" applyAlignment="0" applyProtection="0">
      <alignment vertical="center"/>
    </xf>
    <xf numFmtId="0" fontId="113" fillId="62" borderId="0" applyNumberFormat="0" applyBorder="0" applyAlignment="0" applyProtection="0">
      <alignment vertical="center"/>
    </xf>
    <xf numFmtId="0" fontId="113" fillId="11" borderId="0" applyNumberFormat="0" applyBorder="0" applyAlignment="0" applyProtection="0">
      <alignment vertical="center"/>
    </xf>
    <xf numFmtId="0" fontId="110" fillId="0" borderId="0"/>
    <xf numFmtId="0" fontId="114" fillId="0" borderId="0"/>
    <xf numFmtId="9" fontId="0" fillId="0" borderId="0" applyFont="0" applyFill="0" applyBorder="0" applyAlignment="0" applyProtection="0"/>
    <xf numFmtId="0" fontId="115" fillId="0" borderId="0">
      <protection locked="0"/>
    </xf>
    <xf numFmtId="9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0" fontId="116" fillId="0" borderId="34" applyNumberFormat="0" applyFill="0" applyAlignment="0" applyProtection="0">
      <alignment vertical="center"/>
    </xf>
    <xf numFmtId="0" fontId="117" fillId="0" borderId="35" applyNumberFormat="0" applyFill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9" fillId="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07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71" fillId="0" borderId="0">
      <alignment vertical="center"/>
    </xf>
    <xf numFmtId="0" fontId="0" fillId="0" borderId="0" applyBorder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56" borderId="36" applyNumberFormat="0" applyFont="0" applyAlignment="0" applyProtection="0">
      <alignment vertical="center"/>
    </xf>
    <xf numFmtId="0" fontId="107" fillId="0" borderId="0"/>
    <xf numFmtId="0" fontId="0" fillId="0" borderId="0"/>
    <xf numFmtId="0" fontId="0" fillId="0" borderId="0"/>
    <xf numFmtId="0" fontId="0" fillId="0" borderId="0">
      <alignment vertical="center"/>
    </xf>
    <xf numFmtId="0" fontId="115" fillId="0" borderId="0"/>
    <xf numFmtId="0" fontId="0" fillId="0" borderId="0"/>
    <xf numFmtId="0" fontId="0" fillId="0" borderId="0"/>
    <xf numFmtId="0" fontId="0" fillId="0" borderId="0"/>
    <xf numFmtId="0" fontId="1" fillId="0" borderId="0"/>
    <xf numFmtId="0" fontId="0" fillId="0" borderId="0"/>
    <xf numFmtId="0" fontId="0" fillId="0" borderId="0">
      <alignment vertical="center"/>
    </xf>
    <xf numFmtId="0" fontId="0" fillId="0" borderId="0"/>
    <xf numFmtId="0" fontId="120" fillId="0" borderId="0" applyNumberFormat="0" applyFill="0" applyBorder="0" applyAlignment="0" applyProtection="0">
      <alignment vertical="top"/>
      <protection locked="0"/>
    </xf>
    <xf numFmtId="0" fontId="121" fillId="7" borderId="0" applyNumberFormat="0" applyBorder="0" applyAlignment="0" applyProtection="0">
      <alignment vertical="center"/>
    </xf>
    <xf numFmtId="0" fontId="122" fillId="0" borderId="37" applyNumberFormat="0" applyFill="0" applyAlignment="0" applyProtection="0">
      <alignment vertical="center"/>
    </xf>
    <xf numFmtId="176" fontId="0" fillId="0" borderId="0" applyFont="0" applyFill="0" applyBorder="0" applyAlignment="0" applyProtection="0"/>
    <xf numFmtId="0" fontId="123" fillId="63" borderId="38" applyNumberFormat="0" applyAlignment="0" applyProtection="0">
      <alignment vertical="center"/>
    </xf>
    <xf numFmtId="0" fontId="124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126" fillId="0" borderId="39" applyNumberFormat="0" applyFill="0" applyAlignment="0" applyProtection="0">
      <alignment vertical="center"/>
    </xf>
    <xf numFmtId="43" fontId="0" fillId="0" borderId="0" applyFont="0" applyFill="0" applyBorder="0" applyAlignment="0" applyProtection="0"/>
    <xf numFmtId="0" fontId="113" fillId="64" borderId="0" applyNumberFormat="0" applyBorder="0" applyAlignment="0" applyProtection="0">
      <alignment vertical="center"/>
    </xf>
    <xf numFmtId="0" fontId="113" fillId="14" borderId="0" applyNumberFormat="0" applyBorder="0" applyAlignment="0" applyProtection="0">
      <alignment vertical="center"/>
    </xf>
    <xf numFmtId="0" fontId="113" fillId="65" borderId="0" applyNumberFormat="0" applyBorder="0" applyAlignment="0" applyProtection="0">
      <alignment vertical="center"/>
    </xf>
    <xf numFmtId="0" fontId="113" fillId="61" borderId="0" applyNumberFormat="0" applyBorder="0" applyAlignment="0" applyProtection="0">
      <alignment vertical="center"/>
    </xf>
    <xf numFmtId="0" fontId="113" fillId="62" borderId="0" applyNumberFormat="0" applyBorder="0" applyAlignment="0" applyProtection="0">
      <alignment vertical="center"/>
    </xf>
    <xf numFmtId="0" fontId="113" fillId="66" borderId="0" applyNumberFormat="0" applyBorder="0" applyAlignment="0" applyProtection="0">
      <alignment vertical="center"/>
    </xf>
    <xf numFmtId="0" fontId="127" fillId="5" borderId="31" applyNumberFormat="0" applyAlignment="0" applyProtection="0">
      <alignment vertical="center"/>
    </xf>
    <xf numFmtId="0" fontId="115" fillId="0" borderId="0"/>
    <xf numFmtId="0" fontId="115" fillId="0" borderId="0">
      <alignment vertical="center"/>
    </xf>
    <xf numFmtId="0" fontId="0" fillId="0" borderId="0"/>
    <xf numFmtId="0" fontId="0" fillId="0" borderId="0"/>
  </cellStyleXfs>
  <cellXfs count="942">
    <xf numFmtId="0" fontId="0" fillId="0" borderId="0" xfId="0"/>
    <xf numFmtId="0" fontId="1" fillId="0" borderId="0" xfId="0" applyFont="1"/>
    <xf numFmtId="0" fontId="2" fillId="0" borderId="0" xfId="141" applyFont="1"/>
    <xf numFmtId="0" fontId="0" fillId="0" borderId="0" xfId="141" applyFont="1"/>
    <xf numFmtId="0" fontId="3" fillId="0" borderId="0" xfId="141" applyFont="1"/>
    <xf numFmtId="0" fontId="3" fillId="0" borderId="0" xfId="141" applyFont="1" applyAlignment="1">
      <alignment horizontal="right"/>
    </xf>
    <xf numFmtId="0" fontId="3" fillId="2" borderId="1" xfId="141" applyFont="1" applyFill="1" applyBorder="1"/>
    <xf numFmtId="0" fontId="4" fillId="3" borderId="1" xfId="141" applyFont="1" applyFill="1" applyBorder="1" applyAlignment="1">
      <alignment horizontal="center" wrapText="1"/>
    </xf>
    <xf numFmtId="0" fontId="4" fillId="4" borderId="2" xfId="141" applyFont="1" applyFill="1" applyBorder="1" applyAlignment="1">
      <alignment horizontal="center" wrapText="1"/>
    </xf>
    <xf numFmtId="0" fontId="5" fillId="3" borderId="1" xfId="141" applyFont="1" applyFill="1" applyBorder="1" applyAlignment="1">
      <alignment horizontal="center" wrapText="1"/>
    </xf>
    <xf numFmtId="0" fontId="3" fillId="3" borderId="1" xfId="141" applyFont="1" applyFill="1" applyBorder="1" applyAlignment="1">
      <alignment horizontal="justify" wrapText="1"/>
    </xf>
    <xf numFmtId="0" fontId="6" fillId="5" borderId="1" xfId="141" applyFont="1" applyFill="1" applyBorder="1" applyAlignment="1">
      <alignment horizontal="right" wrapText="1"/>
    </xf>
    <xf numFmtId="0" fontId="6" fillId="4" borderId="1" xfId="141" applyFont="1" applyFill="1" applyBorder="1" applyAlignment="1">
      <alignment horizontal="right" wrapText="1"/>
    </xf>
    <xf numFmtId="0" fontId="4" fillId="3" borderId="3" xfId="141" applyFont="1" applyFill="1" applyBorder="1" applyAlignment="1">
      <alignment horizontal="center" wrapText="1"/>
    </xf>
    <xf numFmtId="0" fontId="4" fillId="3" borderId="4" xfId="141" applyFont="1" applyFill="1" applyBorder="1" applyAlignment="1">
      <alignment horizontal="center" wrapText="1"/>
    </xf>
    <xf numFmtId="0" fontId="7" fillId="6" borderId="1" xfId="141" applyFont="1" applyFill="1" applyBorder="1" applyAlignment="1">
      <alignment horizontal="center" vertical="center"/>
    </xf>
    <xf numFmtId="0" fontId="7" fillId="6" borderId="5" xfId="141" applyFont="1" applyFill="1" applyBorder="1" applyAlignment="1">
      <alignment horizontal="center" vertical="center"/>
    </xf>
    <xf numFmtId="0" fontId="7" fillId="6" borderId="6" xfId="141" applyFont="1" applyFill="1" applyBorder="1" applyAlignment="1">
      <alignment horizontal="center" vertical="center"/>
    </xf>
    <xf numFmtId="0" fontId="7" fillId="2" borderId="1" xfId="141" applyFont="1" applyFill="1" applyBorder="1" applyAlignment="1">
      <alignment horizontal="center" vertical="center"/>
    </xf>
    <xf numFmtId="0" fontId="6" fillId="2" borderId="1" xfId="141" applyFont="1" applyFill="1" applyBorder="1" applyAlignment="1">
      <alignment horizontal="right" wrapText="1"/>
    </xf>
    <xf numFmtId="0" fontId="7" fillId="6" borderId="7" xfId="141" applyFont="1" applyFill="1" applyBorder="1" applyAlignment="1">
      <alignment horizontal="center" vertical="center"/>
    </xf>
    <xf numFmtId="0" fontId="7" fillId="6" borderId="1" xfId="141" applyFont="1" applyFill="1" applyBorder="1" applyAlignment="1">
      <alignment vertical="center"/>
    </xf>
    <xf numFmtId="177" fontId="3" fillId="0" borderId="8" xfId="141" applyNumberFormat="1" applyFont="1" applyBorder="1" applyAlignment="1">
      <alignment horizontal="center"/>
    </xf>
    <xf numFmtId="0" fontId="8" fillId="3" borderId="1" xfId="141" applyFont="1" applyFill="1" applyBorder="1" applyAlignment="1">
      <alignment horizontal="center" wrapText="1"/>
    </xf>
    <xf numFmtId="0" fontId="9" fillId="3" borderId="7" xfId="141" applyFont="1" applyFill="1" applyBorder="1" applyAlignment="1">
      <alignment horizontal="center" wrapText="1"/>
    </xf>
    <xf numFmtId="0" fontId="7" fillId="7" borderId="1" xfId="141" applyFont="1" applyFill="1" applyBorder="1" applyAlignment="1">
      <alignment horizontal="justify" wrapText="1"/>
    </xf>
    <xf numFmtId="0" fontId="10" fillId="7" borderId="1" xfId="141" applyFont="1" applyFill="1" applyBorder="1" applyAlignment="1">
      <alignment horizontal="right" wrapText="1"/>
    </xf>
    <xf numFmtId="0" fontId="10" fillId="5" borderId="1" xfId="141" applyFont="1" applyFill="1" applyBorder="1" applyAlignment="1">
      <alignment horizontal="right" wrapText="1"/>
    </xf>
    <xf numFmtId="0" fontId="10" fillId="3" borderId="1" xfId="141" applyFont="1" applyFill="1" applyBorder="1" applyAlignment="1">
      <alignment horizontal="right" wrapText="1"/>
    </xf>
    <xf numFmtId="0" fontId="7" fillId="3" borderId="1" xfId="141" applyFont="1" applyFill="1" applyBorder="1"/>
    <xf numFmtId="0" fontId="7" fillId="5" borderId="1" xfId="141" applyFont="1" applyFill="1" applyBorder="1"/>
    <xf numFmtId="0" fontId="7" fillId="3" borderId="1" xfId="141" applyFont="1" applyFill="1" applyBorder="1" applyAlignment="1">
      <alignment horizontal="justify" wrapText="1"/>
    </xf>
    <xf numFmtId="0" fontId="3" fillId="8" borderId="1" xfId="141" applyFont="1" applyFill="1" applyBorder="1"/>
    <xf numFmtId="0" fontId="4" fillId="0" borderId="2" xfId="141" applyFont="1" applyBorder="1" applyAlignment="1">
      <alignment horizontal="center" wrapText="1"/>
    </xf>
    <xf numFmtId="0" fontId="0" fillId="0" borderId="0" xfId="141" applyFont="1" applyAlignment="1">
      <alignment vertical="center"/>
    </xf>
    <xf numFmtId="0" fontId="3" fillId="0" borderId="8" xfId="141" applyFont="1" applyBorder="1" applyAlignment="1">
      <alignment horizontal="center"/>
    </xf>
    <xf numFmtId="0" fontId="7" fillId="7" borderId="1" xfId="141" applyFont="1" applyFill="1" applyBorder="1"/>
    <xf numFmtId="0" fontId="7" fillId="8" borderId="1" xfId="141" applyFont="1" applyFill="1" applyBorder="1"/>
    <xf numFmtId="1" fontId="7" fillId="3" borderId="1" xfId="141" applyNumberFormat="1" applyFont="1" applyFill="1" applyBorder="1" applyAlignment="1">
      <alignment horizontal="center" vertical="center" wrapText="1"/>
    </xf>
    <xf numFmtId="178" fontId="7" fillId="3" borderId="1" xfId="141" applyNumberFormat="1" applyFont="1" applyFill="1" applyBorder="1" applyAlignment="1">
      <alignment horizontal="center" vertical="center"/>
    </xf>
    <xf numFmtId="0" fontId="2" fillId="0" borderId="0" xfId="141" applyFont="1" applyAlignment="1">
      <alignment horizontal="center"/>
    </xf>
    <xf numFmtId="0" fontId="4" fillId="0" borderId="9" xfId="141" applyFont="1" applyBorder="1" applyAlignment="1">
      <alignment horizontal="center"/>
    </xf>
    <xf numFmtId="0" fontId="4" fillId="0" borderId="0" xfId="141" applyFont="1" applyAlignment="1">
      <alignment horizontal="center"/>
    </xf>
    <xf numFmtId="0" fontId="4" fillId="0" borderId="10" xfId="141" applyFont="1" applyBorder="1" applyAlignment="1">
      <alignment horizontal="center" wrapText="1"/>
    </xf>
    <xf numFmtId="0" fontId="4" fillId="0" borderId="11" xfId="141" applyFont="1" applyBorder="1" applyAlignment="1">
      <alignment horizontal="center" wrapText="1"/>
    </xf>
    <xf numFmtId="0" fontId="4" fillId="0" borderId="12" xfId="141" applyFont="1" applyBorder="1" applyAlignment="1">
      <alignment horizontal="center" wrapText="1"/>
    </xf>
    <xf numFmtId="0" fontId="4" fillId="0" borderId="13" xfId="141" applyFont="1" applyBorder="1" applyAlignment="1">
      <alignment horizontal="center" wrapText="1"/>
    </xf>
    <xf numFmtId="179" fontId="6" fillId="2" borderId="1" xfId="141" applyNumberFormat="1" applyFont="1" applyFill="1" applyBorder="1" applyAlignment="1">
      <alignment horizontal="right" wrapText="1"/>
    </xf>
    <xf numFmtId="0" fontId="3" fillId="0" borderId="2" xfId="141" applyFont="1" applyBorder="1" applyAlignment="1">
      <alignment horizontal="center" wrapText="1"/>
    </xf>
    <xf numFmtId="0" fontId="4" fillId="0" borderId="14" xfId="141" applyFont="1" applyBorder="1" applyAlignment="1">
      <alignment horizontal="center" wrapText="1"/>
    </xf>
    <xf numFmtId="0" fontId="11" fillId="0" borderId="1" xfId="141" applyFont="1" applyBorder="1" applyAlignment="1">
      <alignment horizontal="center" wrapText="1"/>
    </xf>
    <xf numFmtId="0" fontId="3" fillId="0" borderId="15" xfId="141" applyFont="1" applyBorder="1" applyAlignment="1">
      <alignment horizontal="center" wrapText="1"/>
    </xf>
    <xf numFmtId="0" fontId="4" fillId="0" borderId="16" xfId="141" applyFont="1" applyBorder="1" applyAlignment="1">
      <alignment horizontal="center" wrapText="1"/>
    </xf>
    <xf numFmtId="0" fontId="2" fillId="0" borderId="8" xfId="0" applyFont="1" applyBorder="1" applyAlignment="1">
      <alignment vertical="center"/>
    </xf>
    <xf numFmtId="0" fontId="12" fillId="0" borderId="8" xfId="0" applyFont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13" fillId="0" borderId="1" xfId="0" applyFont="1" applyBorder="1"/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vertical="center"/>
    </xf>
    <xf numFmtId="0" fontId="10" fillId="0" borderId="1" xfId="0" applyFont="1" applyBorder="1" applyAlignment="1">
      <alignment horizontal="center" vertical="center"/>
    </xf>
    <xf numFmtId="0" fontId="7" fillId="0" borderId="1" xfId="138" applyFont="1" applyBorder="1" applyAlignment="1">
      <alignment horizontal="center" vertical="center"/>
    </xf>
    <xf numFmtId="0" fontId="7" fillId="0" borderId="1" xfId="0" applyFont="1" applyBorder="1" applyAlignment="1">
      <alignment horizontal="left" vertical="center"/>
    </xf>
    <xf numFmtId="0" fontId="7" fillId="4" borderId="1" xfId="0" applyFont="1" applyFill="1" applyBorder="1" applyAlignment="1">
      <alignment horizontal="justify" vertical="center"/>
    </xf>
    <xf numFmtId="0" fontId="7" fillId="4" borderId="1" xfId="0" applyFont="1" applyFill="1" applyBorder="1" applyAlignment="1">
      <alignment horizontal="center" vertical="center"/>
    </xf>
    <xf numFmtId="180" fontId="7" fillId="4" borderId="1" xfId="138" applyNumberFormat="1" applyFont="1" applyFill="1" applyBorder="1" applyAlignment="1">
      <alignment horizontal="center" vertical="center"/>
    </xf>
    <xf numFmtId="0" fontId="14" fillId="0" borderId="1" xfId="0" applyFont="1" applyBorder="1" applyAlignment="1">
      <alignment horizontal="justify" vertical="center"/>
    </xf>
    <xf numFmtId="0" fontId="7" fillId="0" borderId="1" xfId="0" applyFont="1" applyBorder="1" applyAlignment="1">
      <alignment horizontal="justify" vertical="center"/>
    </xf>
    <xf numFmtId="180" fontId="7" fillId="0" borderId="1" xfId="138" applyNumberFormat="1" applyFont="1" applyBorder="1" applyAlignment="1">
      <alignment horizontal="center" vertical="center"/>
    </xf>
    <xf numFmtId="181" fontId="7" fillId="0" borderId="1" xfId="138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left" vertical="center"/>
    </xf>
    <xf numFmtId="0" fontId="15" fillId="0" borderId="1" xfId="0" applyFont="1" applyBorder="1" applyAlignment="1">
      <alignment horizontal="left" vertical="center"/>
    </xf>
    <xf numFmtId="0" fontId="15" fillId="0" borderId="1" xfId="0" applyFont="1" applyBorder="1" applyAlignment="1">
      <alignment horizontal="center" vertical="center"/>
    </xf>
    <xf numFmtId="179" fontId="7" fillId="0" borderId="1" xfId="138" applyNumberFormat="1" applyFont="1" applyBorder="1" applyAlignment="1">
      <alignment horizontal="center" vertical="center"/>
    </xf>
    <xf numFmtId="0" fontId="16" fillId="0" borderId="1" xfId="0" applyFont="1" applyBorder="1" applyAlignment="1">
      <alignment horizontal="left" vertical="center"/>
    </xf>
    <xf numFmtId="0" fontId="15" fillId="4" borderId="1" xfId="0" applyFont="1" applyFill="1" applyBorder="1" applyAlignment="1">
      <alignment horizontal="left" vertical="center"/>
    </xf>
    <xf numFmtId="0" fontId="10" fillId="4" borderId="1" xfId="0" applyFont="1" applyFill="1" applyBorder="1" applyAlignment="1">
      <alignment horizontal="center" vertical="center"/>
    </xf>
    <xf numFmtId="179" fontId="7" fillId="4" borderId="1" xfId="138" applyNumberFormat="1" applyFont="1" applyFill="1" applyBorder="1" applyAlignment="1">
      <alignment horizontal="center" vertical="center"/>
    </xf>
    <xf numFmtId="182" fontId="7" fillId="0" borderId="1" xfId="138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left" vertical="center"/>
    </xf>
    <xf numFmtId="0" fontId="0" fillId="0" borderId="1" xfId="0" applyBorder="1"/>
    <xf numFmtId="0" fontId="7" fillId="0" borderId="1" xfId="0" applyFont="1" applyBorder="1"/>
    <xf numFmtId="0" fontId="1" fillId="0" borderId="1" xfId="0" applyFont="1" applyBorder="1"/>
    <xf numFmtId="0" fontId="1" fillId="0" borderId="1" xfId="0" applyFont="1" applyBorder="1" applyAlignment="1">
      <alignment vertical="center"/>
    </xf>
    <xf numFmtId="180" fontId="1" fillId="0" borderId="1" xfId="0" applyNumberFormat="1" applyFont="1" applyBorder="1" applyAlignment="1">
      <alignment horizontal="center" vertical="center"/>
    </xf>
    <xf numFmtId="180" fontId="7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181" fontId="1" fillId="0" borderId="1" xfId="0" applyNumberFormat="1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179" fontId="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180" fontId="7" fillId="4" borderId="1" xfId="0" applyNumberFormat="1" applyFont="1" applyFill="1" applyBorder="1" applyAlignment="1">
      <alignment horizontal="center" vertical="center"/>
    </xf>
    <xf numFmtId="2" fontId="7" fillId="4" borderId="1" xfId="0" applyNumberFormat="1" applyFont="1" applyFill="1" applyBorder="1" applyAlignment="1">
      <alignment horizontal="center" vertical="center"/>
    </xf>
    <xf numFmtId="182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18" fillId="0" borderId="0" xfId="0" applyFont="1"/>
    <xf numFmtId="0" fontId="3" fillId="0" borderId="0" xfId="0" applyFont="1"/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2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10" fontId="7" fillId="0" borderId="1" xfId="3" applyNumberFormat="1" applyFont="1" applyFill="1" applyBorder="1" applyAlignment="1">
      <alignment horizontal="center" vertical="center"/>
    </xf>
    <xf numFmtId="183" fontId="7" fillId="0" borderId="1" xfId="0" applyNumberFormat="1" applyFont="1" applyBorder="1" applyAlignment="1">
      <alignment horizontal="center" vertical="center"/>
    </xf>
    <xf numFmtId="10" fontId="7" fillId="0" borderId="1" xfId="0" applyNumberFormat="1" applyFont="1" applyBorder="1" applyAlignment="1">
      <alignment horizontal="center" vertical="center"/>
    </xf>
    <xf numFmtId="10" fontId="7" fillId="4" borderId="1" xfId="3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9" fontId="3" fillId="0" borderId="0" xfId="0" applyNumberFormat="1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19" fillId="0" borderId="0" xfId="0" applyFont="1" applyAlignment="1">
      <alignment horizont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1" fontId="0" fillId="0" borderId="0" xfId="0" applyNumberFormat="1"/>
    <xf numFmtId="1" fontId="7" fillId="0" borderId="1" xfId="0" applyNumberFormat="1" applyFont="1" applyBorder="1" applyAlignment="1">
      <alignment horizontal="center" vertical="center"/>
    </xf>
    <xf numFmtId="2" fontId="7" fillId="0" borderId="1" xfId="0" applyNumberFormat="1" applyFont="1" applyBorder="1" applyAlignment="1">
      <alignment horizontal="center" vertical="center"/>
    </xf>
    <xf numFmtId="0" fontId="7" fillId="0" borderId="1" xfId="136" applyFont="1" applyBorder="1" applyAlignment="1">
      <alignment horizontal="left" vertical="center"/>
    </xf>
    <xf numFmtId="180" fontId="7" fillId="0" borderId="1" xfId="0" applyNumberFormat="1" applyFont="1" applyBorder="1" applyAlignment="1">
      <alignment horizontal="left" vertical="center"/>
    </xf>
    <xf numFmtId="180" fontId="0" fillId="0" borderId="0" xfId="0" applyNumberFormat="1"/>
    <xf numFmtId="0" fontId="7" fillId="0" borderId="5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178" fontId="7" fillId="0" borderId="1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0" fillId="0" borderId="1" xfId="0" applyBorder="1" applyAlignment="1">
      <alignment vertical="center"/>
    </xf>
    <xf numFmtId="178" fontId="7" fillId="0" borderId="1" xfId="0" applyNumberFormat="1" applyFont="1" applyBorder="1" applyAlignment="1">
      <alignment vertical="center"/>
    </xf>
    <xf numFmtId="178" fontId="0" fillId="0" borderId="1" xfId="0" applyNumberFormat="1" applyBorder="1" applyAlignment="1">
      <alignment vertical="center"/>
    </xf>
    <xf numFmtId="184" fontId="7" fillId="0" borderId="1" xfId="0" applyNumberFormat="1" applyFont="1" applyBorder="1" applyAlignment="1">
      <alignment horizontal="center" vertical="center"/>
    </xf>
    <xf numFmtId="185" fontId="7" fillId="0" borderId="1" xfId="0" applyNumberFormat="1" applyFont="1" applyBorder="1" applyAlignment="1">
      <alignment horizontal="center" vertical="center"/>
    </xf>
    <xf numFmtId="0" fontId="0" fillId="0" borderId="0" xfId="55">
      <protection locked="0"/>
    </xf>
    <xf numFmtId="179" fontId="0" fillId="0" borderId="0" xfId="0" applyNumberFormat="1"/>
    <xf numFmtId="0" fontId="4" fillId="0" borderId="0" xfId="142" applyFont="1" applyAlignment="1">
      <alignment horizontal="center" vertical="center"/>
    </xf>
    <xf numFmtId="179" fontId="4" fillId="0" borderId="0" xfId="142" applyNumberFormat="1" applyFont="1" applyAlignment="1">
      <alignment horizontal="center" vertical="center"/>
    </xf>
    <xf numFmtId="0" fontId="3" fillId="0" borderId="0" xfId="142" applyFont="1" applyAlignment="1">
      <alignment horizontal="left" vertical="center"/>
    </xf>
    <xf numFmtId="179" fontId="3" fillId="0" borderId="0" xfId="142" applyNumberFormat="1" applyFont="1" applyAlignment="1">
      <alignment horizontal="left" vertical="center"/>
    </xf>
    <xf numFmtId="0" fontId="3" fillId="9" borderId="0" xfId="142" applyFont="1" applyFill="1" applyAlignment="1">
      <alignment horizontal="left"/>
    </xf>
    <xf numFmtId="179" fontId="3" fillId="0" borderId="0" xfId="142" applyNumberFormat="1" applyFont="1"/>
    <xf numFmtId="0" fontId="3" fillId="0" borderId="8" xfId="142" applyFont="1" applyBorder="1" applyAlignment="1">
      <alignment horizontal="center"/>
    </xf>
    <xf numFmtId="0" fontId="3" fillId="0" borderId="1" xfId="142" applyFont="1" applyBorder="1" applyAlignment="1">
      <alignment horizontal="left" vertical="center"/>
    </xf>
    <xf numFmtId="179" fontId="3" fillId="0" borderId="1" xfId="142" applyNumberFormat="1" applyFont="1" applyBorder="1" applyAlignment="1">
      <alignment horizontal="left" vertical="center"/>
    </xf>
    <xf numFmtId="0" fontId="3" fillId="0" borderId="1" xfId="142" applyFont="1" applyBorder="1" applyAlignment="1">
      <alignment horizontal="center" vertical="center"/>
    </xf>
    <xf numFmtId="179" fontId="3" fillId="0" borderId="1" xfId="142" applyNumberFormat="1" applyFont="1" applyBorder="1" applyAlignment="1">
      <alignment horizontal="center" vertical="center" wrapText="1"/>
    </xf>
    <xf numFmtId="0" fontId="3" fillId="0" borderId="1" xfId="142" applyFont="1" applyBorder="1" applyAlignment="1">
      <alignment horizontal="center" vertical="center" wrapText="1"/>
    </xf>
    <xf numFmtId="179" fontId="3" fillId="0" borderId="1" xfId="142" applyNumberFormat="1" applyFont="1" applyBorder="1" applyAlignment="1">
      <alignment horizontal="center" vertical="center"/>
    </xf>
    <xf numFmtId="180" fontId="3" fillId="0" borderId="1" xfId="142" applyNumberFormat="1" applyFont="1" applyBorder="1" applyAlignment="1">
      <alignment horizontal="center" vertical="center"/>
    </xf>
    <xf numFmtId="0" fontId="3" fillId="0" borderId="1" xfId="142" applyFont="1" applyBorder="1" applyAlignment="1">
      <alignment horizontal="center" vertical="distributed" wrapText="1" shrinkToFit="1"/>
    </xf>
    <xf numFmtId="2" fontId="3" fillId="0" borderId="1" xfId="142" applyNumberFormat="1" applyFont="1" applyBorder="1" applyAlignment="1">
      <alignment horizontal="center" vertical="center"/>
    </xf>
    <xf numFmtId="183" fontId="3" fillId="0" borderId="1" xfId="142" applyNumberFormat="1" applyFont="1" applyBorder="1" applyAlignment="1">
      <alignment horizontal="center" vertical="center"/>
    </xf>
    <xf numFmtId="10" fontId="3" fillId="0" borderId="1" xfId="142" applyNumberFormat="1" applyFont="1" applyBorder="1" applyAlignment="1">
      <alignment horizontal="center" vertical="center"/>
    </xf>
    <xf numFmtId="0" fontId="3" fillId="0" borderId="0" xfId="142" applyFont="1" applyAlignment="1">
      <alignment horizontal="left"/>
    </xf>
    <xf numFmtId="186" fontId="3" fillId="0" borderId="1" xfId="142" applyNumberFormat="1" applyFont="1" applyBorder="1" applyAlignment="1">
      <alignment horizontal="center" vertical="center"/>
    </xf>
    <xf numFmtId="182" fontId="0" fillId="0" borderId="0" xfId="0" applyNumberFormat="1"/>
    <xf numFmtId="0" fontId="2" fillId="0" borderId="4" xfId="58" applyFont="1" applyBorder="1" applyAlignment="1">
      <alignment horizontal="center"/>
    </xf>
    <xf numFmtId="179" fontId="2" fillId="0" borderId="4" xfId="58" applyNumberFormat="1" applyFont="1" applyBorder="1" applyAlignment="1">
      <alignment horizontal="center"/>
    </xf>
    <xf numFmtId="0" fontId="7" fillId="0" borderId="0" xfId="58" applyFont="1" applyAlignment="1">
      <alignment horizontal="center"/>
    </xf>
    <xf numFmtId="179" fontId="7" fillId="0" borderId="0" xfId="58" applyNumberFormat="1" applyFont="1" applyAlignment="1">
      <alignment horizontal="center"/>
    </xf>
    <xf numFmtId="0" fontId="7" fillId="0" borderId="0" xfId="58" applyFont="1" applyAlignment="1">
      <alignment horizontal="right"/>
    </xf>
    <xf numFmtId="0" fontId="7" fillId="0" borderId="0" xfId="58" applyFont="1" applyAlignment="1">
      <alignment horizontal="left"/>
    </xf>
    <xf numFmtId="179" fontId="7" fillId="0" borderId="0" xfId="58" applyNumberFormat="1" applyFont="1" applyAlignment="1">
      <alignment horizontal="right"/>
    </xf>
    <xf numFmtId="0" fontId="7" fillId="0" borderId="1" xfId="58" applyFont="1" applyBorder="1" applyAlignment="1">
      <alignment horizontal="right"/>
    </xf>
    <xf numFmtId="0" fontId="7" fillId="0" borderId="1" xfId="58" applyFont="1" applyBorder="1"/>
    <xf numFmtId="179" fontId="7" fillId="0" borderId="1" xfId="58" applyNumberFormat="1" applyFont="1" applyBorder="1"/>
    <xf numFmtId="0" fontId="7" fillId="0" borderId="1" xfId="58" applyFont="1" applyBorder="1" applyAlignment="1">
      <alignment horizontal="center"/>
    </xf>
    <xf numFmtId="179" fontId="7" fillId="0" borderId="1" xfId="58" applyNumberFormat="1" applyFont="1" applyBorder="1" applyAlignment="1">
      <alignment horizontal="center"/>
    </xf>
    <xf numFmtId="178" fontId="7" fillId="0" borderId="1" xfId="58" applyNumberFormat="1" applyFont="1" applyBorder="1" applyAlignment="1">
      <alignment horizontal="center"/>
    </xf>
    <xf numFmtId="0" fontId="7" fillId="0" borderId="0" xfId="58" applyFont="1"/>
    <xf numFmtId="10" fontId="7" fillId="0" borderId="1" xfId="58" applyNumberFormat="1" applyFont="1" applyBorder="1" applyAlignment="1">
      <alignment horizontal="center"/>
    </xf>
    <xf numFmtId="0" fontId="0" fillId="10" borderId="0" xfId="0" applyFill="1"/>
    <xf numFmtId="0" fontId="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0" fillId="0" borderId="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178" fontId="7" fillId="0" borderId="0" xfId="0" applyNumberFormat="1" applyFont="1" applyAlignment="1">
      <alignment horizontal="center"/>
    </xf>
    <xf numFmtId="0" fontId="20" fillId="0" borderId="4" xfId="0" applyFont="1" applyBorder="1" applyAlignment="1">
      <alignment horizontal="center" vertical="center"/>
    </xf>
    <xf numFmtId="2" fontId="7" fillId="0" borderId="0" xfId="0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0" fontId="7" fillId="0" borderId="1" xfId="143" applyFont="1" applyBorder="1" applyAlignment="1">
      <alignment horizontal="center" vertical="center"/>
    </xf>
    <xf numFmtId="179" fontId="0" fillId="0" borderId="0" xfId="0" applyNumberFormat="1" applyAlignment="1">
      <alignment horizontal="center"/>
    </xf>
    <xf numFmtId="0" fontId="2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1" fillId="0" borderId="0" xfId="0" applyFont="1"/>
    <xf numFmtId="0" fontId="22" fillId="0" borderId="0" xfId="0" applyFont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180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 vertical="center"/>
    </xf>
    <xf numFmtId="182" fontId="11" fillId="0" borderId="1" xfId="0" applyNumberFormat="1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183" fontId="23" fillId="0" borderId="1" xfId="0" applyNumberFormat="1" applyFont="1" applyBorder="1" applyAlignment="1">
      <alignment horizontal="center" vertical="center"/>
    </xf>
    <xf numFmtId="10" fontId="23" fillId="0" borderId="1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7" fillId="0" borderId="8" xfId="0" applyFont="1" applyBorder="1" applyAlignment="1">
      <alignment horizontal="left" vertical="center"/>
    </xf>
    <xf numFmtId="0" fontId="7" fillId="0" borderId="8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183" fontId="10" fillId="0" borderId="1" xfId="0" applyNumberFormat="1" applyFont="1" applyBorder="1" applyAlignment="1">
      <alignment horizontal="center" vertical="center"/>
    </xf>
    <xf numFmtId="10" fontId="10" fillId="0" borderId="1" xfId="0" applyNumberFormat="1" applyFont="1" applyBorder="1" applyAlignment="1">
      <alignment horizontal="center" vertical="center"/>
    </xf>
    <xf numFmtId="187" fontId="7" fillId="0" borderId="1" xfId="0" applyNumberFormat="1" applyFont="1" applyBorder="1" applyAlignment="1">
      <alignment horizontal="center" vertical="center"/>
    </xf>
    <xf numFmtId="0" fontId="7" fillId="0" borderId="5" xfId="0" applyFont="1" applyBorder="1" applyAlignment="1">
      <alignment horizontal="left" vertical="center"/>
    </xf>
    <xf numFmtId="0" fontId="9" fillId="0" borderId="0" xfId="0" applyFont="1" applyFill="1" applyAlignment="1">
      <alignment horizontal="left" vertical="center"/>
    </xf>
    <xf numFmtId="0" fontId="7" fillId="0" borderId="8" xfId="0" applyFont="1" applyFill="1" applyBorder="1" applyAlignment="1">
      <alignment horizontal="left" vertical="center"/>
    </xf>
    <xf numFmtId="0" fontId="7" fillId="0" borderId="8" xfId="0" applyFont="1" applyFill="1" applyBorder="1" applyAlignment="1">
      <alignment horizontal="center" vertical="center"/>
    </xf>
    <xf numFmtId="0" fontId="7" fillId="0" borderId="17" xfId="0" applyFont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2" fontId="10" fillId="0" borderId="1" xfId="0" applyNumberFormat="1" applyFont="1" applyBorder="1" applyAlignment="1">
      <alignment horizontal="center" vertical="center"/>
    </xf>
    <xf numFmtId="180" fontId="7" fillId="0" borderId="5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180" fontId="7" fillId="0" borderId="1" xfId="0" applyNumberFormat="1" applyFont="1" applyFill="1" applyBorder="1" applyAlignment="1">
      <alignment horizontal="center" vertical="center"/>
    </xf>
    <xf numFmtId="2" fontId="7" fillId="0" borderId="1" xfId="0" applyNumberFormat="1" applyFont="1" applyFill="1" applyBorder="1" applyAlignment="1">
      <alignment horizontal="center" vertical="center"/>
    </xf>
    <xf numFmtId="182" fontId="7" fillId="0" borderId="1" xfId="0" applyNumberFormat="1" applyFont="1" applyFill="1" applyBorder="1" applyAlignment="1">
      <alignment horizontal="center" vertical="center"/>
    </xf>
    <xf numFmtId="180" fontId="10" fillId="0" borderId="1" xfId="0" applyNumberFormat="1" applyFont="1" applyFill="1" applyBorder="1" applyAlignment="1">
      <alignment horizontal="center" vertical="center"/>
    </xf>
    <xf numFmtId="2" fontId="10" fillId="0" borderId="1" xfId="0" applyNumberFormat="1" applyFont="1" applyFill="1" applyBorder="1" applyAlignment="1">
      <alignment horizontal="center" vertical="center"/>
    </xf>
    <xf numFmtId="179" fontId="7" fillId="0" borderId="1" xfId="0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right" vertical="center"/>
    </xf>
    <xf numFmtId="0" fontId="7" fillId="0" borderId="0" xfId="0" applyFont="1" applyFill="1" applyAlignment="1">
      <alignment horizontal="left" vertical="center"/>
    </xf>
    <xf numFmtId="0" fontId="0" fillId="0" borderId="0" xfId="0" applyFill="1" applyAlignment="1">
      <alignment vertical="center"/>
    </xf>
    <xf numFmtId="0" fontId="7" fillId="0" borderId="0" xfId="0" applyFont="1" applyFill="1" applyAlignment="1">
      <alignment vertical="center"/>
    </xf>
    <xf numFmtId="0" fontId="7" fillId="0" borderId="1" xfId="0" applyFont="1" applyFill="1" applyBorder="1" applyAlignment="1">
      <alignment horizontal="right" vertical="center"/>
    </xf>
    <xf numFmtId="0" fontId="7" fillId="0" borderId="5" xfId="0" applyFont="1" applyFill="1" applyBorder="1" applyAlignment="1">
      <alignment horizontal="center" vertical="center"/>
    </xf>
    <xf numFmtId="0" fontId="7" fillId="0" borderId="17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vertical="center"/>
    </xf>
    <xf numFmtId="178" fontId="7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vertical="center" wrapText="1"/>
    </xf>
    <xf numFmtId="10" fontId="7" fillId="0" borderId="1" xfId="0" applyNumberFormat="1" applyFont="1" applyFill="1" applyBorder="1" applyAlignment="1">
      <alignment horizontal="center" vertical="center"/>
    </xf>
    <xf numFmtId="0" fontId="0" fillId="0" borderId="1" xfId="0" applyFill="1" applyBorder="1"/>
    <xf numFmtId="0" fontId="7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 wrapText="1"/>
    </xf>
    <xf numFmtId="188" fontId="7" fillId="0" borderId="1" xfId="0" applyNumberFormat="1" applyFont="1" applyFill="1" applyBorder="1" applyAlignment="1">
      <alignment horizontal="center" vertical="center" wrapText="1"/>
    </xf>
    <xf numFmtId="2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/>
    </xf>
    <xf numFmtId="187" fontId="7" fillId="0" borderId="1" xfId="0" applyNumberFormat="1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left" vertical="center" wrapText="1"/>
    </xf>
    <xf numFmtId="180" fontId="24" fillId="0" borderId="1" xfId="0" applyNumberFormat="1" applyFont="1" applyFill="1" applyBorder="1" applyAlignment="1">
      <alignment horizontal="center" vertical="center" wrapText="1"/>
    </xf>
    <xf numFmtId="2" fontId="24" fillId="0" borderId="1" xfId="0" applyNumberFormat="1" applyFont="1" applyFill="1" applyBorder="1" applyAlignment="1">
      <alignment horizontal="center" vertical="center" wrapText="1"/>
    </xf>
    <xf numFmtId="1" fontId="7" fillId="0" borderId="1" xfId="0" applyNumberFormat="1" applyFont="1" applyFill="1" applyBorder="1" applyAlignment="1">
      <alignment horizontal="center" vertical="center" wrapText="1"/>
    </xf>
    <xf numFmtId="0" fontId="26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180" fontId="7" fillId="0" borderId="6" xfId="0" applyNumberFormat="1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7" fillId="0" borderId="20" xfId="0" applyFont="1" applyBorder="1" applyAlignment="1">
      <alignment horizontal="center" vertical="center"/>
    </xf>
    <xf numFmtId="2" fontId="7" fillId="0" borderId="20" xfId="0" applyNumberFormat="1" applyFont="1" applyBorder="1" applyAlignment="1">
      <alignment horizontal="center" vertical="center"/>
    </xf>
    <xf numFmtId="185" fontId="7" fillId="0" borderId="1" xfId="0" applyNumberFormat="1" applyFont="1" applyBorder="1" applyAlignment="1">
      <alignment horizontal="center" vertical="center" wrapText="1"/>
    </xf>
    <xf numFmtId="2" fontId="7" fillId="0" borderId="6" xfId="0" applyNumberFormat="1" applyFont="1" applyBorder="1" applyAlignment="1">
      <alignment horizontal="center" vertical="center"/>
    </xf>
    <xf numFmtId="180" fontId="10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8" fillId="0" borderId="1" xfId="0" applyNumberFormat="1" applyFont="1" applyBorder="1" applyAlignment="1">
      <alignment horizontal="center" vertical="center"/>
    </xf>
    <xf numFmtId="2" fontId="8" fillId="0" borderId="1" xfId="0" applyNumberFormat="1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179" fontId="7" fillId="0" borderId="1" xfId="0" applyNumberFormat="1" applyFont="1" applyBorder="1" applyAlignment="1">
      <alignment horizontal="center" vertical="center" wrapText="1"/>
    </xf>
    <xf numFmtId="180" fontId="10" fillId="0" borderId="6" xfId="0" applyNumberFormat="1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6" fillId="0" borderId="0" xfId="0" applyFont="1" applyFill="1" applyAlignment="1">
      <alignment horizontal="left" vertical="center"/>
    </xf>
    <xf numFmtId="0" fontId="0" fillId="0" borderId="0" xfId="0" applyFill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183" fontId="10" fillId="0" borderId="1" xfId="0" applyNumberFormat="1" applyFont="1" applyFill="1" applyBorder="1" applyAlignment="1">
      <alignment horizontal="center" vertical="center"/>
    </xf>
    <xf numFmtId="9" fontId="10" fillId="0" borderId="1" xfId="0" applyNumberFormat="1" applyFont="1" applyFill="1" applyBorder="1" applyAlignment="1">
      <alignment horizontal="center" vertical="center"/>
    </xf>
    <xf numFmtId="10" fontId="10" fillId="0" borderId="1" xfId="0" applyNumberFormat="1" applyFont="1" applyFill="1" applyBorder="1" applyAlignment="1">
      <alignment horizontal="center" vertical="center"/>
    </xf>
    <xf numFmtId="185" fontId="10" fillId="0" borderId="1" xfId="0" applyNumberFormat="1" applyFont="1" applyBorder="1" applyAlignment="1">
      <alignment horizontal="center" vertical="center"/>
    </xf>
    <xf numFmtId="9" fontId="10" fillId="0" borderId="1" xfId="0" applyNumberFormat="1" applyFont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0" fontId="11" fillId="0" borderId="0" xfId="0" applyFont="1" applyBorder="1" applyAlignment="1">
      <alignment horizontal="center" vertical="center"/>
    </xf>
    <xf numFmtId="0" fontId="11" fillId="0" borderId="1" xfId="0" applyFont="1" applyBorder="1"/>
    <xf numFmtId="0" fontId="11" fillId="0" borderId="1" xfId="0" applyFont="1" applyBorder="1" applyAlignment="1">
      <alignment horizontal="left" vertical="center"/>
    </xf>
    <xf numFmtId="180" fontId="7" fillId="0" borderId="1" xfId="0" applyNumberFormat="1" applyFont="1" applyBorder="1" applyAlignment="1">
      <alignment vertical="center"/>
    </xf>
    <xf numFmtId="0" fontId="26" fillId="0" borderId="0" xfId="0" applyFont="1" applyFill="1" applyAlignment="1">
      <alignment horizontal="center" vertical="center"/>
    </xf>
    <xf numFmtId="0" fontId="7" fillId="0" borderId="5" xfId="0" applyFont="1" applyFill="1" applyBorder="1" applyAlignment="1">
      <alignment horizontal="left" vertical="center"/>
    </xf>
    <xf numFmtId="0" fontId="7" fillId="0" borderId="17" xfId="0" applyFont="1" applyFill="1" applyBorder="1" applyAlignment="1">
      <alignment horizontal="left" vertical="center"/>
    </xf>
    <xf numFmtId="0" fontId="7" fillId="0" borderId="6" xfId="0" applyFont="1" applyFill="1" applyBorder="1" applyAlignment="1">
      <alignment horizontal="left" vertical="center"/>
    </xf>
    <xf numFmtId="180" fontId="0" fillId="0" borderId="1" xfId="0" applyNumberForma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180" fontId="8" fillId="0" borderId="1" xfId="0" applyNumberFormat="1" applyFont="1" applyFill="1" applyBorder="1" applyAlignment="1">
      <alignment horizontal="center" vertical="center"/>
    </xf>
    <xf numFmtId="2" fontId="8" fillId="0" borderId="1" xfId="0" applyNumberFormat="1" applyFont="1" applyFill="1" applyBorder="1" applyAlignment="1">
      <alignment horizontal="center" vertical="center"/>
    </xf>
    <xf numFmtId="180" fontId="7" fillId="0" borderId="1" xfId="0" applyNumberFormat="1" applyFont="1" applyFill="1" applyBorder="1" applyAlignment="1">
      <alignment vertical="center"/>
    </xf>
    <xf numFmtId="9" fontId="10" fillId="0" borderId="19" xfId="0" applyNumberFormat="1" applyFont="1" applyBorder="1" applyAlignment="1">
      <alignment horizontal="center" vertical="center"/>
    </xf>
    <xf numFmtId="0" fontId="10" fillId="0" borderId="21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27" fillId="0" borderId="0" xfId="0" applyFont="1"/>
    <xf numFmtId="0" fontId="7" fillId="0" borderId="20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28" fillId="3" borderId="1" xfId="0" applyFont="1" applyFill="1" applyBorder="1" applyAlignment="1">
      <alignment horizontal="left" vertical="center"/>
    </xf>
    <xf numFmtId="2" fontId="27" fillId="3" borderId="1" xfId="0" applyNumberFormat="1" applyFont="1" applyFill="1" applyBorder="1"/>
    <xf numFmtId="0" fontId="27" fillId="3" borderId="1" xfId="0" applyFont="1" applyFill="1" applyBorder="1"/>
    <xf numFmtId="0" fontId="27" fillId="11" borderId="1" xfId="0" applyFont="1" applyFill="1" applyBorder="1"/>
    <xf numFmtId="179" fontId="27" fillId="3" borderId="1" xfId="0" applyNumberFormat="1" applyFont="1" applyFill="1" applyBorder="1"/>
    <xf numFmtId="0" fontId="28" fillId="0" borderId="22" xfId="0" applyFont="1" applyBorder="1" applyAlignment="1">
      <alignment horizontal="center" vertical="center"/>
    </xf>
    <xf numFmtId="2" fontId="28" fillId="0" borderId="22" xfId="0" applyNumberFormat="1" applyFont="1" applyBorder="1" applyAlignment="1">
      <alignment horizontal="center" vertical="center"/>
    </xf>
    <xf numFmtId="1" fontId="28" fillId="0" borderId="22" xfId="0" applyNumberFormat="1" applyFont="1" applyBorder="1" applyAlignment="1">
      <alignment horizontal="center" vertical="center"/>
    </xf>
    <xf numFmtId="182" fontId="28" fillId="0" borderId="22" xfId="0" applyNumberFormat="1" applyFont="1" applyBorder="1" applyAlignment="1">
      <alignment horizontal="center" vertical="center"/>
    </xf>
    <xf numFmtId="0" fontId="28" fillId="0" borderId="22" xfId="0" applyFont="1" applyBorder="1" applyAlignment="1">
      <alignment vertical="center"/>
    </xf>
    <xf numFmtId="0" fontId="28" fillId="0" borderId="0" xfId="0" applyFont="1" applyAlignment="1">
      <alignment vertical="center"/>
    </xf>
    <xf numFmtId="0" fontId="7" fillId="0" borderId="1" xfId="0" applyFont="1" applyBorder="1" applyAlignment="1">
      <alignment shrinkToFit="1"/>
    </xf>
    <xf numFmtId="0" fontId="7" fillId="0" borderId="21" xfId="0" applyFont="1" applyBorder="1" applyAlignment="1">
      <alignment horizontal="justify" vertical="center" wrapText="1"/>
    </xf>
    <xf numFmtId="0" fontId="0" fillId="0" borderId="0" xfId="0" applyFont="1"/>
    <xf numFmtId="0" fontId="7" fillId="0" borderId="0" xfId="0" applyFont="1" applyAlignment="1">
      <alignment vertical="center"/>
    </xf>
    <xf numFmtId="0" fontId="0" fillId="6" borderId="0" xfId="0" applyFill="1" applyAlignment="1">
      <alignment vertical="center"/>
    </xf>
    <xf numFmtId="0" fontId="8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4" xfId="0" applyFont="1" applyBorder="1" applyAlignment="1">
      <alignment vertical="center"/>
    </xf>
    <xf numFmtId="0" fontId="21" fillId="0" borderId="4" xfId="0" applyFont="1" applyBorder="1" applyAlignment="1">
      <alignment horizontal="center" vertical="center"/>
    </xf>
    <xf numFmtId="0" fontId="2" fillId="9" borderId="4" xfId="0" applyFont="1" applyFill="1" applyBorder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7" fillId="0" borderId="0" xfId="0" applyFont="1" applyAlignment="1">
      <alignment horizontal="left" vertical="center"/>
    </xf>
    <xf numFmtId="0" fontId="7" fillId="0" borderId="1" xfId="0" applyFont="1" applyBorder="1" applyAlignment="1">
      <alignment horizontal="right" vertical="center"/>
    </xf>
    <xf numFmtId="0" fontId="7" fillId="0" borderId="1" xfId="0" applyFont="1" applyBorder="1" applyAlignment="1">
      <alignment vertical="center" wrapText="1"/>
    </xf>
    <xf numFmtId="2" fontId="7" fillId="12" borderId="1" xfId="0" applyNumberFormat="1" applyFont="1" applyFill="1" applyBorder="1" applyAlignment="1">
      <alignment horizontal="center" vertical="center"/>
    </xf>
    <xf numFmtId="0" fontId="2" fillId="12" borderId="4" xfId="0" applyFont="1" applyFill="1" applyBorder="1" applyAlignment="1">
      <alignment horizontal="center" vertical="center"/>
    </xf>
    <xf numFmtId="2" fontId="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7" fillId="9" borderId="8" xfId="0" applyFont="1" applyFill="1" applyBorder="1" applyAlignment="1">
      <alignment horizontal="left" vertical="center"/>
    </xf>
    <xf numFmtId="180" fontId="13" fillId="0" borderId="0" xfId="0" applyNumberFormat="1" applyFont="1" applyAlignment="1">
      <alignment horizontal="center" vertical="center"/>
    </xf>
    <xf numFmtId="180" fontId="7" fillId="0" borderId="8" xfId="0" applyNumberFormat="1" applyFont="1" applyBorder="1" applyAlignment="1">
      <alignment horizontal="left" vertical="center"/>
    </xf>
    <xf numFmtId="180" fontId="7" fillId="0" borderId="0" xfId="0" applyNumberFormat="1" applyFont="1" applyAlignment="1">
      <alignment horizontal="center" vertical="center"/>
    </xf>
    <xf numFmtId="180" fontId="7" fillId="0" borderId="5" xfId="0" applyNumberFormat="1" applyFont="1" applyBorder="1" applyAlignment="1">
      <alignment horizontal="left" vertical="center"/>
    </xf>
    <xf numFmtId="180" fontId="7" fillId="0" borderId="17" xfId="0" applyNumberFormat="1" applyFont="1" applyBorder="1" applyAlignment="1">
      <alignment horizontal="left" vertical="center"/>
    </xf>
    <xf numFmtId="180" fontId="7" fillId="0" borderId="6" xfId="0" applyNumberFormat="1" applyFont="1" applyBorder="1" applyAlignment="1">
      <alignment horizontal="left" vertical="center"/>
    </xf>
    <xf numFmtId="181" fontId="7" fillId="0" borderId="1" xfId="0" applyNumberFormat="1" applyFont="1" applyBorder="1" applyAlignment="1">
      <alignment horizontal="center" vertical="center"/>
    </xf>
    <xf numFmtId="189" fontId="7" fillId="0" borderId="1" xfId="0" applyNumberFormat="1" applyFont="1" applyBorder="1" applyAlignment="1">
      <alignment horizontal="center" vertical="center"/>
    </xf>
    <xf numFmtId="0" fontId="26" fillId="13" borderId="0" xfId="0" applyFont="1" applyFill="1" applyAlignment="1">
      <alignment horizontal="left" vertical="center"/>
    </xf>
    <xf numFmtId="0" fontId="7" fillId="9" borderId="8" xfId="0" applyFont="1" applyFill="1" applyBorder="1" applyAlignment="1">
      <alignment horizontal="center" vertical="center"/>
    </xf>
    <xf numFmtId="182" fontId="7" fillId="8" borderId="1" xfId="0" applyNumberFormat="1" applyFont="1" applyFill="1" applyBorder="1" applyAlignment="1">
      <alignment horizontal="center" vertical="center"/>
    </xf>
    <xf numFmtId="0" fontId="21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6" fillId="4" borderId="0" xfId="0" applyFont="1" applyFill="1" applyAlignment="1">
      <alignment horizontal="left" vertical="center"/>
    </xf>
    <xf numFmtId="0" fontId="0" fillId="4" borderId="0" xfId="0" applyFill="1" applyAlignment="1">
      <alignment horizontal="center" vertical="center"/>
    </xf>
    <xf numFmtId="0" fontId="7" fillId="4" borderId="8" xfId="0" applyFont="1" applyFill="1" applyBorder="1" applyAlignment="1">
      <alignment horizontal="left" vertical="center"/>
    </xf>
    <xf numFmtId="0" fontId="7" fillId="4" borderId="8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7" fillId="4" borderId="17" xfId="0" applyFont="1" applyFill="1" applyBorder="1" applyAlignment="1">
      <alignment horizontal="center" vertical="center"/>
    </xf>
    <xf numFmtId="0" fontId="7" fillId="4" borderId="6" xfId="0" applyFont="1" applyFill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9" fillId="9" borderId="0" xfId="0" applyFont="1" applyFill="1" applyAlignment="1">
      <alignment horizontal="left" vertical="center"/>
    </xf>
    <xf numFmtId="179" fontId="10" fillId="0" borderId="1" xfId="0" applyNumberFormat="1" applyFont="1" applyBorder="1" applyAlignment="1">
      <alignment horizontal="center" vertical="center"/>
    </xf>
    <xf numFmtId="180" fontId="7" fillId="14" borderId="1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180" fontId="7" fillId="0" borderId="20" xfId="0" applyNumberFormat="1" applyFont="1" applyBorder="1" applyAlignment="1">
      <alignment horizontal="center" vertical="center"/>
    </xf>
    <xf numFmtId="179" fontId="10" fillId="0" borderId="1" xfId="0" applyNumberFormat="1" applyFont="1" applyBorder="1" applyAlignment="1">
      <alignment horizontal="center" vertical="center" wrapText="1"/>
    </xf>
    <xf numFmtId="9" fontId="7" fillId="0" borderId="1" xfId="0" applyNumberFormat="1" applyFont="1" applyBorder="1" applyAlignment="1">
      <alignment horizontal="center" vertical="center"/>
    </xf>
    <xf numFmtId="179" fontId="0" fillId="0" borderId="0" xfId="0" applyNumberFormat="1" applyAlignment="1">
      <alignment horizontal="center" vertical="center"/>
    </xf>
    <xf numFmtId="180" fontId="0" fillId="0" borderId="0" xfId="0" applyNumberFormat="1" applyAlignment="1">
      <alignment vertical="center"/>
    </xf>
    <xf numFmtId="179" fontId="0" fillId="0" borderId="0" xfId="0" applyNumberFormat="1" applyAlignment="1">
      <alignment vertical="center"/>
    </xf>
    <xf numFmtId="180" fontId="7" fillId="0" borderId="19" xfId="0" applyNumberFormat="1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0" fontId="28" fillId="0" borderId="5" xfId="0" applyFont="1" applyBorder="1" applyAlignment="1">
      <alignment horizontal="left" vertical="center"/>
    </xf>
    <xf numFmtId="0" fontId="28" fillId="0" borderId="1" xfId="0" applyFont="1" applyBorder="1" applyAlignment="1">
      <alignment horizontal="center" vertical="center"/>
    </xf>
    <xf numFmtId="0" fontId="28" fillId="0" borderId="6" xfId="0" applyFont="1" applyBorder="1" applyAlignment="1">
      <alignment horizontal="left" vertical="center"/>
    </xf>
    <xf numFmtId="0" fontId="28" fillId="0" borderId="5" xfId="0" applyFont="1" applyBorder="1" applyAlignment="1">
      <alignment horizontal="center" vertical="center"/>
    </xf>
    <xf numFmtId="0" fontId="28" fillId="0" borderId="6" xfId="0" applyFont="1" applyBorder="1" applyAlignment="1">
      <alignment horizontal="center" vertical="center"/>
    </xf>
    <xf numFmtId="0" fontId="28" fillId="0" borderId="17" xfId="0" applyFont="1" applyBorder="1" applyAlignment="1">
      <alignment horizontal="left" vertical="center"/>
    </xf>
    <xf numFmtId="180" fontId="28" fillId="0" borderId="1" xfId="0" applyNumberFormat="1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10" fontId="2" fillId="0" borderId="0" xfId="0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10" fontId="7" fillId="0" borderId="17" xfId="0" applyNumberFormat="1" applyFont="1" applyBorder="1" applyAlignment="1">
      <alignment horizontal="left" vertical="center"/>
    </xf>
    <xf numFmtId="180" fontId="32" fillId="0" borderId="1" xfId="0" applyNumberFormat="1" applyFont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8" fillId="0" borderId="0" xfId="58" applyFont="1" applyAlignment="1">
      <alignment horizontal="center" vertical="center"/>
    </xf>
    <xf numFmtId="0" fontId="33" fillId="15" borderId="0" xfId="0" applyFont="1" applyFill="1" applyBorder="1" applyAlignment="1">
      <alignment horizontal="left" vertical="center"/>
    </xf>
    <xf numFmtId="0" fontId="7" fillId="9" borderId="0" xfId="58" applyFont="1" applyFill="1" applyAlignment="1">
      <alignment horizontal="center" vertical="center"/>
    </xf>
    <xf numFmtId="0" fontId="7" fillId="0" borderId="0" xfId="58" applyFont="1" applyAlignment="1">
      <alignment horizontal="left" vertical="center"/>
    </xf>
    <xf numFmtId="0" fontId="7" fillId="0" borderId="0" xfId="58" applyFont="1" applyAlignment="1">
      <alignment vertical="center"/>
    </xf>
    <xf numFmtId="0" fontId="7" fillId="0" borderId="0" xfId="58" applyFont="1" applyAlignment="1">
      <alignment horizontal="right" vertical="center"/>
    </xf>
    <xf numFmtId="0" fontId="11" fillId="0" borderId="0" xfId="0" applyFont="1" applyFill="1" applyBorder="1" applyAlignment="1">
      <alignment horizontal="left" vertical="center"/>
    </xf>
    <xf numFmtId="0" fontId="7" fillId="0" borderId="1" xfId="58" applyFont="1" applyBorder="1" applyAlignment="1">
      <alignment horizontal="center" vertical="center"/>
    </xf>
    <xf numFmtId="0" fontId="7" fillId="0" borderId="5" xfId="58" applyFont="1" applyBorder="1" applyAlignment="1">
      <alignment horizontal="center" vertical="center"/>
    </xf>
    <xf numFmtId="0" fontId="7" fillId="0" borderId="17" xfId="58" applyFont="1" applyBorder="1" applyAlignment="1">
      <alignment horizontal="center" vertical="center"/>
    </xf>
    <xf numFmtId="0" fontId="7" fillId="0" borderId="6" xfId="58" applyFont="1" applyBorder="1" applyAlignment="1">
      <alignment horizontal="center" vertical="center"/>
    </xf>
    <xf numFmtId="0" fontId="7" fillId="0" borderId="1" xfId="58" applyFont="1" applyBorder="1" applyAlignment="1">
      <alignment vertical="center"/>
    </xf>
    <xf numFmtId="0" fontId="11" fillId="16" borderId="1" xfId="0" applyFont="1" applyFill="1" applyBorder="1" applyAlignment="1">
      <alignment horizontal="center" vertical="center"/>
    </xf>
    <xf numFmtId="178" fontId="7" fillId="0" borderId="1" xfId="58" applyNumberFormat="1" applyFont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185" fontId="7" fillId="0" borderId="1" xfId="58" applyNumberFormat="1" applyFont="1" applyBorder="1" applyAlignment="1">
      <alignment horizontal="center" vertical="center"/>
    </xf>
    <xf numFmtId="179" fontId="7" fillId="0" borderId="1" xfId="58" applyNumberFormat="1" applyFont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10" fontId="7" fillId="0" borderId="1" xfId="58" applyNumberFormat="1" applyFont="1" applyBorder="1" applyAlignment="1">
      <alignment horizontal="center" vertical="center"/>
    </xf>
    <xf numFmtId="190" fontId="7" fillId="0" borderId="1" xfId="58" applyNumberFormat="1" applyFont="1" applyBorder="1" applyAlignment="1">
      <alignment horizontal="center" vertical="center"/>
    </xf>
    <xf numFmtId="184" fontId="7" fillId="0" borderId="1" xfId="58" applyNumberFormat="1" applyFont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183" fontId="11" fillId="0" borderId="1" xfId="0" applyNumberFormat="1" applyFont="1" applyBorder="1" applyAlignment="1">
      <alignment horizontal="center" vertical="center"/>
    </xf>
    <xf numFmtId="0" fontId="11" fillId="0" borderId="8" xfId="0" applyFont="1" applyBorder="1" applyAlignment="1">
      <alignment horizontal="left" vertical="center"/>
    </xf>
    <xf numFmtId="0" fontId="11" fillId="0" borderId="5" xfId="0" applyFont="1" applyBorder="1" applyAlignment="1">
      <alignment horizontal="left" vertical="center"/>
    </xf>
    <xf numFmtId="0" fontId="11" fillId="0" borderId="17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179" fontId="11" fillId="0" borderId="1" xfId="0" applyNumberFormat="1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186" fontId="0" fillId="0" borderId="0" xfId="0" applyNumberFormat="1" applyFill="1" applyAlignment="1">
      <alignment vertical="center"/>
    </xf>
    <xf numFmtId="10" fontId="11" fillId="0" borderId="1" xfId="0" applyNumberFormat="1" applyFont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180" fontId="11" fillId="0" borderId="1" xfId="0" applyNumberFormat="1" applyFont="1" applyFill="1" applyBorder="1" applyAlignment="1">
      <alignment horizontal="center" vertical="center"/>
    </xf>
    <xf numFmtId="182" fontId="11" fillId="0" borderId="1" xfId="0" applyNumberFormat="1" applyFont="1" applyFill="1" applyBorder="1" applyAlignment="1">
      <alignment horizontal="center" vertical="center"/>
    </xf>
    <xf numFmtId="10" fontId="11" fillId="0" borderId="1" xfId="0" applyNumberFormat="1" applyFont="1" applyFill="1" applyBorder="1" applyAlignment="1">
      <alignment horizontal="center" vertical="center"/>
    </xf>
    <xf numFmtId="9" fontId="11" fillId="0" borderId="1" xfId="0" applyNumberFormat="1" applyFont="1" applyFill="1" applyBorder="1" applyAlignment="1">
      <alignment horizontal="center" vertical="center"/>
    </xf>
    <xf numFmtId="183" fontId="34" fillId="0" borderId="1" xfId="0" applyNumberFormat="1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center" vertical="center"/>
    </xf>
    <xf numFmtId="180" fontId="34" fillId="0" borderId="1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9" fontId="11" fillId="0" borderId="1" xfId="0" applyNumberFormat="1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186" fontId="7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189" fontId="0" fillId="0" borderId="0" xfId="0" applyNumberFormat="1" applyFont="1"/>
    <xf numFmtId="0" fontId="13" fillId="0" borderId="1" xfId="0" applyFont="1" applyBorder="1" applyAlignment="1">
      <alignment horizontal="center"/>
    </xf>
    <xf numFmtId="186" fontId="0" fillId="0" borderId="1" xfId="0" applyNumberFormat="1" applyFont="1" applyBorder="1" applyAlignment="1">
      <alignment horizontal="center" vertical="center"/>
    </xf>
    <xf numFmtId="2" fontId="0" fillId="0" borderId="1" xfId="0" applyNumberFormat="1" applyFont="1" applyBorder="1" applyAlignment="1">
      <alignment horizontal="center" vertical="center"/>
    </xf>
    <xf numFmtId="191" fontId="0" fillId="0" borderId="0" xfId="0" applyNumberFormat="1" applyFont="1"/>
    <xf numFmtId="0" fontId="0" fillId="0" borderId="20" xfId="0" applyFont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180" fontId="0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center" wrapText="1"/>
    </xf>
    <xf numFmtId="0" fontId="2" fillId="0" borderId="8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35" fillId="0" borderId="0" xfId="0" applyFont="1"/>
    <xf numFmtId="0" fontId="36" fillId="0" borderId="0" xfId="0" applyFont="1" applyAlignment="1">
      <alignment horizontal="center" vertical="center"/>
    </xf>
    <xf numFmtId="0" fontId="37" fillId="0" borderId="0" xfId="0" applyFont="1" applyAlignment="1">
      <alignment horizontal="left" vertical="center"/>
    </xf>
    <xf numFmtId="0" fontId="38" fillId="0" borderId="0" xfId="0" applyFont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180" fontId="23" fillId="0" borderId="1" xfId="0" applyNumberFormat="1" applyFont="1" applyFill="1" applyBorder="1" applyAlignment="1">
      <alignment horizontal="center" vertical="center" wrapText="1" shrinkToFit="1"/>
    </xf>
    <xf numFmtId="1" fontId="37" fillId="0" borderId="1" xfId="0" applyNumberFormat="1" applyFont="1" applyBorder="1" applyAlignment="1">
      <alignment horizontal="center" vertical="center"/>
    </xf>
    <xf numFmtId="2" fontId="37" fillId="0" borderId="1" xfId="0" applyNumberFormat="1" applyFont="1" applyBorder="1" applyAlignment="1">
      <alignment horizontal="center" vertical="center"/>
    </xf>
    <xf numFmtId="2" fontId="37" fillId="0" borderId="1" xfId="0" applyNumberFormat="1" applyFont="1" applyFill="1" applyBorder="1" applyAlignment="1">
      <alignment horizontal="center" vertical="center"/>
    </xf>
    <xf numFmtId="179" fontId="39" fillId="0" borderId="1" xfId="161" applyNumberFormat="1" applyFont="1" applyFill="1" applyBorder="1" applyAlignment="1" applyProtection="1">
      <alignment horizontal="center" vertical="center"/>
    </xf>
    <xf numFmtId="0" fontId="39" fillId="0" borderId="1" xfId="161" applyFont="1" applyFill="1" applyBorder="1" applyAlignment="1" applyProtection="1">
      <alignment horizontal="center" vertical="center"/>
    </xf>
    <xf numFmtId="0" fontId="37" fillId="0" borderId="1" xfId="0" applyFont="1" applyBorder="1" applyAlignment="1">
      <alignment horizontal="center" vertical="center" wrapText="1"/>
    </xf>
    <xf numFmtId="0" fontId="37" fillId="0" borderId="1" xfId="0" applyFont="1" applyFill="1" applyBorder="1" applyAlignment="1">
      <alignment horizontal="center" vertical="center"/>
    </xf>
    <xf numFmtId="185" fontId="37" fillId="0" borderId="1" xfId="0" applyNumberFormat="1" applyFont="1" applyFill="1" applyBorder="1" applyAlignment="1">
      <alignment horizontal="center" vertical="center"/>
    </xf>
    <xf numFmtId="182" fontId="37" fillId="0" borderId="1" xfId="0" applyNumberFormat="1" applyFont="1" applyFill="1" applyBorder="1" applyAlignment="1">
      <alignment horizontal="center" vertical="center"/>
    </xf>
    <xf numFmtId="0" fontId="37" fillId="0" borderId="1" xfId="0" applyFont="1" applyBorder="1" applyAlignment="1">
      <alignment vertical="center"/>
    </xf>
    <xf numFmtId="179" fontId="37" fillId="0" borderId="1" xfId="0" applyNumberFormat="1" applyFont="1" applyBorder="1" applyAlignment="1">
      <alignment horizontal="center" vertical="center"/>
    </xf>
    <xf numFmtId="189" fontId="35" fillId="0" borderId="0" xfId="0" applyNumberFormat="1" applyFont="1"/>
    <xf numFmtId="0" fontId="40" fillId="0" borderId="0" xfId="0" applyFont="1"/>
    <xf numFmtId="180" fontId="35" fillId="0" borderId="0" xfId="0" applyNumberFormat="1" applyFont="1"/>
    <xf numFmtId="0" fontId="37" fillId="0" borderId="1" xfId="0" applyFont="1" applyBorder="1"/>
    <xf numFmtId="0" fontId="13" fillId="0" borderId="8" xfId="0" applyFont="1" applyBorder="1" applyAlignment="1">
      <alignment horizontal="center" vertical="center"/>
    </xf>
    <xf numFmtId="0" fontId="41" fillId="0" borderId="1" xfId="0" applyFont="1" applyBorder="1" applyAlignment="1">
      <alignment horizontal="center" vertical="center"/>
    </xf>
    <xf numFmtId="0" fontId="41" fillId="0" borderId="1" xfId="0" applyFont="1" applyBorder="1" applyAlignment="1">
      <alignment horizontal="left" vertical="center"/>
    </xf>
    <xf numFmtId="0" fontId="42" fillId="0" borderId="0" xfId="0" applyFont="1"/>
    <xf numFmtId="0" fontId="43" fillId="0" borderId="8" xfId="0" applyFont="1" applyBorder="1" applyAlignment="1">
      <alignment horizontal="center" vertical="center"/>
    </xf>
    <xf numFmtId="180" fontId="10" fillId="0" borderId="1" xfId="0" applyNumberFormat="1" applyFont="1" applyBorder="1" applyAlignment="1">
      <alignment horizontal="center" vertical="center" wrapText="1"/>
    </xf>
    <xf numFmtId="0" fontId="29" fillId="0" borderId="8" xfId="0" applyFont="1" applyBorder="1" applyAlignment="1">
      <alignment horizontal="center" vertical="center"/>
    </xf>
    <xf numFmtId="0" fontId="28" fillId="0" borderId="20" xfId="0" applyFont="1" applyBorder="1" applyAlignment="1">
      <alignment horizontal="center" vertical="center"/>
    </xf>
    <xf numFmtId="0" fontId="28" fillId="0" borderId="7" xfId="0" applyFont="1" applyBorder="1" applyAlignment="1">
      <alignment horizontal="center" vertical="center"/>
    </xf>
    <xf numFmtId="0" fontId="28" fillId="0" borderId="1" xfId="0" applyFont="1" applyBorder="1" applyAlignment="1">
      <alignment horizontal="left" vertical="center"/>
    </xf>
    <xf numFmtId="179" fontId="28" fillId="0" borderId="7" xfId="0" applyNumberFormat="1" applyFont="1" applyBorder="1" applyAlignment="1">
      <alignment horizontal="center" vertical="center"/>
    </xf>
    <xf numFmtId="0" fontId="0" fillId="0" borderId="0" xfId="0" applyFont="1" applyFill="1"/>
    <xf numFmtId="0" fontId="20" fillId="0" borderId="0" xfId="0" applyFont="1" applyFill="1" applyAlignment="1">
      <alignment horizontal="center" vertical="center"/>
    </xf>
    <xf numFmtId="0" fontId="20" fillId="0" borderId="8" xfId="0" applyFont="1" applyFill="1" applyBorder="1" applyAlignment="1">
      <alignment horizontal="center" vertical="center"/>
    </xf>
    <xf numFmtId="0" fontId="7" fillId="0" borderId="20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179" fontId="7" fillId="0" borderId="7" xfId="0" applyNumberFormat="1" applyFont="1" applyFill="1" applyBorder="1" applyAlignment="1">
      <alignment horizontal="center" vertical="center"/>
    </xf>
    <xf numFmtId="0" fontId="44" fillId="0" borderId="0" xfId="0" applyFont="1" applyAlignment="1">
      <alignment vertical="center"/>
    </xf>
    <xf numFmtId="0" fontId="45" fillId="0" borderId="0" xfId="0" applyFont="1" applyAlignment="1">
      <alignment horizontal="center" vertical="center"/>
    </xf>
    <xf numFmtId="0" fontId="46" fillId="0" borderId="1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6" fillId="0" borderId="1" xfId="0" applyFont="1" applyBorder="1" applyAlignment="1">
      <alignment horizontal="center" vertical="center" wrapText="1"/>
    </xf>
    <xf numFmtId="2" fontId="47" fillId="0" borderId="1" xfId="0" applyNumberFormat="1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 wrapText="1"/>
    </xf>
    <xf numFmtId="2" fontId="47" fillId="0" borderId="1" xfId="0" applyNumberFormat="1" applyFont="1" applyBorder="1" applyAlignment="1">
      <alignment horizontal="center" vertical="center" wrapText="1"/>
    </xf>
    <xf numFmtId="10" fontId="47" fillId="0" borderId="1" xfId="0" applyNumberFormat="1" applyFont="1" applyBorder="1" applyAlignment="1">
      <alignment horizontal="center" vertical="center"/>
    </xf>
    <xf numFmtId="9" fontId="47" fillId="0" borderId="1" xfId="0" applyNumberFormat="1" applyFont="1" applyBorder="1" applyAlignment="1">
      <alignment horizontal="center" vertical="center" wrapText="1"/>
    </xf>
    <xf numFmtId="2" fontId="46" fillId="0" borderId="1" xfId="0" applyNumberFormat="1" applyFont="1" applyBorder="1" applyAlignment="1">
      <alignment horizontal="center" vertical="center"/>
    </xf>
    <xf numFmtId="0" fontId="47" fillId="0" borderId="1" xfId="0" applyFont="1" applyBorder="1" applyAlignment="1">
      <alignment vertical="center"/>
    </xf>
    <xf numFmtId="0" fontId="48" fillId="0" borderId="8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left" vertical="center" wrapText="1"/>
    </xf>
    <xf numFmtId="0" fontId="22" fillId="0" borderId="1" xfId="0" applyFont="1" applyBorder="1" applyAlignment="1">
      <alignment horizontal="center" vertical="center" wrapText="1"/>
    </xf>
    <xf numFmtId="178" fontId="22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left" vertical="center" wrapText="1"/>
    </xf>
    <xf numFmtId="178" fontId="11" fillId="0" borderId="1" xfId="0" applyNumberFormat="1" applyFont="1" applyBorder="1" applyAlignment="1">
      <alignment horizontal="center" vertical="center" wrapText="1"/>
    </xf>
    <xf numFmtId="179" fontId="11" fillId="0" borderId="1" xfId="0" applyNumberFormat="1" applyFont="1" applyBorder="1" applyAlignment="1">
      <alignment horizontal="center" vertical="center" wrapText="1"/>
    </xf>
    <xf numFmtId="2" fontId="11" fillId="0" borderId="1" xfId="0" applyNumberFormat="1" applyFont="1" applyBorder="1" applyAlignment="1">
      <alignment horizontal="center" vertical="center" wrapText="1"/>
    </xf>
    <xf numFmtId="192" fontId="22" fillId="0" borderId="1" xfId="0" applyNumberFormat="1" applyFont="1" applyBorder="1" applyAlignment="1">
      <alignment horizontal="center" vertical="center" wrapText="1"/>
    </xf>
    <xf numFmtId="0" fontId="49" fillId="0" borderId="0" xfId="0" applyFont="1" applyAlignment="1">
      <alignment vertical="center"/>
    </xf>
    <xf numFmtId="0" fontId="49" fillId="10" borderId="0" xfId="0" applyFont="1" applyFill="1" applyAlignment="1">
      <alignment vertical="center"/>
    </xf>
    <xf numFmtId="0" fontId="50" fillId="0" borderId="0" xfId="0" applyFont="1" applyAlignment="1">
      <alignment vertical="center"/>
    </xf>
    <xf numFmtId="0" fontId="27" fillId="0" borderId="0" xfId="0" applyFont="1" applyAlignment="1">
      <alignment vertical="center" wrapText="1"/>
    </xf>
    <xf numFmtId="0" fontId="51" fillId="0" borderId="0" xfId="0" applyFont="1" applyAlignment="1">
      <alignment vertical="center"/>
    </xf>
    <xf numFmtId="0" fontId="52" fillId="0" borderId="0" xfId="0" applyFont="1" applyAlignment="1">
      <alignment horizontal="center" vertical="center"/>
    </xf>
    <xf numFmtId="0" fontId="52" fillId="0" borderId="0" xfId="0" applyFont="1" applyAlignment="1">
      <alignment horizontal="left" vertical="center"/>
    </xf>
    <xf numFmtId="0" fontId="52" fillId="0" borderId="0" xfId="0" applyFont="1" applyAlignment="1">
      <alignment vertical="center"/>
    </xf>
    <xf numFmtId="0" fontId="53" fillId="0" borderId="0" xfId="0" applyFont="1" applyAlignment="1">
      <alignment horizontal="center" vertical="center"/>
    </xf>
    <xf numFmtId="0" fontId="53" fillId="0" borderId="0" xfId="0" applyFont="1" applyAlignment="1">
      <alignment horizontal="left" vertical="center"/>
    </xf>
    <xf numFmtId="0" fontId="50" fillId="0" borderId="0" xfId="0" applyFont="1" applyAlignment="1">
      <alignment horizontal="left" vertical="center"/>
    </xf>
    <xf numFmtId="0" fontId="50" fillId="0" borderId="0" xfId="0" applyFont="1" applyAlignment="1">
      <alignment horizontal="center" vertical="center"/>
    </xf>
    <xf numFmtId="0" fontId="52" fillId="0" borderId="1" xfId="0" applyFont="1" applyBorder="1" applyAlignment="1">
      <alignment horizontal="center" vertical="center" wrapText="1"/>
    </xf>
    <xf numFmtId="0" fontId="52" fillId="0" borderId="1" xfId="0" applyFont="1" applyBorder="1" applyAlignment="1">
      <alignment horizontal="left" vertical="center"/>
    </xf>
    <xf numFmtId="0" fontId="54" fillId="0" borderId="1" xfId="0" applyFont="1" applyBorder="1" applyAlignment="1">
      <alignment horizontal="center" vertical="center"/>
    </xf>
    <xf numFmtId="0" fontId="50" fillId="0" borderId="1" xfId="0" applyFont="1" applyBorder="1" applyAlignment="1">
      <alignment horizontal="left" vertical="center"/>
    </xf>
    <xf numFmtId="0" fontId="50" fillId="0" borderId="1" xfId="0" applyFont="1" applyBorder="1" applyAlignment="1">
      <alignment horizontal="center" vertical="center" wrapText="1"/>
    </xf>
    <xf numFmtId="0" fontId="50" fillId="0" borderId="1" xfId="0" applyFont="1" applyBorder="1" applyAlignment="1">
      <alignment horizontal="left" vertical="center" wrapText="1"/>
    </xf>
    <xf numFmtId="178" fontId="50" fillId="0" borderId="1" xfId="0" applyNumberFormat="1" applyFont="1" applyBorder="1" applyAlignment="1">
      <alignment horizontal="center" vertical="center" wrapText="1"/>
    </xf>
    <xf numFmtId="0" fontId="52" fillId="0" borderId="1" xfId="0" applyFont="1" applyBorder="1" applyAlignment="1">
      <alignment horizontal="center" vertical="center"/>
    </xf>
    <xf numFmtId="178" fontId="52" fillId="0" borderId="1" xfId="0" applyNumberFormat="1" applyFont="1" applyBorder="1" applyAlignment="1">
      <alignment horizontal="center" vertical="center" wrapText="1"/>
    </xf>
    <xf numFmtId="179" fontId="52" fillId="0" borderId="1" xfId="0" applyNumberFormat="1" applyFont="1" applyBorder="1" applyAlignment="1">
      <alignment horizontal="center" vertical="center" wrapText="1"/>
    </xf>
    <xf numFmtId="0" fontId="55" fillId="0" borderId="1" xfId="0" applyFont="1" applyBorder="1" applyAlignment="1">
      <alignment horizontal="left" vertical="center"/>
    </xf>
    <xf numFmtId="0" fontId="55" fillId="0" borderId="1" xfId="0" applyFont="1" applyBorder="1" applyAlignment="1">
      <alignment horizontal="center" vertical="center"/>
    </xf>
    <xf numFmtId="179" fontId="55" fillId="0" borderId="1" xfId="0" applyNumberFormat="1" applyFont="1" applyBorder="1" applyAlignment="1">
      <alignment horizontal="center" vertical="center" wrapText="1"/>
    </xf>
    <xf numFmtId="178" fontId="55" fillId="0" borderId="1" xfId="0" applyNumberFormat="1" applyFont="1" applyBorder="1" applyAlignment="1">
      <alignment horizontal="center" vertical="center" wrapText="1"/>
    </xf>
    <xf numFmtId="0" fontId="55" fillId="0" borderId="1" xfId="0" applyFont="1" applyBorder="1" applyAlignment="1">
      <alignment horizontal="center" vertical="center" wrapText="1"/>
    </xf>
    <xf numFmtId="0" fontId="52" fillId="0" borderId="1" xfId="0" applyFont="1" applyBorder="1" applyAlignment="1">
      <alignment horizontal="left" vertical="center" wrapText="1"/>
    </xf>
    <xf numFmtId="0" fontId="52" fillId="0" borderId="1" xfId="0" applyFont="1" applyBorder="1" applyAlignment="1">
      <alignment horizontal="center"/>
    </xf>
    <xf numFmtId="179" fontId="50" fillId="0" borderId="1" xfId="0" applyNumberFormat="1" applyFont="1" applyBorder="1" applyAlignment="1">
      <alignment horizontal="center" vertical="center" wrapText="1"/>
    </xf>
    <xf numFmtId="0" fontId="50" fillId="0" borderId="1" xfId="0" applyFont="1" applyBorder="1" applyAlignment="1">
      <alignment vertical="center" wrapText="1"/>
    </xf>
    <xf numFmtId="0" fontId="49" fillId="0" borderId="1" xfId="0" applyFont="1" applyBorder="1" applyAlignment="1">
      <alignment horizontal="center" vertical="center"/>
    </xf>
    <xf numFmtId="0" fontId="49" fillId="0" borderId="1" xfId="0" applyFont="1" applyBorder="1" applyAlignment="1">
      <alignment horizontal="left" vertical="center"/>
    </xf>
    <xf numFmtId="179" fontId="49" fillId="0" borderId="1" xfId="0" applyNumberFormat="1" applyFont="1" applyBorder="1" applyAlignment="1">
      <alignment horizontal="center" vertical="center"/>
    </xf>
    <xf numFmtId="0" fontId="49" fillId="0" borderId="1" xfId="0" applyFont="1" applyBorder="1" applyAlignment="1">
      <alignment vertical="center"/>
    </xf>
    <xf numFmtId="178" fontId="49" fillId="0" borderId="1" xfId="0" applyNumberFormat="1" applyFont="1" applyBorder="1" applyAlignment="1">
      <alignment horizontal="center" vertical="center"/>
    </xf>
    <xf numFmtId="180" fontId="52" fillId="0" borderId="1" xfId="0" applyNumberFormat="1" applyFont="1" applyBorder="1" applyAlignment="1">
      <alignment horizontal="left" vertical="center" wrapText="1"/>
    </xf>
    <xf numFmtId="180" fontId="52" fillId="0" borderId="1" xfId="0" applyNumberFormat="1" applyFont="1" applyBorder="1" applyAlignment="1">
      <alignment horizontal="center" vertical="center" wrapText="1"/>
    </xf>
    <xf numFmtId="178" fontId="51" fillId="0" borderId="1" xfId="0" applyNumberFormat="1" applyFont="1" applyBorder="1" applyAlignment="1">
      <alignment horizontal="center" vertical="center"/>
    </xf>
    <xf numFmtId="0" fontId="51" fillId="0" borderId="1" xfId="0" applyFont="1" applyBorder="1" applyAlignment="1">
      <alignment horizontal="center" vertical="center"/>
    </xf>
    <xf numFmtId="0" fontId="51" fillId="0" borderId="1" xfId="0" applyFont="1" applyBorder="1" applyAlignment="1">
      <alignment horizontal="left" vertical="center"/>
    </xf>
    <xf numFmtId="0" fontId="49" fillId="10" borderId="1" xfId="0" applyFont="1" applyFill="1" applyBorder="1" applyAlignment="1">
      <alignment horizontal="center" vertical="center"/>
    </xf>
    <xf numFmtId="180" fontId="52" fillId="10" borderId="1" xfId="0" applyNumberFormat="1" applyFont="1" applyFill="1" applyBorder="1" applyAlignment="1">
      <alignment horizontal="left" vertical="center" wrapText="1"/>
    </xf>
    <xf numFmtId="180" fontId="52" fillId="10" borderId="1" xfId="0" applyNumberFormat="1" applyFont="1" applyFill="1" applyBorder="1" applyAlignment="1">
      <alignment horizontal="center" vertical="center" wrapText="1"/>
    </xf>
    <xf numFmtId="179" fontId="52" fillId="10" borderId="1" xfId="0" applyNumberFormat="1" applyFont="1" applyFill="1" applyBorder="1" applyAlignment="1">
      <alignment horizontal="center" vertical="center" wrapText="1"/>
    </xf>
    <xf numFmtId="179" fontId="49" fillId="10" borderId="1" xfId="0" applyNumberFormat="1" applyFont="1" applyFill="1" applyBorder="1" applyAlignment="1">
      <alignment horizontal="center" vertical="center"/>
    </xf>
    <xf numFmtId="178" fontId="49" fillId="10" borderId="1" xfId="0" applyNumberFormat="1" applyFont="1" applyFill="1" applyBorder="1" applyAlignment="1">
      <alignment horizontal="center" vertical="center"/>
    </xf>
    <xf numFmtId="0" fontId="49" fillId="10" borderId="1" xfId="0" applyFont="1" applyFill="1" applyBorder="1" applyAlignment="1">
      <alignment vertical="center"/>
    </xf>
    <xf numFmtId="0" fontId="56" fillId="0" borderId="1" xfId="0" applyFont="1" applyBorder="1" applyAlignment="1">
      <alignment horizontal="center" vertical="center"/>
    </xf>
    <xf numFmtId="0" fontId="50" fillId="0" borderId="1" xfId="0" applyFont="1" applyBorder="1" applyAlignment="1">
      <alignment horizontal="center" vertical="center"/>
    </xf>
    <xf numFmtId="1" fontId="52" fillId="0" borderId="1" xfId="0" applyNumberFormat="1" applyFont="1" applyBorder="1" applyAlignment="1">
      <alignment horizontal="center" vertical="center" wrapText="1"/>
    </xf>
    <xf numFmtId="9" fontId="52" fillId="0" borderId="1" xfId="3" applyFont="1" applyFill="1" applyBorder="1" applyAlignment="1">
      <alignment horizontal="left" vertical="center" wrapText="1"/>
    </xf>
    <xf numFmtId="1" fontId="1" fillId="0" borderId="1" xfId="0" applyNumberFormat="1" applyFont="1" applyBorder="1" applyAlignment="1">
      <alignment horizontal="center" vertical="center" wrapText="1"/>
    </xf>
    <xf numFmtId="0" fontId="50" fillId="0" borderId="1" xfId="139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52" fillId="0" borderId="1" xfId="139" applyFont="1" applyBorder="1" applyAlignment="1">
      <alignment horizontal="center" vertical="center" wrapText="1"/>
    </xf>
    <xf numFmtId="2" fontId="57" fillId="0" borderId="1" xfId="0" applyNumberFormat="1" applyFont="1" applyBorder="1" applyAlignment="1">
      <alignment horizontal="center" vertical="center" wrapText="1"/>
    </xf>
    <xf numFmtId="178" fontId="50" fillId="0" borderId="1" xfId="0" applyNumberFormat="1" applyFont="1" applyBorder="1" applyAlignment="1">
      <alignment horizontal="center" vertical="center"/>
    </xf>
    <xf numFmtId="179" fontId="50" fillId="0" borderId="1" xfId="0" applyNumberFormat="1" applyFont="1" applyBorder="1" applyAlignment="1">
      <alignment horizontal="center" vertical="center"/>
    </xf>
    <xf numFmtId="0" fontId="50" fillId="0" borderId="1" xfId="0" applyFont="1" applyBorder="1" applyAlignment="1">
      <alignment vertical="center"/>
    </xf>
    <xf numFmtId="179" fontId="52" fillId="0" borderId="1" xfId="0" applyNumberFormat="1" applyFont="1" applyBorder="1" applyAlignment="1">
      <alignment horizontal="center" vertical="center"/>
    </xf>
    <xf numFmtId="0" fontId="52" fillId="0" borderId="1" xfId="0" applyFont="1" applyBorder="1" applyAlignment="1">
      <alignment vertical="center"/>
    </xf>
    <xf numFmtId="0" fontId="50" fillId="0" borderId="1" xfId="114" applyFont="1" applyBorder="1" applyAlignment="1">
      <alignment horizontal="center" vertical="center"/>
    </xf>
    <xf numFmtId="2" fontId="50" fillId="0" borderId="1" xfId="114" applyNumberFormat="1" applyFont="1" applyBorder="1" applyAlignment="1">
      <alignment horizontal="center" vertical="center"/>
    </xf>
    <xf numFmtId="0" fontId="52" fillId="0" borderId="1" xfId="114" applyFont="1" applyBorder="1" applyAlignment="1">
      <alignment horizontal="center" vertical="center"/>
    </xf>
    <xf numFmtId="2" fontId="52" fillId="0" borderId="1" xfId="0" applyNumberFormat="1" applyFont="1" applyBorder="1" applyAlignment="1">
      <alignment horizontal="center" vertical="center" wrapText="1"/>
    </xf>
    <xf numFmtId="0" fontId="52" fillId="0" borderId="0" xfId="0" applyFont="1"/>
    <xf numFmtId="0" fontId="50" fillId="0" borderId="0" xfId="0" applyFont="1"/>
    <xf numFmtId="178" fontId="52" fillId="0" borderId="1" xfId="0" applyNumberFormat="1" applyFont="1" applyBorder="1" applyAlignment="1">
      <alignment horizontal="center" vertical="center"/>
    </xf>
    <xf numFmtId="178" fontId="49" fillId="0" borderId="0" xfId="0" applyNumberFormat="1" applyFont="1" applyAlignment="1">
      <alignment vertical="center"/>
    </xf>
    <xf numFmtId="49" fontId="52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49" fontId="51" fillId="0" borderId="1" xfId="0" applyNumberFormat="1" applyFont="1" applyBorder="1" applyAlignment="1">
      <alignment horizontal="left" vertical="center" wrapText="1"/>
    </xf>
    <xf numFmtId="49" fontId="49" fillId="0" borderId="1" xfId="0" applyNumberFormat="1" applyFont="1" applyBorder="1" applyAlignment="1">
      <alignment horizontal="left" vertical="center" wrapText="1"/>
    </xf>
    <xf numFmtId="193" fontId="49" fillId="0" borderId="1" xfId="0" applyNumberFormat="1" applyFont="1" applyBorder="1" applyAlignment="1" applyProtection="1">
      <alignment horizontal="center" vertical="center"/>
      <protection locked="0"/>
    </xf>
    <xf numFmtId="194" fontId="58" fillId="0" borderId="1" xfId="0" applyNumberFormat="1" applyFont="1" applyBorder="1" applyAlignment="1">
      <alignment horizontal="center" vertical="center"/>
    </xf>
    <xf numFmtId="178" fontId="49" fillId="0" borderId="1" xfId="0" applyNumberFormat="1" applyFont="1" applyBorder="1" applyAlignment="1" applyProtection="1">
      <alignment horizontal="center" vertical="center"/>
      <protection locked="0"/>
    </xf>
    <xf numFmtId="185" fontId="49" fillId="0" borderId="1" xfId="0" applyNumberFormat="1" applyFont="1" applyBorder="1" applyAlignment="1">
      <alignment horizontal="center" vertical="center"/>
    </xf>
    <xf numFmtId="0" fontId="49" fillId="0" borderId="1" xfId="0" applyFont="1" applyBorder="1" applyAlignment="1">
      <alignment horizontal="left" vertical="center" wrapText="1"/>
    </xf>
    <xf numFmtId="2" fontId="49" fillId="0" borderId="1" xfId="0" applyNumberFormat="1" applyFont="1" applyBorder="1" applyAlignment="1" applyProtection="1">
      <alignment horizontal="center" vertical="center"/>
      <protection locked="0"/>
    </xf>
    <xf numFmtId="194" fontId="49" fillId="0" borderId="1" xfId="0" applyNumberFormat="1" applyFont="1" applyBorder="1" applyAlignment="1">
      <alignment horizontal="center" vertical="center"/>
    </xf>
    <xf numFmtId="0" fontId="51" fillId="10" borderId="1" xfId="0" applyFont="1" applyFill="1" applyBorder="1" applyAlignment="1">
      <alignment horizontal="center" vertical="center"/>
    </xf>
    <xf numFmtId="0" fontId="51" fillId="10" borderId="1" xfId="0" applyFont="1" applyFill="1" applyBorder="1" applyAlignment="1">
      <alignment horizontal="left" vertical="center"/>
    </xf>
    <xf numFmtId="0" fontId="50" fillId="10" borderId="1" xfId="0" applyFont="1" applyFill="1" applyBorder="1" applyAlignment="1">
      <alignment horizontal="center" vertical="center"/>
    </xf>
    <xf numFmtId="178" fontId="50" fillId="10" borderId="1" xfId="0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/>
    </xf>
    <xf numFmtId="0" fontId="59" fillId="0" borderId="0" xfId="137" applyFont="1" applyAlignment="1">
      <alignment horizontal="center" vertical="center"/>
    </xf>
    <xf numFmtId="0" fontId="0" fillId="0" borderId="0" xfId="137" applyFont="1" applyAlignment="1">
      <alignment vertical="center"/>
    </xf>
    <xf numFmtId="0" fontId="7" fillId="0" borderId="1" xfId="137" applyFont="1" applyBorder="1" applyAlignment="1">
      <alignment horizontal="center" vertical="center"/>
    </xf>
    <xf numFmtId="0" fontId="7" fillId="0" borderId="5" xfId="137" applyFont="1" applyBorder="1" applyAlignment="1">
      <alignment horizontal="center" vertical="center"/>
    </xf>
    <xf numFmtId="0" fontId="7" fillId="0" borderId="6" xfId="137" applyFont="1" applyBorder="1" applyAlignment="1">
      <alignment horizontal="center" vertical="center"/>
    </xf>
    <xf numFmtId="179" fontId="8" fillId="0" borderId="5" xfId="137" applyNumberFormat="1" applyFont="1" applyBorder="1" applyAlignment="1">
      <alignment horizontal="center" vertical="center"/>
    </xf>
    <xf numFmtId="179" fontId="8" fillId="0" borderId="6" xfId="137" applyNumberFormat="1" applyFont="1" applyBorder="1" applyAlignment="1">
      <alignment horizontal="center" vertical="center"/>
    </xf>
    <xf numFmtId="0" fontId="7" fillId="0" borderId="1" xfId="137" applyFont="1" applyBorder="1" applyAlignment="1">
      <alignment vertical="center"/>
    </xf>
    <xf numFmtId="179" fontId="7" fillId="0" borderId="5" xfId="137" applyNumberFormat="1" applyFont="1" applyBorder="1" applyAlignment="1">
      <alignment horizontal="center" vertical="center"/>
    </xf>
    <xf numFmtId="179" fontId="7" fillId="0" borderId="6" xfId="137" applyNumberFormat="1" applyFont="1" applyBorder="1" applyAlignment="1">
      <alignment horizontal="center" vertical="center"/>
    </xf>
    <xf numFmtId="0" fontId="7" fillId="0" borderId="1" xfId="137" applyFont="1" applyBorder="1" applyAlignment="1">
      <alignment horizontal="left" vertical="center"/>
    </xf>
    <xf numFmtId="180" fontId="7" fillId="0" borderId="5" xfId="137" applyNumberFormat="1" applyFont="1" applyBorder="1" applyAlignment="1">
      <alignment horizontal="center" vertical="center"/>
    </xf>
    <xf numFmtId="180" fontId="7" fillId="0" borderId="6" xfId="137" applyNumberFormat="1" applyFont="1" applyBorder="1" applyAlignment="1">
      <alignment horizontal="center" vertical="center"/>
    </xf>
    <xf numFmtId="0" fontId="7" fillId="0" borderId="1" xfId="137" applyFont="1" applyBorder="1" applyAlignment="1">
      <alignment horizontal="left" vertical="center" wrapText="1"/>
    </xf>
    <xf numFmtId="10" fontId="7" fillId="0" borderId="5" xfId="3" applyNumberFormat="1" applyFont="1" applyFill="1" applyBorder="1" applyAlignment="1">
      <alignment horizontal="center" vertical="center"/>
    </xf>
    <xf numFmtId="10" fontId="7" fillId="0" borderId="6" xfId="3" applyNumberFormat="1" applyFont="1" applyFill="1" applyBorder="1" applyAlignment="1">
      <alignment horizontal="center" vertical="center"/>
    </xf>
    <xf numFmtId="179" fontId="7" fillId="0" borderId="1" xfId="3" applyNumberFormat="1" applyFont="1" applyFill="1" applyBorder="1" applyAlignment="1">
      <alignment horizontal="center" vertical="center"/>
    </xf>
    <xf numFmtId="0" fontId="8" fillId="0" borderId="1" xfId="137" applyFont="1" applyBorder="1" applyAlignment="1">
      <alignment horizontal="center" vertical="center"/>
    </xf>
    <xf numFmtId="9" fontId="7" fillId="0" borderId="5" xfId="3" applyFont="1" applyFill="1" applyBorder="1" applyAlignment="1">
      <alignment horizontal="center" vertical="center"/>
    </xf>
    <xf numFmtId="9" fontId="7" fillId="0" borderId="6" xfId="3" applyFont="1" applyFill="1" applyBorder="1" applyAlignment="1">
      <alignment horizontal="center" vertical="center"/>
    </xf>
    <xf numFmtId="179" fontId="7" fillId="0" borderId="5" xfId="3" applyNumberFormat="1" applyFont="1" applyFill="1" applyBorder="1" applyAlignment="1">
      <alignment horizontal="center" vertical="center"/>
    </xf>
    <xf numFmtId="179" fontId="7" fillId="0" borderId="6" xfId="3" applyNumberFormat="1" applyFont="1" applyFill="1" applyBorder="1" applyAlignment="1">
      <alignment horizontal="center" vertical="center"/>
    </xf>
    <xf numFmtId="179" fontId="8" fillId="0" borderId="1" xfId="137" applyNumberFormat="1" applyFont="1" applyBorder="1" applyAlignment="1">
      <alignment horizontal="center" vertical="center" wrapText="1"/>
    </xf>
    <xf numFmtId="0" fontId="60" fillId="0" borderId="1" xfId="137" applyFont="1" applyBorder="1" applyAlignment="1">
      <alignment horizontal="center" vertical="center" wrapText="1"/>
    </xf>
    <xf numFmtId="0" fontId="60" fillId="0" borderId="1" xfId="137" applyFont="1" applyBorder="1" applyAlignment="1">
      <alignment horizontal="center" vertical="center"/>
    </xf>
    <xf numFmtId="10" fontId="7" fillId="0" borderId="1" xfId="92" applyNumberFormat="1" applyFont="1" applyFill="1" applyBorder="1" applyAlignment="1">
      <alignment horizontal="center" vertical="center"/>
    </xf>
    <xf numFmtId="0" fontId="8" fillId="0" borderId="6" xfId="137" applyFont="1" applyBorder="1" applyAlignment="1">
      <alignment horizontal="center" vertical="center"/>
    </xf>
    <xf numFmtId="179" fontId="8" fillId="0" borderId="5" xfId="3" applyNumberFormat="1" applyFont="1" applyFill="1" applyBorder="1" applyAlignment="1">
      <alignment horizontal="center" vertical="center"/>
    </xf>
    <xf numFmtId="179" fontId="8" fillId="0" borderId="6" xfId="3" applyNumberFormat="1" applyFont="1" applyFill="1" applyBorder="1" applyAlignment="1">
      <alignment horizontal="center" vertical="center"/>
    </xf>
    <xf numFmtId="0" fontId="7" fillId="0" borderId="1" xfId="137" applyFont="1" applyBorder="1" applyAlignment="1">
      <alignment horizontal="center" vertical="center" wrapText="1"/>
    </xf>
    <xf numFmtId="0" fontId="60" fillId="0" borderId="5" xfId="137" applyFont="1" applyBorder="1" applyAlignment="1">
      <alignment horizontal="center" vertical="center" wrapText="1"/>
    </xf>
    <xf numFmtId="0" fontId="60" fillId="0" borderId="17" xfId="137" applyFont="1" applyBorder="1" applyAlignment="1">
      <alignment horizontal="center" vertical="center" wrapText="1"/>
    </xf>
    <xf numFmtId="0" fontId="44" fillId="0" borderId="0" xfId="0" applyFont="1" applyFill="1" applyAlignment="1">
      <alignment vertical="center"/>
    </xf>
    <xf numFmtId="0" fontId="45" fillId="0" borderId="0" xfId="0" applyFont="1" applyFill="1" applyBorder="1" applyAlignment="1">
      <alignment horizontal="center" vertical="center"/>
    </xf>
    <xf numFmtId="0" fontId="61" fillId="0" borderId="1" xfId="0" applyFont="1" applyFill="1" applyBorder="1" applyAlignment="1">
      <alignment horizontal="center" vertical="center" indent="2"/>
    </xf>
    <xf numFmtId="0" fontId="62" fillId="0" borderId="1" xfId="0" applyFont="1" applyFill="1" applyBorder="1" applyAlignment="1">
      <alignment horizontal="center" vertical="center"/>
    </xf>
    <xf numFmtId="179" fontId="11" fillId="0" borderId="1" xfId="0" applyNumberFormat="1" applyFont="1" applyFill="1" applyBorder="1" applyAlignment="1">
      <alignment horizontal="center" vertical="center"/>
    </xf>
    <xf numFmtId="0" fontId="63" fillId="0" borderId="1" xfId="0" applyFont="1" applyFill="1" applyBorder="1" applyAlignment="1">
      <alignment horizontal="center" vertical="center"/>
    </xf>
    <xf numFmtId="0" fontId="54" fillId="0" borderId="1" xfId="0" applyFont="1" applyFill="1" applyBorder="1" applyAlignment="1">
      <alignment horizontal="center" vertical="center"/>
    </xf>
    <xf numFmtId="0" fontId="63" fillId="0" borderId="1" xfId="0" applyFont="1" applyFill="1" applyBorder="1" applyAlignment="1">
      <alignment vertical="center"/>
    </xf>
    <xf numFmtId="178" fontId="54" fillId="0" borderId="1" xfId="0" applyNumberFormat="1" applyFont="1" applyFill="1" applyBorder="1" applyAlignment="1">
      <alignment horizontal="center" vertical="center"/>
    </xf>
    <xf numFmtId="178" fontId="63" fillId="0" borderId="1" xfId="0" applyNumberFormat="1" applyFont="1" applyFill="1" applyBorder="1" applyAlignment="1">
      <alignment horizontal="center" vertical="center"/>
    </xf>
    <xf numFmtId="185" fontId="63" fillId="0" borderId="1" xfId="0" applyNumberFormat="1" applyFont="1" applyFill="1" applyBorder="1" applyAlignment="1">
      <alignment horizontal="center" vertical="center"/>
    </xf>
    <xf numFmtId="0" fontId="62" fillId="0" borderId="1" xfId="0" applyFont="1" applyFill="1" applyBorder="1" applyAlignment="1">
      <alignment vertical="center" wrapText="1"/>
    </xf>
    <xf numFmtId="180" fontId="11" fillId="0" borderId="1" xfId="164" applyNumberFormat="1" applyFont="1" applyFill="1" applyBorder="1" applyAlignment="1">
      <alignment horizontal="center" vertical="center"/>
    </xf>
    <xf numFmtId="178" fontId="11" fillId="0" borderId="1" xfId="0" applyNumberFormat="1" applyFont="1" applyFill="1" applyBorder="1" applyAlignment="1">
      <alignment horizontal="center" vertical="center"/>
    </xf>
    <xf numFmtId="0" fontId="44" fillId="0" borderId="0" xfId="0" applyFont="1" applyFill="1" applyAlignment="1">
      <alignment horizontal="center" vertical="center"/>
    </xf>
    <xf numFmtId="0" fontId="64" fillId="0" borderId="0" xfId="0" applyFont="1" applyFill="1" applyBorder="1" applyAlignment="1">
      <alignment horizontal="center" vertical="center" wrapText="1"/>
    </xf>
    <xf numFmtId="0" fontId="65" fillId="0" borderId="1" xfId="0" applyFont="1" applyFill="1" applyBorder="1" applyAlignment="1">
      <alignment horizontal="center" vertical="center"/>
    </xf>
    <xf numFmtId="0" fontId="65" fillId="0" borderId="1" xfId="0" applyFont="1" applyFill="1" applyBorder="1" applyAlignment="1">
      <alignment horizontal="center" vertical="center" indent="2"/>
    </xf>
    <xf numFmtId="0" fontId="66" fillId="0" borderId="1" xfId="0" applyFont="1" applyFill="1" applyBorder="1" applyAlignment="1">
      <alignment horizontal="center" vertical="center"/>
    </xf>
    <xf numFmtId="179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indent="2"/>
    </xf>
    <xf numFmtId="1" fontId="11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80" fontId="22" fillId="0" borderId="1" xfId="164" applyNumberFormat="1" applyFont="1" applyFill="1" applyBorder="1" applyAlignment="1">
      <alignment horizontal="center" vertical="center"/>
    </xf>
    <xf numFmtId="179" fontId="22" fillId="0" borderId="1" xfId="143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indent="2"/>
    </xf>
    <xf numFmtId="0" fontId="11" fillId="0" borderId="1" xfId="0" applyFont="1" applyFill="1" applyBorder="1" applyAlignment="1">
      <alignment vertical="center" wrapText="1"/>
    </xf>
    <xf numFmtId="181" fontId="11" fillId="0" borderId="1" xfId="164" applyNumberFormat="1" applyFont="1" applyFill="1" applyBorder="1" applyAlignment="1">
      <alignment horizontal="center" vertical="center"/>
    </xf>
    <xf numFmtId="0" fontId="67" fillId="0" borderId="1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vertical="center"/>
    </xf>
    <xf numFmtId="0" fontId="22" fillId="0" borderId="0" xfId="0" applyFont="1" applyFill="1" applyAlignment="1">
      <alignment vertical="center"/>
    </xf>
    <xf numFmtId="0" fontId="11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179" fontId="3" fillId="0" borderId="0" xfId="0" applyNumberFormat="1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20" fillId="0" borderId="0" xfId="0" applyNumberFormat="1" applyFont="1" applyFill="1" applyBorder="1" applyAlignment="1">
      <alignment horizontal="center" vertical="center"/>
    </xf>
    <xf numFmtId="0" fontId="20" fillId="0" borderId="0" xfId="0" applyNumberFormat="1" applyFont="1" applyFill="1" applyBorder="1" applyAlignment="1">
      <alignment horizontal="left" vertical="center"/>
    </xf>
    <xf numFmtId="179" fontId="20" fillId="0" borderId="0" xfId="0" applyNumberFormat="1" applyFont="1" applyFill="1" applyBorder="1" applyAlignment="1">
      <alignment horizontal="center" vertical="center"/>
    </xf>
    <xf numFmtId="0" fontId="11" fillId="0" borderId="0" xfId="0" applyNumberFormat="1" applyFont="1" applyFill="1" applyBorder="1" applyAlignment="1">
      <alignment horizontal="left" vertical="center"/>
    </xf>
    <xf numFmtId="179" fontId="11" fillId="0" borderId="0" xfId="0" applyNumberFormat="1" applyFont="1" applyFill="1" applyBorder="1" applyAlignment="1">
      <alignment horizontal="center" vertical="center"/>
    </xf>
    <xf numFmtId="0" fontId="11" fillId="0" borderId="0" xfId="0" applyNumberFormat="1" applyFont="1" applyFill="1" applyBorder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184" fontId="11" fillId="0" borderId="1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11" fillId="10" borderId="1" xfId="0" applyFont="1" applyFill="1" applyBorder="1" applyAlignment="1">
      <alignment horizontal="center" vertical="center"/>
    </xf>
    <xf numFmtId="179" fontId="11" fillId="10" borderId="1" xfId="0" applyNumberFormat="1" applyFont="1" applyFill="1" applyBorder="1" applyAlignment="1">
      <alignment horizontal="center" vertical="center"/>
    </xf>
    <xf numFmtId="178" fontId="11" fillId="10" borderId="1" xfId="0" applyNumberFormat="1" applyFont="1" applyFill="1" applyBorder="1" applyAlignment="1">
      <alignment horizontal="center" vertical="center"/>
    </xf>
    <xf numFmtId="0" fontId="13" fillId="0" borderId="0" xfId="0" applyFont="1"/>
    <xf numFmtId="0" fontId="68" fillId="0" borderId="0" xfId="0" applyFont="1" applyFill="1" applyAlignment="1">
      <alignment vertical="center"/>
    </xf>
    <xf numFmtId="176" fontId="20" fillId="0" borderId="0" xfId="2" applyFont="1" applyFill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/>
    </xf>
    <xf numFmtId="0" fontId="11" fillId="0" borderId="8" xfId="0" applyFont="1" applyBorder="1" applyAlignment="1">
      <alignment vertical="center"/>
    </xf>
    <xf numFmtId="0" fontId="69" fillId="0" borderId="1" xfId="0" applyFont="1" applyBorder="1" applyAlignment="1">
      <alignment horizontal="center" vertical="center" wrapText="1"/>
    </xf>
    <xf numFmtId="2" fontId="69" fillId="0" borderId="1" xfId="0" applyNumberFormat="1" applyFont="1" applyBorder="1" applyAlignment="1">
      <alignment horizontal="center" vertical="center" wrapText="1"/>
    </xf>
    <xf numFmtId="2" fontId="8" fillId="0" borderId="1" xfId="0" applyNumberFormat="1" applyFont="1" applyBorder="1" applyAlignment="1">
      <alignment horizontal="center" vertical="center" wrapText="1"/>
    </xf>
    <xf numFmtId="0" fontId="24" fillId="0" borderId="1" xfId="0" applyFont="1" applyBorder="1" applyAlignment="1">
      <alignment horizontal="left" vertical="center" wrapText="1"/>
    </xf>
    <xf numFmtId="2" fontId="24" fillId="0" borderId="1" xfId="0" applyNumberFormat="1" applyFont="1" applyBorder="1" applyAlignment="1">
      <alignment horizontal="center" vertical="center" wrapText="1"/>
    </xf>
    <xf numFmtId="2" fontId="7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/>
    </xf>
    <xf numFmtId="1" fontId="7" fillId="0" borderId="1" xfId="163" applyNumberFormat="1" applyFont="1" applyFill="1" applyBorder="1" applyAlignment="1">
      <alignment horizontal="center" vertical="center"/>
    </xf>
    <xf numFmtId="2" fontId="7" fillId="0" borderId="1" xfId="163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/>
    <xf numFmtId="179" fontId="8" fillId="0" borderId="1" xfId="0" applyNumberFormat="1" applyFont="1" applyFill="1" applyBorder="1" applyAlignment="1">
      <alignment horizontal="center" vertical="center"/>
    </xf>
    <xf numFmtId="0" fontId="0" fillId="0" borderId="0" xfId="104" applyFill="1" applyBorder="1" applyAlignment="1"/>
    <xf numFmtId="0" fontId="59" fillId="0" borderId="0" xfId="104" applyFont="1" applyFill="1" applyBorder="1" applyAlignment="1">
      <alignment horizontal="center"/>
    </xf>
    <xf numFmtId="0" fontId="7" fillId="0" borderId="1" xfId="104" applyFont="1" applyFill="1" applyBorder="1" applyAlignment="1">
      <alignment horizontal="center" vertical="center"/>
    </xf>
    <xf numFmtId="0" fontId="7" fillId="0" borderId="5" xfId="104" applyFont="1" applyFill="1" applyBorder="1" applyAlignment="1">
      <alignment horizontal="center" vertical="center"/>
    </xf>
    <xf numFmtId="0" fontId="7" fillId="0" borderId="6" xfId="104" applyFont="1" applyFill="1" applyBorder="1" applyAlignment="1">
      <alignment horizontal="center" vertical="center"/>
    </xf>
    <xf numFmtId="0" fontId="7" fillId="0" borderId="1" xfId="104" applyFont="1" applyFill="1" applyBorder="1" applyAlignment="1">
      <alignment vertical="center"/>
    </xf>
    <xf numFmtId="0" fontId="0" fillId="0" borderId="5" xfId="104" applyFill="1" applyBorder="1" applyAlignment="1">
      <alignment horizontal="center" vertical="center"/>
    </xf>
    <xf numFmtId="0" fontId="0" fillId="0" borderId="6" xfId="104" applyFill="1" applyBorder="1" applyAlignment="1">
      <alignment horizontal="center" vertical="center"/>
    </xf>
    <xf numFmtId="180" fontId="7" fillId="0" borderId="1" xfId="104" applyNumberFormat="1" applyFont="1" applyFill="1" applyBorder="1" applyAlignment="1">
      <alignment horizontal="center" vertical="center"/>
    </xf>
    <xf numFmtId="179" fontId="7" fillId="0" borderId="1" xfId="104" applyNumberFormat="1" applyFont="1" applyFill="1" applyBorder="1" applyAlignment="1">
      <alignment horizontal="center" vertical="center" wrapText="1"/>
    </xf>
    <xf numFmtId="0" fontId="7" fillId="0" borderId="1" xfId="104" applyFont="1" applyFill="1" applyBorder="1" applyAlignment="1">
      <alignment horizontal="left" vertical="center"/>
    </xf>
    <xf numFmtId="187" fontId="7" fillId="0" borderId="5" xfId="104" applyNumberFormat="1" applyFont="1" applyFill="1" applyBorder="1" applyAlignment="1">
      <alignment horizontal="center" vertical="center"/>
    </xf>
    <xf numFmtId="187" fontId="7" fillId="0" borderId="6" xfId="104" applyNumberFormat="1" applyFont="1" applyFill="1" applyBorder="1" applyAlignment="1">
      <alignment horizontal="center" vertical="center"/>
    </xf>
    <xf numFmtId="0" fontId="7" fillId="0" borderId="1" xfId="104" applyFont="1" applyFill="1" applyBorder="1" applyAlignment="1">
      <alignment horizontal="left" vertical="center" wrapText="1"/>
    </xf>
    <xf numFmtId="0" fontId="7" fillId="0" borderId="1" xfId="104" applyFont="1" applyFill="1" applyBorder="1" applyAlignment="1">
      <alignment horizontal="center" vertical="center" wrapText="1"/>
    </xf>
    <xf numFmtId="179" fontId="7" fillId="0" borderId="1" xfId="104" applyNumberFormat="1" applyFont="1" applyFill="1" applyBorder="1" applyAlignment="1">
      <alignment horizontal="right" vertical="center" wrapText="1"/>
    </xf>
    <xf numFmtId="179" fontId="7" fillId="0" borderId="5" xfId="104" applyNumberFormat="1" applyFont="1" applyFill="1" applyBorder="1" applyAlignment="1">
      <alignment horizontal="center" vertical="center"/>
    </xf>
    <xf numFmtId="179" fontId="7" fillId="0" borderId="6" xfId="104" applyNumberFormat="1" applyFont="1" applyFill="1" applyBorder="1" applyAlignment="1">
      <alignment horizontal="center" vertical="center"/>
    </xf>
    <xf numFmtId="0" fontId="7" fillId="0" borderId="7" xfId="104" applyFont="1" applyFill="1" applyBorder="1" applyAlignment="1">
      <alignment vertical="center"/>
    </xf>
    <xf numFmtId="10" fontId="7" fillId="0" borderId="5" xfId="92" applyNumberFormat="1" applyFont="1" applyFill="1" applyBorder="1" applyAlignment="1">
      <alignment horizontal="center" vertical="center"/>
    </xf>
    <xf numFmtId="10" fontId="7" fillId="0" borderId="6" xfId="92" applyNumberFormat="1" applyFont="1" applyFill="1" applyBorder="1" applyAlignment="1">
      <alignment horizontal="center" vertical="center"/>
    </xf>
    <xf numFmtId="179" fontId="7" fillId="0" borderId="1" xfId="104" applyNumberFormat="1" applyFont="1" applyFill="1" applyBorder="1" applyAlignment="1">
      <alignment horizontal="center" vertical="center"/>
    </xf>
    <xf numFmtId="0" fontId="8" fillId="0" borderId="1" xfId="104" applyFont="1" applyFill="1" applyBorder="1" applyAlignment="1">
      <alignment horizontal="center" vertical="center"/>
    </xf>
    <xf numFmtId="10" fontId="7" fillId="0" borderId="5" xfId="92" applyNumberFormat="1" applyFont="1" applyBorder="1" applyAlignment="1">
      <alignment horizontal="center" vertical="center"/>
    </xf>
    <xf numFmtId="10" fontId="7" fillId="0" borderId="6" xfId="92" applyNumberFormat="1" applyFont="1" applyBorder="1" applyAlignment="1">
      <alignment horizontal="center" vertical="center"/>
    </xf>
    <xf numFmtId="179" fontId="8" fillId="0" borderId="1" xfId="104" applyNumberFormat="1" applyFont="1" applyFill="1" applyBorder="1" applyAlignment="1">
      <alignment horizontal="center" vertical="center"/>
    </xf>
    <xf numFmtId="0" fontId="70" fillId="0" borderId="1" xfId="104" applyFont="1" applyFill="1" applyBorder="1" applyAlignment="1">
      <alignment horizontal="center" vertical="center" wrapText="1"/>
    </xf>
    <xf numFmtId="0" fontId="70" fillId="0" borderId="1" xfId="104" applyFont="1" applyFill="1" applyBorder="1" applyAlignment="1">
      <alignment horizontal="center" vertical="center"/>
    </xf>
    <xf numFmtId="0" fontId="0" fillId="0" borderId="1" xfId="137" applyFont="1" applyFill="1" applyBorder="1" applyAlignment="1">
      <alignment horizontal="center" vertical="center"/>
    </xf>
    <xf numFmtId="195" fontId="0" fillId="0" borderId="1" xfId="137" applyNumberFormat="1" applyFont="1" applyFill="1" applyBorder="1" applyAlignment="1">
      <alignment horizontal="center" vertical="center"/>
    </xf>
    <xf numFmtId="2" fontId="0" fillId="0" borderId="0" xfId="0" applyNumberFormat="1"/>
    <xf numFmtId="0" fontId="71" fillId="0" borderId="0" xfId="123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17" xfId="0" applyBorder="1" applyAlignment="1">
      <alignment horizontal="center"/>
    </xf>
    <xf numFmtId="179" fontId="0" fillId="0" borderId="1" xfId="0" applyNumberFormat="1" applyBorder="1" applyAlignment="1">
      <alignment horizontal="center"/>
    </xf>
    <xf numFmtId="10" fontId="0" fillId="0" borderId="17" xfId="3" applyNumberFormat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20" xfId="0" applyBorder="1" applyAlignment="1">
      <alignment horizontal="center"/>
    </xf>
    <xf numFmtId="179" fontId="0" fillId="0" borderId="20" xfId="0" applyNumberFormat="1" applyBorder="1" applyAlignment="1">
      <alignment horizontal="center"/>
    </xf>
    <xf numFmtId="10" fontId="0" fillId="0" borderId="4" xfId="3" applyNumberFormat="1" applyFont="1" applyBorder="1" applyAlignment="1">
      <alignment horizontal="center"/>
    </xf>
    <xf numFmtId="0" fontId="0" fillId="0" borderId="20" xfId="0" applyBorder="1"/>
    <xf numFmtId="0" fontId="3" fillId="0" borderId="0" xfId="161" applyFont="1"/>
    <xf numFmtId="0" fontId="1" fillId="0" borderId="0" xfId="161" applyFont="1"/>
    <xf numFmtId="0" fontId="2" fillId="0" borderId="0" xfId="161" applyFont="1"/>
    <xf numFmtId="0" fontId="3" fillId="0" borderId="0" xfId="161" applyFont="1" applyAlignment="1">
      <alignment horizontal="right"/>
    </xf>
    <xf numFmtId="0" fontId="3" fillId="2" borderId="1" xfId="161" applyFont="1" applyFill="1" applyBorder="1"/>
    <xf numFmtId="0" fontId="4" fillId="3" borderId="1" xfId="161" applyFont="1" applyFill="1" applyBorder="1" applyAlignment="1">
      <alignment horizontal="center" wrapText="1"/>
    </xf>
    <xf numFmtId="0" fontId="4" fillId="4" borderId="2" xfId="161" applyFont="1" applyFill="1" applyBorder="1" applyAlignment="1">
      <alignment horizontal="center" wrapText="1"/>
    </xf>
    <xf numFmtId="0" fontId="5" fillId="3" borderId="1" xfId="161" applyFont="1" applyFill="1" applyBorder="1" applyAlignment="1">
      <alignment horizontal="center" wrapText="1"/>
    </xf>
    <xf numFmtId="0" fontId="3" fillId="3" borderId="1" xfId="161" applyFont="1" applyFill="1" applyBorder="1" applyAlignment="1">
      <alignment horizontal="justify" wrapText="1"/>
    </xf>
    <xf numFmtId="0" fontId="6" fillId="5" borderId="1" xfId="161" applyFont="1" applyFill="1" applyBorder="1" applyAlignment="1">
      <alignment horizontal="right" wrapText="1"/>
    </xf>
    <xf numFmtId="0" fontId="6" fillId="4" borderId="1" xfId="161" applyFont="1" applyFill="1" applyBorder="1" applyAlignment="1">
      <alignment horizontal="right" wrapText="1"/>
    </xf>
    <xf numFmtId="0" fontId="4" fillId="3" borderId="0" xfId="161" applyFont="1" applyFill="1" applyAlignment="1">
      <alignment horizontal="center" wrapText="1"/>
    </xf>
    <xf numFmtId="0" fontId="6" fillId="5" borderId="0" xfId="161" applyFont="1" applyFill="1" applyAlignment="1">
      <alignment horizontal="right" wrapText="1"/>
    </xf>
    <xf numFmtId="0" fontId="3" fillId="0" borderId="1" xfId="161" applyFont="1" applyBorder="1"/>
    <xf numFmtId="0" fontId="4" fillId="0" borderId="1" xfId="161" applyFont="1" applyBorder="1" applyAlignment="1">
      <alignment horizontal="center" wrapText="1"/>
    </xf>
    <xf numFmtId="0" fontId="4" fillId="0" borderId="2" xfId="161" applyFont="1" applyBorder="1" applyAlignment="1">
      <alignment horizontal="center" wrapText="1"/>
    </xf>
    <xf numFmtId="0" fontId="5" fillId="0" borderId="1" xfId="161" applyFont="1" applyBorder="1" applyAlignment="1">
      <alignment horizontal="center" wrapText="1"/>
    </xf>
    <xf numFmtId="0" fontId="3" fillId="0" borderId="1" xfId="161" applyFont="1" applyBorder="1" applyAlignment="1">
      <alignment horizontal="justify" wrapText="1"/>
    </xf>
    <xf numFmtId="0" fontId="6" fillId="0" borderId="1" xfId="161" applyFont="1" applyBorder="1" applyAlignment="1">
      <alignment horizontal="right" wrapText="1"/>
    </xf>
    <xf numFmtId="0" fontId="3" fillId="3" borderId="0" xfId="161" applyFont="1" applyFill="1" applyAlignment="1">
      <alignment horizontal="justify" wrapText="1"/>
    </xf>
    <xf numFmtId="0" fontId="4" fillId="0" borderId="0" xfId="161" applyFont="1" applyAlignment="1">
      <alignment horizontal="center" wrapText="1"/>
    </xf>
    <xf numFmtId="0" fontId="6" fillId="0" borderId="0" xfId="161" applyFont="1" applyAlignment="1">
      <alignment horizontal="right" wrapText="1"/>
    </xf>
    <xf numFmtId="0" fontId="2" fillId="0" borderId="0" xfId="162" applyFont="1" applyAlignment="1"/>
    <xf numFmtId="0" fontId="3" fillId="0" borderId="0" xfId="162" applyFont="1" applyAlignment="1">
      <alignment horizontal="right"/>
    </xf>
    <xf numFmtId="0" fontId="3" fillId="2" borderId="1" xfId="162" applyFont="1" applyFill="1" applyBorder="1" applyAlignment="1"/>
    <xf numFmtId="0" fontId="4" fillId="3" borderId="1" xfId="162" applyFont="1" applyFill="1" applyBorder="1" applyAlignment="1">
      <alignment horizontal="center" wrapText="1"/>
    </xf>
    <xf numFmtId="0" fontId="4" fillId="0" borderId="2" xfId="162" applyFont="1" applyBorder="1" applyAlignment="1">
      <alignment horizontal="center" wrapText="1"/>
    </xf>
    <xf numFmtId="0" fontId="5" fillId="3" borderId="1" xfId="162" applyFont="1" applyFill="1" applyBorder="1" applyAlignment="1">
      <alignment horizontal="center" wrapText="1"/>
    </xf>
    <xf numFmtId="0" fontId="3" fillId="3" borderId="1" xfId="162" applyFont="1" applyFill="1" applyBorder="1" applyAlignment="1">
      <alignment horizontal="justify" wrapText="1"/>
    </xf>
    <xf numFmtId="0" fontId="6" fillId="2" borderId="1" xfId="162" applyFont="1" applyFill="1" applyBorder="1" applyAlignment="1">
      <alignment horizontal="right" wrapText="1"/>
    </xf>
    <xf numFmtId="0" fontId="2" fillId="0" borderId="0" xfId="161" applyFont="1" applyAlignment="1">
      <alignment horizontal="center"/>
    </xf>
    <xf numFmtId="0" fontId="4" fillId="0" borderId="9" xfId="161" applyFont="1" applyBorder="1" applyAlignment="1">
      <alignment horizontal="center"/>
    </xf>
    <xf numFmtId="0" fontId="5" fillId="0" borderId="0" xfId="161" applyFont="1" applyAlignment="1">
      <alignment horizontal="center" wrapText="1"/>
    </xf>
    <xf numFmtId="0" fontId="4" fillId="0" borderId="0" xfId="161" applyFont="1" applyAlignment="1">
      <alignment horizontal="center"/>
    </xf>
    <xf numFmtId="0" fontId="4" fillId="0" borderId="10" xfId="161" applyFont="1" applyBorder="1" applyAlignment="1">
      <alignment horizontal="center" wrapText="1"/>
    </xf>
    <xf numFmtId="0" fontId="4" fillId="0" borderId="11" xfId="161" applyFont="1" applyBorder="1" applyAlignment="1">
      <alignment horizontal="center" wrapText="1"/>
    </xf>
    <xf numFmtId="0" fontId="4" fillId="0" borderId="12" xfId="161" applyFont="1" applyBorder="1" applyAlignment="1">
      <alignment horizontal="center" wrapText="1"/>
    </xf>
    <xf numFmtId="0" fontId="4" fillId="0" borderId="13" xfId="161" applyFont="1" applyBorder="1" applyAlignment="1">
      <alignment horizontal="center" wrapText="1"/>
    </xf>
    <xf numFmtId="0" fontId="3" fillId="0" borderId="2" xfId="161" applyFont="1" applyBorder="1" applyAlignment="1">
      <alignment horizontal="center" wrapText="1"/>
    </xf>
    <xf numFmtId="0" fontId="4" fillId="0" borderId="14" xfId="161" applyFont="1" applyBorder="1" applyAlignment="1">
      <alignment horizontal="center" wrapText="1"/>
    </xf>
    <xf numFmtId="0" fontId="11" fillId="0" borderId="1" xfId="161" applyFont="1" applyBorder="1" applyAlignment="1">
      <alignment horizontal="center" wrapText="1"/>
    </xf>
    <xf numFmtId="0" fontId="3" fillId="0" borderId="15" xfId="161" applyFont="1" applyBorder="1" applyAlignment="1">
      <alignment horizontal="center" wrapText="1"/>
    </xf>
    <xf numFmtId="0" fontId="3" fillId="0" borderId="0" xfId="161" applyFont="1" applyAlignment="1">
      <alignment horizontal="justify" wrapText="1"/>
    </xf>
    <xf numFmtId="0" fontId="11" fillId="0" borderId="0" xfId="161" applyFont="1" applyAlignment="1">
      <alignment horizontal="center" wrapText="1"/>
    </xf>
    <xf numFmtId="0" fontId="3" fillId="0" borderId="0" xfId="161" applyFont="1" applyAlignment="1">
      <alignment horizontal="center" wrapText="1"/>
    </xf>
    <xf numFmtId="0" fontId="4" fillId="0" borderId="0" xfId="162" applyFont="1" applyAlignment="1">
      <alignment horizontal="center" wrapText="1"/>
    </xf>
    <xf numFmtId="0" fontId="2" fillId="0" borderId="0" xfId="162" applyFont="1" applyAlignment="1">
      <alignment horizontal="center"/>
    </xf>
    <xf numFmtId="0" fontId="4" fillId="0" borderId="9" xfId="162" applyFont="1" applyBorder="1" applyAlignment="1">
      <alignment horizontal="center"/>
    </xf>
    <xf numFmtId="0" fontId="3" fillId="0" borderId="0" xfId="162" applyFont="1" applyAlignment="1"/>
    <xf numFmtId="0" fontId="5" fillId="0" borderId="0" xfId="162" applyFont="1" applyAlignment="1">
      <alignment horizontal="center" wrapText="1"/>
    </xf>
    <xf numFmtId="0" fontId="4" fillId="0" borderId="0" xfId="162" applyFont="1" applyAlignment="1">
      <alignment horizontal="center"/>
    </xf>
    <xf numFmtId="0" fontId="6" fillId="0" borderId="0" xfId="162" applyFont="1" applyAlignment="1">
      <alignment horizontal="right" wrapText="1"/>
    </xf>
    <xf numFmtId="0" fontId="4" fillId="0" borderId="10" xfId="162" applyFont="1" applyBorder="1" applyAlignment="1">
      <alignment horizontal="center" wrapText="1"/>
    </xf>
    <xf numFmtId="0" fontId="4" fillId="0" borderId="11" xfId="162" applyFont="1" applyBorder="1" applyAlignment="1">
      <alignment horizontal="center" wrapText="1"/>
    </xf>
    <xf numFmtId="0" fontId="4" fillId="0" borderId="12" xfId="162" applyFont="1" applyBorder="1" applyAlignment="1">
      <alignment horizontal="center" wrapText="1"/>
    </xf>
    <xf numFmtId="0" fontId="4" fillId="0" borderId="13" xfId="162" applyFont="1" applyBorder="1" applyAlignment="1">
      <alignment horizontal="center" wrapText="1"/>
    </xf>
    <xf numFmtId="0" fontId="3" fillId="0" borderId="2" xfId="162" applyFont="1" applyBorder="1" applyAlignment="1">
      <alignment horizontal="center" wrapText="1"/>
    </xf>
    <xf numFmtId="0" fontId="4" fillId="0" borderId="14" xfId="162" applyFont="1" applyBorder="1" applyAlignment="1">
      <alignment horizontal="center" wrapText="1"/>
    </xf>
    <xf numFmtId="0" fontId="11" fillId="0" borderId="1" xfId="162" applyFont="1" applyBorder="1" applyAlignment="1">
      <alignment horizontal="center" wrapText="1"/>
    </xf>
    <xf numFmtId="0" fontId="3" fillId="0" borderId="15" xfId="162" applyFont="1" applyBorder="1" applyAlignment="1">
      <alignment horizontal="center" wrapText="1"/>
    </xf>
    <xf numFmtId="0" fontId="3" fillId="0" borderId="0" xfId="162" applyFont="1" applyAlignment="1">
      <alignment horizontal="justify" wrapText="1"/>
    </xf>
    <xf numFmtId="0" fontId="4" fillId="0" borderId="16" xfId="161" applyFont="1" applyBorder="1" applyAlignment="1">
      <alignment horizontal="center" wrapText="1"/>
    </xf>
    <xf numFmtId="0" fontId="4" fillId="0" borderId="16" xfId="162" applyFont="1" applyBorder="1" applyAlignment="1">
      <alignment horizontal="center" wrapText="1"/>
    </xf>
    <xf numFmtId="0" fontId="72" fillId="0" borderId="0" xfId="161" applyFont="1"/>
    <xf numFmtId="0" fontId="23" fillId="0" borderId="0" xfId="161" applyFont="1"/>
    <xf numFmtId="0" fontId="73" fillId="9" borderId="0" xfId="0" applyFont="1" applyFill="1"/>
    <xf numFmtId="0" fontId="74" fillId="9" borderId="0" xfId="0" applyFont="1" applyFill="1"/>
    <xf numFmtId="0" fontId="74" fillId="9" borderId="0" xfId="0" applyFont="1" applyFill="1" applyAlignment="1">
      <alignment vertical="center"/>
    </xf>
    <xf numFmtId="0" fontId="35" fillId="9" borderId="0" xfId="0" applyFont="1" applyFill="1" applyAlignment="1">
      <alignment vertical="center"/>
    </xf>
    <xf numFmtId="0" fontId="35" fillId="9" borderId="0" xfId="0" applyFont="1" applyFill="1"/>
    <xf numFmtId="0" fontId="74" fillId="0" borderId="0" xfId="0" applyFont="1"/>
    <xf numFmtId="0" fontId="35" fillId="0" borderId="0" xfId="0" applyFont="1" applyAlignment="1">
      <alignment vertical="center"/>
    </xf>
    <xf numFmtId="0" fontId="74" fillId="0" borderId="0" xfId="0" applyFont="1" applyAlignment="1">
      <alignment horizontal="center" vertical="center"/>
    </xf>
    <xf numFmtId="0" fontId="74" fillId="0" borderId="0" xfId="0" applyFont="1" applyAlignment="1">
      <alignment horizontal="left" vertical="center"/>
    </xf>
    <xf numFmtId="0" fontId="74" fillId="0" borderId="0" xfId="0" applyFont="1" applyAlignment="1">
      <alignment vertical="center"/>
    </xf>
    <xf numFmtId="0" fontId="75" fillId="0" borderId="0" xfId="0" applyFont="1" applyAlignment="1">
      <alignment horizontal="center" vertical="center"/>
    </xf>
    <xf numFmtId="0" fontId="75" fillId="0" borderId="0" xfId="0" applyFont="1" applyAlignment="1">
      <alignment horizontal="left" vertical="center"/>
    </xf>
    <xf numFmtId="0" fontId="37" fillId="0" borderId="1" xfId="0" applyFont="1" applyBorder="1" applyAlignment="1">
      <alignment horizontal="left" vertical="center"/>
    </xf>
    <xf numFmtId="0" fontId="22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left" vertical="center"/>
    </xf>
    <xf numFmtId="0" fontId="76" fillId="9" borderId="1" xfId="0" applyFont="1" applyFill="1" applyBorder="1" applyAlignment="1">
      <alignment horizontal="center" vertical="center"/>
    </xf>
    <xf numFmtId="179" fontId="76" fillId="9" borderId="1" xfId="0" applyNumberFormat="1" applyFont="1" applyFill="1" applyBorder="1" applyAlignment="1">
      <alignment horizontal="center" vertical="center" wrapText="1"/>
    </xf>
    <xf numFmtId="178" fontId="76" fillId="9" borderId="1" xfId="143" applyNumberFormat="1" applyFont="1" applyFill="1" applyBorder="1" applyAlignment="1">
      <alignment horizontal="center" vertical="center"/>
    </xf>
    <xf numFmtId="179" fontId="37" fillId="9" borderId="1" xfId="0" applyNumberFormat="1" applyFont="1" applyFill="1" applyBorder="1" applyAlignment="1">
      <alignment horizontal="center" vertical="center" wrapText="1"/>
    </xf>
    <xf numFmtId="178" fontId="37" fillId="9" borderId="1" xfId="143" applyNumberFormat="1" applyFont="1" applyFill="1" applyBorder="1" applyAlignment="1">
      <alignment horizontal="center" vertical="center"/>
    </xf>
    <xf numFmtId="0" fontId="37" fillId="9" borderId="1" xfId="0" applyFont="1" applyFill="1" applyBorder="1" applyAlignment="1">
      <alignment horizontal="center" vertical="center"/>
    </xf>
    <xf numFmtId="179" fontId="76" fillId="9" borderId="1" xfId="143" applyNumberFormat="1" applyFont="1" applyFill="1" applyBorder="1" applyAlignment="1">
      <alignment horizontal="center" vertical="center"/>
    </xf>
    <xf numFmtId="179" fontId="76" fillId="9" borderId="1" xfId="143" applyNumberFormat="1" applyFont="1" applyFill="1" applyBorder="1" applyAlignment="1">
      <alignment horizontal="left" vertical="center"/>
    </xf>
    <xf numFmtId="178" fontId="77" fillId="9" borderId="1" xfId="143" applyNumberFormat="1" applyFont="1" applyFill="1" applyBorder="1" applyAlignment="1">
      <alignment horizontal="center" vertical="center"/>
    </xf>
    <xf numFmtId="0" fontId="37" fillId="9" borderId="1" xfId="143" applyFont="1" applyFill="1" applyBorder="1" applyAlignment="1">
      <alignment horizontal="center" vertical="center"/>
    </xf>
    <xf numFmtId="178" fontId="37" fillId="9" borderId="1" xfId="0" applyNumberFormat="1" applyFont="1" applyFill="1" applyBorder="1" applyAlignment="1">
      <alignment horizontal="center" vertical="center" wrapText="1"/>
    </xf>
    <xf numFmtId="0" fontId="37" fillId="9" borderId="1" xfId="0" applyFont="1" applyFill="1" applyBorder="1" applyAlignment="1">
      <alignment horizontal="left" vertical="center"/>
    </xf>
    <xf numFmtId="0" fontId="37" fillId="9" borderId="1" xfId="90" applyFont="1" applyFill="1" applyBorder="1" applyAlignment="1">
      <alignment horizontal="center" vertical="center" wrapText="1"/>
    </xf>
    <xf numFmtId="179" fontId="37" fillId="9" borderId="1" xfId="143" applyNumberFormat="1" applyFont="1" applyFill="1" applyBorder="1" applyAlignment="1">
      <alignment horizontal="center" vertical="center"/>
    </xf>
    <xf numFmtId="178" fontId="76" fillId="9" borderId="1" xfId="0" applyNumberFormat="1" applyFont="1" applyFill="1" applyBorder="1" applyAlignment="1">
      <alignment horizontal="center" vertical="center" wrapText="1"/>
    </xf>
    <xf numFmtId="0" fontId="76" fillId="9" borderId="1" xfId="0" applyFont="1" applyFill="1" applyBorder="1" applyAlignment="1">
      <alignment horizontal="left" vertical="center" wrapText="1"/>
    </xf>
    <xf numFmtId="0" fontId="37" fillId="9" borderId="1" xfId="0" applyFont="1" applyFill="1" applyBorder="1" applyAlignment="1">
      <alignment horizontal="left" vertical="center" wrapText="1"/>
    </xf>
    <xf numFmtId="0" fontId="37" fillId="9" borderId="1" xfId="0" applyFont="1" applyFill="1" applyBorder="1" applyAlignment="1">
      <alignment horizontal="center" vertical="center" wrapText="1"/>
    </xf>
    <xf numFmtId="0" fontId="37" fillId="9" borderId="1" xfId="0" applyFont="1" applyFill="1" applyBorder="1" applyAlignment="1">
      <alignment horizontal="left" wrapText="1"/>
    </xf>
    <xf numFmtId="0" fontId="76" fillId="9" borderId="1" xfId="0" applyFont="1" applyFill="1" applyBorder="1" applyAlignment="1">
      <alignment horizontal="center" vertical="center" wrapText="1"/>
    </xf>
    <xf numFmtId="0" fontId="78" fillId="9" borderId="1" xfId="0" applyFont="1" applyFill="1" applyBorder="1" applyAlignment="1">
      <alignment horizontal="left" vertical="center" wrapText="1"/>
    </xf>
    <xf numFmtId="0" fontId="37" fillId="9" borderId="1" xfId="0" applyFont="1" applyFill="1" applyBorder="1" applyAlignment="1">
      <alignment horizontal="center" wrapText="1"/>
    </xf>
    <xf numFmtId="0" fontId="79" fillId="9" borderId="1" xfId="0" applyFont="1" applyFill="1" applyBorder="1" applyAlignment="1">
      <alignment horizontal="center" vertical="center" wrapText="1"/>
    </xf>
    <xf numFmtId="0" fontId="37" fillId="9" borderId="1" xfId="0" applyFont="1" applyFill="1" applyBorder="1" applyAlignment="1">
      <alignment vertical="center" wrapText="1"/>
    </xf>
    <xf numFmtId="0" fontId="76" fillId="0" borderId="1" xfId="0" applyFont="1" applyBorder="1" applyAlignment="1">
      <alignment horizontal="center" vertical="center" wrapText="1"/>
    </xf>
    <xf numFmtId="0" fontId="76" fillId="0" borderId="1" xfId="0" applyFont="1" applyBorder="1" applyAlignment="1">
      <alignment horizontal="left" vertical="center"/>
    </xf>
    <xf numFmtId="178" fontId="76" fillId="0" borderId="1" xfId="0" applyNumberFormat="1" applyFont="1" applyBorder="1" applyAlignment="1">
      <alignment horizontal="center" vertical="center" wrapText="1"/>
    </xf>
    <xf numFmtId="0" fontId="37" fillId="0" borderId="1" xfId="91" applyFont="1" applyBorder="1" applyAlignment="1">
      <alignment horizontal="center" vertical="center" wrapText="1"/>
    </xf>
    <xf numFmtId="179" fontId="37" fillId="0" borderId="1" xfId="91" applyNumberFormat="1" applyFont="1" applyBorder="1" applyAlignment="1">
      <alignment horizontal="center" vertical="center" wrapText="1"/>
    </xf>
    <xf numFmtId="178" fontId="37" fillId="0" borderId="1" xfId="0" applyNumberFormat="1" applyFont="1" applyBorder="1" applyAlignment="1">
      <alignment horizontal="center" vertical="center" wrapText="1"/>
    </xf>
    <xf numFmtId="179" fontId="37" fillId="13" borderId="1" xfId="91" applyNumberFormat="1" applyFont="1" applyFill="1" applyBorder="1" applyAlignment="1">
      <alignment horizontal="center" vertical="center" wrapText="1"/>
    </xf>
    <xf numFmtId="0" fontId="80" fillId="0" borderId="1" xfId="91" applyFont="1" applyBorder="1" applyAlignment="1">
      <alignment horizontal="left" vertical="center" wrapText="1"/>
    </xf>
    <xf numFmtId="0" fontId="37" fillId="0" borderId="1" xfId="91" applyFont="1" applyBorder="1" applyAlignment="1">
      <alignment horizontal="left" vertical="center" wrapText="1"/>
    </xf>
    <xf numFmtId="179" fontId="37" fillId="17" borderId="1" xfId="0" applyNumberFormat="1" applyFont="1" applyFill="1" applyBorder="1" applyAlignment="1">
      <alignment horizontal="center" vertical="center" wrapText="1"/>
    </xf>
    <xf numFmtId="0" fontId="37" fillId="18" borderId="1" xfId="0" applyFont="1" applyFill="1" applyBorder="1" applyAlignment="1">
      <alignment horizontal="center" vertical="center" wrapText="1"/>
    </xf>
    <xf numFmtId="0" fontId="80" fillId="18" borderId="1" xfId="91" applyFont="1" applyFill="1" applyBorder="1" applyAlignment="1">
      <alignment horizontal="left" vertical="center" wrapText="1"/>
    </xf>
    <xf numFmtId="179" fontId="37" fillId="18" borderId="1" xfId="0" applyNumberFormat="1" applyFont="1" applyFill="1" applyBorder="1" applyAlignment="1">
      <alignment horizontal="center" vertical="center" wrapText="1"/>
    </xf>
    <xf numFmtId="178" fontId="37" fillId="18" borderId="1" xfId="0" applyNumberFormat="1" applyFont="1" applyFill="1" applyBorder="1" applyAlignment="1">
      <alignment horizontal="center" vertical="center" wrapText="1"/>
    </xf>
    <xf numFmtId="0" fontId="76" fillId="0" borderId="1" xfId="91" applyFont="1" applyBorder="1" applyAlignment="1">
      <alignment horizontal="left" vertical="center" wrapText="1"/>
    </xf>
    <xf numFmtId="0" fontId="76" fillId="0" borderId="1" xfId="91" applyFont="1" applyBorder="1" applyAlignment="1">
      <alignment horizontal="center" vertical="center" wrapText="1"/>
    </xf>
    <xf numFmtId="0" fontId="37" fillId="19" borderId="1" xfId="0" applyFont="1" applyFill="1" applyBorder="1" applyAlignment="1">
      <alignment horizontal="center" vertical="center" wrapText="1"/>
    </xf>
    <xf numFmtId="0" fontId="37" fillId="19" borderId="1" xfId="91" applyFont="1" applyFill="1" applyBorder="1" applyAlignment="1">
      <alignment horizontal="left" vertical="center" wrapText="1"/>
    </xf>
    <xf numFmtId="0" fontId="37" fillId="19" borderId="1" xfId="91" applyFont="1" applyFill="1" applyBorder="1" applyAlignment="1">
      <alignment horizontal="center" vertical="center" wrapText="1"/>
    </xf>
    <xf numFmtId="178" fontId="37" fillId="19" borderId="1" xfId="0" applyNumberFormat="1" applyFont="1" applyFill="1" applyBorder="1" applyAlignment="1">
      <alignment horizontal="center" vertical="center" wrapText="1"/>
    </xf>
    <xf numFmtId="0" fontId="37" fillId="10" borderId="1" xfId="0" applyFont="1" applyFill="1" applyBorder="1" applyAlignment="1">
      <alignment horizontal="center" vertical="center" wrapText="1"/>
    </xf>
    <xf numFmtId="0" fontId="37" fillId="10" borderId="1" xfId="91" applyFont="1" applyFill="1" applyBorder="1" applyAlignment="1">
      <alignment horizontal="left" vertical="center" wrapText="1"/>
    </xf>
    <xf numFmtId="0" fontId="37" fillId="10" borderId="1" xfId="91" applyFont="1" applyFill="1" applyBorder="1" applyAlignment="1">
      <alignment horizontal="center" vertical="center" wrapText="1"/>
    </xf>
    <xf numFmtId="179" fontId="37" fillId="10" borderId="1" xfId="0" applyNumberFormat="1" applyFont="1" applyFill="1" applyBorder="1" applyAlignment="1">
      <alignment horizontal="center" vertical="center" wrapText="1"/>
    </xf>
    <xf numFmtId="178" fontId="37" fillId="10" borderId="1" xfId="0" applyNumberFormat="1" applyFont="1" applyFill="1" applyBorder="1" applyAlignment="1">
      <alignment horizontal="center" vertical="center" wrapText="1"/>
    </xf>
    <xf numFmtId="179" fontId="37" fillId="0" borderId="1" xfId="0" applyNumberFormat="1" applyFont="1" applyBorder="1" applyAlignment="1">
      <alignment horizontal="center" vertical="center" wrapText="1"/>
    </xf>
    <xf numFmtId="179" fontId="37" fillId="13" borderId="1" xfId="0" applyNumberFormat="1" applyFont="1" applyFill="1" applyBorder="1" applyAlignment="1">
      <alignment horizontal="center" vertical="center" wrapText="1"/>
    </xf>
    <xf numFmtId="0" fontId="76" fillId="20" borderId="1" xfId="0" applyFont="1" applyFill="1" applyBorder="1" applyAlignment="1">
      <alignment horizontal="center" vertical="center" wrapText="1"/>
    </xf>
    <xf numFmtId="0" fontId="76" fillId="20" borderId="1" xfId="91" applyFont="1" applyFill="1" applyBorder="1" applyAlignment="1">
      <alignment horizontal="left" vertical="center" wrapText="1"/>
    </xf>
    <xf numFmtId="178" fontId="76" fillId="20" borderId="1" xfId="0" applyNumberFormat="1" applyFont="1" applyFill="1" applyBorder="1" applyAlignment="1">
      <alignment horizontal="center" vertical="center" wrapText="1"/>
    </xf>
    <xf numFmtId="179" fontId="37" fillId="10" borderId="1" xfId="91" applyNumberFormat="1" applyFont="1" applyFill="1" applyBorder="1" applyAlignment="1">
      <alignment horizontal="center" vertical="center" wrapText="1"/>
    </xf>
    <xf numFmtId="179" fontId="76" fillId="0" borderId="1" xfId="0" applyNumberFormat="1" applyFont="1" applyBorder="1" applyAlignment="1">
      <alignment horizontal="center" vertical="center" wrapText="1"/>
    </xf>
    <xf numFmtId="0" fontId="81" fillId="0" borderId="1" xfId="0" applyFont="1" applyBorder="1" applyAlignment="1">
      <alignment horizontal="left" vertical="center"/>
    </xf>
    <xf numFmtId="0" fontId="81" fillId="9" borderId="1" xfId="0" applyFont="1" applyFill="1" applyBorder="1" applyAlignment="1">
      <alignment horizontal="left" vertical="center"/>
    </xf>
    <xf numFmtId="0" fontId="81" fillId="0" borderId="1" xfId="0" applyFont="1" applyBorder="1" applyAlignment="1">
      <alignment horizontal="left" vertical="center" wrapText="1"/>
    </xf>
    <xf numFmtId="0" fontId="77" fillId="0" borderId="1" xfId="0" applyFont="1" applyBorder="1" applyAlignment="1">
      <alignment horizontal="left" vertical="center"/>
    </xf>
    <xf numFmtId="0" fontId="76" fillId="20" borderId="1" xfId="0" applyFont="1" applyFill="1" applyBorder="1" applyAlignment="1">
      <alignment horizontal="left" vertical="center"/>
    </xf>
    <xf numFmtId="179" fontId="37" fillId="19" borderId="1" xfId="91" applyNumberFormat="1" applyFont="1" applyFill="1" applyBorder="1" applyAlignment="1">
      <alignment horizontal="center" vertical="center" wrapText="1"/>
    </xf>
    <xf numFmtId="179" fontId="37" fillId="19" borderId="1" xfId="0" applyNumberFormat="1" applyFont="1" applyFill="1" applyBorder="1" applyAlignment="1">
      <alignment horizontal="center" vertical="center" wrapText="1"/>
    </xf>
    <xf numFmtId="0" fontId="37" fillId="9" borderId="1" xfId="91" applyFont="1" applyFill="1" applyBorder="1" applyAlignment="1">
      <alignment horizontal="left" vertical="center" wrapText="1"/>
    </xf>
    <xf numFmtId="179" fontId="37" fillId="9" borderId="1" xfId="91" applyNumberFormat="1" applyFont="1" applyFill="1" applyBorder="1" applyAlignment="1">
      <alignment horizontal="center" vertical="center" wrapText="1"/>
    </xf>
    <xf numFmtId="0" fontId="76" fillId="9" borderId="1" xfId="0" applyFont="1" applyFill="1" applyBorder="1" applyAlignment="1">
      <alignment horizontal="left" vertical="center"/>
    </xf>
    <xf numFmtId="0" fontId="37" fillId="9" borderId="1" xfId="91" applyFont="1" applyFill="1" applyBorder="1" applyAlignment="1">
      <alignment horizontal="center" vertical="center" wrapText="1"/>
    </xf>
    <xf numFmtId="0" fontId="82" fillId="9" borderId="1" xfId="0" applyFont="1" applyFill="1" applyBorder="1" applyAlignment="1">
      <alignment horizontal="center" vertical="center"/>
    </xf>
    <xf numFmtId="179" fontId="83" fillId="9" borderId="1" xfId="0" applyNumberFormat="1" applyFont="1" applyFill="1" applyBorder="1" applyAlignment="1">
      <alignment horizontal="center" vertical="center" wrapText="1"/>
    </xf>
    <xf numFmtId="0" fontId="84" fillId="9" borderId="1" xfId="0" applyFont="1" applyFill="1" applyBorder="1" applyAlignment="1">
      <alignment horizontal="left" vertical="center" wrapText="1"/>
    </xf>
    <xf numFmtId="0" fontId="78" fillId="9" borderId="1" xfId="0" applyFont="1" applyFill="1" applyBorder="1" applyAlignment="1">
      <alignment horizontal="center" vertical="center" wrapText="1"/>
    </xf>
    <xf numFmtId="0" fontId="76" fillId="9" borderId="1" xfId="91" applyFont="1" applyFill="1" applyBorder="1" applyAlignment="1">
      <alignment horizontal="left" vertical="center" wrapText="1"/>
    </xf>
    <xf numFmtId="0" fontId="76" fillId="9" borderId="1" xfId="91" applyFont="1" applyFill="1" applyBorder="1" applyAlignment="1">
      <alignment horizontal="center" vertical="center" wrapText="1"/>
    </xf>
    <xf numFmtId="179" fontId="76" fillId="9" borderId="1" xfId="91" applyNumberFormat="1" applyFont="1" applyFill="1" applyBorder="1" applyAlignment="1">
      <alignment horizontal="center" vertical="center" wrapText="1"/>
    </xf>
    <xf numFmtId="180" fontId="85" fillId="9" borderId="1" xfId="58" applyNumberFormat="1" applyFont="1" applyFill="1" applyBorder="1" applyAlignment="1">
      <alignment horizontal="left" vertical="center" wrapText="1"/>
    </xf>
    <xf numFmtId="180" fontId="86" fillId="9" borderId="1" xfId="58" applyNumberFormat="1" applyFont="1" applyFill="1" applyBorder="1" applyAlignment="1">
      <alignment horizontal="center" vertical="center"/>
    </xf>
    <xf numFmtId="180" fontId="37" fillId="9" borderId="1" xfId="58" applyNumberFormat="1" applyFont="1" applyFill="1" applyBorder="1" applyAlignment="1">
      <alignment horizontal="center" vertical="center"/>
    </xf>
    <xf numFmtId="180" fontId="37" fillId="9" borderId="1" xfId="140" applyNumberFormat="1" applyFont="1" applyFill="1" applyBorder="1" applyAlignment="1">
      <alignment horizontal="center" vertical="center"/>
    </xf>
    <xf numFmtId="181" fontId="76" fillId="9" borderId="1" xfId="140" applyNumberFormat="1" applyFont="1" applyFill="1" applyBorder="1" applyAlignment="1">
      <alignment horizontal="center" vertical="center"/>
    </xf>
    <xf numFmtId="180" fontId="85" fillId="9" borderId="1" xfId="58" applyNumberFormat="1" applyFont="1" applyFill="1" applyBorder="1" applyAlignment="1">
      <alignment horizontal="center" vertical="center" wrapText="1"/>
    </xf>
    <xf numFmtId="180" fontId="37" fillId="9" borderId="1" xfId="58" applyNumberFormat="1" applyFont="1" applyFill="1" applyBorder="1" applyAlignment="1">
      <alignment horizontal="right" vertical="center"/>
    </xf>
    <xf numFmtId="180" fontId="86" fillId="9" borderId="1" xfId="58" applyNumberFormat="1" applyFont="1" applyFill="1" applyBorder="1" applyAlignment="1">
      <alignment horizontal="left" vertical="center"/>
    </xf>
    <xf numFmtId="179" fontId="81" fillId="9" borderId="1" xfId="0" applyNumberFormat="1" applyFont="1" applyFill="1" applyBorder="1" applyAlignment="1">
      <alignment horizontal="center" vertical="center"/>
    </xf>
    <xf numFmtId="181" fontId="37" fillId="9" borderId="1" xfId="58" applyNumberFormat="1" applyFont="1" applyFill="1" applyBorder="1" applyAlignment="1">
      <alignment horizontal="center" vertical="center"/>
    </xf>
    <xf numFmtId="180" fontId="87" fillId="9" borderId="1" xfId="58" applyNumberFormat="1" applyFont="1" applyFill="1" applyBorder="1" applyAlignment="1">
      <alignment horizontal="center" vertical="center" wrapText="1"/>
    </xf>
    <xf numFmtId="180" fontId="37" fillId="9" borderId="1" xfId="58" applyNumberFormat="1" applyFont="1" applyFill="1" applyBorder="1" applyAlignment="1">
      <alignment horizontal="left" vertical="center"/>
    </xf>
    <xf numFmtId="0" fontId="62" fillId="9" borderId="1" xfId="0" applyFont="1" applyFill="1" applyBorder="1" applyAlignment="1">
      <alignment horizontal="left" vertical="center" wrapText="1"/>
    </xf>
    <xf numFmtId="179" fontId="37" fillId="9" borderId="1" xfId="0" applyNumberFormat="1" applyFont="1" applyFill="1" applyBorder="1" applyAlignment="1">
      <alignment horizontal="center" vertical="center"/>
    </xf>
    <xf numFmtId="180" fontId="37" fillId="9" borderId="1" xfId="58" applyNumberFormat="1" applyFont="1" applyFill="1" applyBorder="1" applyAlignment="1">
      <alignment horizontal="center" vertical="center" wrapText="1"/>
    </xf>
    <xf numFmtId="181" fontId="76" fillId="9" borderId="1" xfId="58" applyNumberFormat="1" applyFont="1" applyFill="1" applyBorder="1" applyAlignment="1">
      <alignment horizontal="center" vertical="center"/>
    </xf>
    <xf numFmtId="181" fontId="37" fillId="9" borderId="1" xfId="58" applyNumberFormat="1" applyFont="1" applyFill="1" applyBorder="1" applyAlignment="1">
      <alignment horizontal="right" vertical="center"/>
    </xf>
    <xf numFmtId="196" fontId="37" fillId="9" borderId="1" xfId="49" applyNumberFormat="1" applyFont="1" applyFill="1" applyBorder="1" applyAlignment="1">
      <alignment horizontal="center" vertical="center"/>
    </xf>
    <xf numFmtId="179" fontId="37" fillId="21" borderId="1" xfId="0" applyNumberFormat="1" applyFont="1" applyFill="1" applyBorder="1" applyAlignment="1">
      <alignment horizontal="center" vertical="center" wrapText="1"/>
    </xf>
    <xf numFmtId="178" fontId="37" fillId="0" borderId="1" xfId="91" applyNumberFormat="1" applyFont="1" applyBorder="1" applyAlignment="1">
      <alignment horizontal="center" vertical="center" wrapText="1"/>
    </xf>
    <xf numFmtId="0" fontId="37" fillId="22" borderId="1" xfId="0" applyFont="1" applyFill="1" applyBorder="1" applyAlignment="1">
      <alignment horizontal="center" vertical="center" wrapText="1"/>
    </xf>
    <xf numFmtId="0" fontId="37" fillId="22" borderId="1" xfId="91" applyFont="1" applyFill="1" applyBorder="1" applyAlignment="1">
      <alignment horizontal="left" vertical="center" wrapText="1"/>
    </xf>
    <xf numFmtId="0" fontId="37" fillId="22" borderId="1" xfId="91" applyFont="1" applyFill="1" applyBorder="1" applyAlignment="1">
      <alignment horizontal="center" vertical="center" wrapText="1"/>
    </xf>
    <xf numFmtId="178" fontId="37" fillId="22" borderId="1" xfId="91" applyNumberFormat="1" applyFont="1" applyFill="1" applyBorder="1" applyAlignment="1">
      <alignment horizontal="center" vertical="center" wrapText="1"/>
    </xf>
    <xf numFmtId="179" fontId="37" fillId="22" borderId="1" xfId="91" applyNumberFormat="1" applyFont="1" applyFill="1" applyBorder="1" applyAlignment="1">
      <alignment horizontal="center" vertical="center" wrapText="1"/>
    </xf>
    <xf numFmtId="178" fontId="37" fillId="22" borderId="1" xfId="0" applyNumberFormat="1" applyFont="1" applyFill="1" applyBorder="1" applyAlignment="1">
      <alignment horizontal="center" vertical="center" wrapText="1"/>
    </xf>
    <xf numFmtId="0" fontId="37" fillId="17" borderId="1" xfId="0" applyFont="1" applyFill="1" applyBorder="1" applyAlignment="1">
      <alignment horizontal="center" vertical="center" wrapText="1"/>
    </xf>
    <xf numFmtId="0" fontId="37" fillId="17" borderId="1" xfId="91" applyFont="1" applyFill="1" applyBorder="1" applyAlignment="1">
      <alignment horizontal="left" vertical="center" wrapText="1"/>
    </xf>
    <xf numFmtId="0" fontId="37" fillId="17" borderId="1" xfId="91" applyFont="1" applyFill="1" applyBorder="1" applyAlignment="1">
      <alignment horizontal="center" vertical="center" wrapText="1"/>
    </xf>
    <xf numFmtId="178" fontId="37" fillId="17" borderId="1" xfId="91" applyNumberFormat="1" applyFont="1" applyFill="1" applyBorder="1" applyAlignment="1">
      <alignment horizontal="center" vertical="center" wrapText="1"/>
    </xf>
    <xf numFmtId="178" fontId="37" fillId="17" borderId="1" xfId="0" applyNumberFormat="1" applyFont="1" applyFill="1" applyBorder="1" applyAlignment="1">
      <alignment horizontal="center" vertical="center" wrapText="1"/>
    </xf>
    <xf numFmtId="0" fontId="37" fillId="20" borderId="1" xfId="0" applyFont="1" applyFill="1" applyBorder="1" applyAlignment="1">
      <alignment horizontal="center" vertical="center" wrapText="1"/>
    </xf>
    <xf numFmtId="0" fontId="37" fillId="20" borderId="1" xfId="91" applyFont="1" applyFill="1" applyBorder="1" applyAlignment="1">
      <alignment horizontal="left" vertical="center" wrapText="1"/>
    </xf>
    <xf numFmtId="0" fontId="37" fillId="20" borderId="1" xfId="91" applyFont="1" applyFill="1" applyBorder="1" applyAlignment="1">
      <alignment horizontal="center" vertical="center" wrapText="1"/>
    </xf>
    <xf numFmtId="179" fontId="37" fillId="20" borderId="1" xfId="91" applyNumberFormat="1" applyFont="1" applyFill="1" applyBorder="1" applyAlignment="1">
      <alignment horizontal="center" vertical="center" wrapText="1"/>
    </xf>
    <xf numFmtId="178" fontId="37" fillId="20" borderId="1" xfId="0" applyNumberFormat="1" applyFont="1" applyFill="1" applyBorder="1" applyAlignment="1">
      <alignment horizontal="center" vertical="center" wrapText="1"/>
    </xf>
    <xf numFmtId="179" fontId="76" fillId="0" borderId="1" xfId="91" applyNumberFormat="1" applyFont="1" applyBorder="1" applyAlignment="1">
      <alignment horizontal="center" vertical="center" wrapText="1"/>
    </xf>
    <xf numFmtId="179" fontId="37" fillId="20" borderId="1" xfId="143" applyNumberFormat="1" applyFont="1" applyFill="1" applyBorder="1" applyAlignment="1">
      <alignment horizontal="center" vertical="center"/>
    </xf>
    <xf numFmtId="179" fontId="37" fillId="0" borderId="1" xfId="143" applyNumberFormat="1" applyFont="1" applyBorder="1" applyAlignment="1">
      <alignment horizontal="center" vertical="center"/>
    </xf>
    <xf numFmtId="178" fontId="37" fillId="0" borderId="1" xfId="143" applyNumberFormat="1" applyFont="1" applyBorder="1" applyAlignment="1">
      <alignment horizontal="center" vertical="center"/>
    </xf>
    <xf numFmtId="0" fontId="76" fillId="0" borderId="1" xfId="0" applyFont="1" applyBorder="1" applyAlignment="1">
      <alignment horizontal="left" vertical="center" wrapText="1"/>
    </xf>
    <xf numFmtId="179" fontId="76" fillId="0" borderId="1" xfId="143" applyNumberFormat="1" applyFont="1" applyBorder="1" applyAlignment="1">
      <alignment horizontal="center" vertical="center"/>
    </xf>
    <xf numFmtId="178" fontId="76" fillId="0" borderId="1" xfId="143" applyNumberFormat="1" applyFont="1" applyBorder="1" applyAlignment="1">
      <alignment horizontal="center" vertical="center"/>
    </xf>
    <xf numFmtId="0" fontId="37" fillId="0" borderId="1" xfId="0" applyFont="1" applyBorder="1" applyAlignment="1">
      <alignment vertical="center" wrapText="1"/>
    </xf>
    <xf numFmtId="179" fontId="37" fillId="22" borderId="1" xfId="0" applyNumberFormat="1" applyFont="1" applyFill="1" applyBorder="1" applyAlignment="1">
      <alignment horizontal="center" vertical="center" wrapText="1"/>
    </xf>
    <xf numFmtId="0" fontId="37" fillId="22" borderId="1" xfId="0" applyFont="1" applyFill="1" applyBorder="1" applyAlignment="1">
      <alignment horizontal="center" vertical="center"/>
    </xf>
    <xf numFmtId="180" fontId="85" fillId="0" borderId="1" xfId="58" applyNumberFormat="1" applyFont="1" applyBorder="1" applyAlignment="1">
      <alignment horizontal="left" vertical="center" wrapText="1"/>
    </xf>
    <xf numFmtId="179" fontId="81" fillId="0" borderId="1" xfId="0" applyNumberFormat="1" applyFont="1" applyBorder="1" applyAlignment="1">
      <alignment horizontal="center" vertical="center"/>
    </xf>
    <xf numFmtId="180" fontId="37" fillId="0" borderId="1" xfId="58" applyNumberFormat="1" applyFont="1" applyBorder="1" applyAlignment="1">
      <alignment horizontal="center" vertical="center"/>
    </xf>
    <xf numFmtId="196" fontId="37" fillId="0" borderId="1" xfId="49" applyNumberFormat="1" applyFont="1" applyBorder="1" applyAlignment="1">
      <alignment horizontal="center" vertical="center"/>
    </xf>
    <xf numFmtId="181" fontId="76" fillId="0" borderId="1" xfId="58" applyNumberFormat="1" applyFont="1" applyBorder="1" applyAlignment="1">
      <alignment horizontal="center" vertical="center"/>
    </xf>
    <xf numFmtId="180" fontId="87" fillId="0" borderId="1" xfId="58" applyNumberFormat="1" applyFont="1" applyBorder="1" applyAlignment="1">
      <alignment horizontal="center" vertical="center" wrapText="1"/>
    </xf>
    <xf numFmtId="180" fontId="87" fillId="0" borderId="1" xfId="58" applyNumberFormat="1" applyFont="1" applyBorder="1" applyAlignment="1">
      <alignment horizontal="left" vertical="center" wrapText="1"/>
    </xf>
    <xf numFmtId="181" fontId="37" fillId="0" borderId="1" xfId="58" applyNumberFormat="1" applyFont="1" applyBorder="1" applyAlignment="1">
      <alignment horizontal="center" vertical="center"/>
    </xf>
    <xf numFmtId="180" fontId="85" fillId="0" borderId="1" xfId="58" applyNumberFormat="1" applyFont="1" applyBorder="1" applyAlignment="1">
      <alignment horizontal="center" vertical="center" wrapText="1"/>
    </xf>
    <xf numFmtId="181" fontId="76" fillId="0" borderId="1" xfId="0" applyNumberFormat="1" applyFont="1" applyBorder="1" applyAlignment="1">
      <alignment horizontal="center" vertical="center"/>
    </xf>
    <xf numFmtId="187" fontId="76" fillId="0" borderId="1" xfId="0" applyNumberFormat="1" applyFont="1" applyBorder="1" applyAlignment="1">
      <alignment horizontal="center" vertical="center"/>
    </xf>
    <xf numFmtId="196" fontId="37" fillId="22" borderId="1" xfId="49" applyNumberFormat="1" applyFont="1" applyFill="1" applyBorder="1" applyAlignment="1">
      <alignment horizontal="center" vertical="center"/>
    </xf>
    <xf numFmtId="0" fontId="37" fillId="0" borderId="1" xfId="49" applyFont="1" applyBorder="1" applyAlignment="1">
      <alignment horizontal="center" vertical="center"/>
    </xf>
    <xf numFmtId="178" fontId="76" fillId="22" borderId="1" xfId="0" applyNumberFormat="1" applyFont="1" applyFill="1" applyBorder="1" applyAlignment="1">
      <alignment horizontal="center" vertical="center" wrapText="1"/>
    </xf>
    <xf numFmtId="0" fontId="37" fillId="0" borderId="1" xfId="0" applyFont="1" applyBorder="1" applyAlignment="1">
      <alignment horizontal="left" vertical="center" wrapText="1"/>
    </xf>
    <xf numFmtId="0" fontId="37" fillId="10" borderId="1" xfId="0" applyFont="1" applyFill="1" applyBorder="1" applyAlignment="1">
      <alignment horizontal="left" vertical="center" wrapText="1"/>
    </xf>
    <xf numFmtId="0" fontId="37" fillId="0" borderId="20" xfId="0" applyFont="1" applyBorder="1" applyAlignment="1">
      <alignment horizontal="center" vertical="center" wrapText="1"/>
    </xf>
    <xf numFmtId="0" fontId="37" fillId="0" borderId="20" xfId="0" applyFont="1" applyBorder="1" applyAlignment="1">
      <alignment horizontal="left" vertical="center"/>
    </xf>
    <xf numFmtId="0" fontId="37" fillId="0" borderId="20" xfId="91" applyFont="1" applyBorder="1" applyAlignment="1">
      <alignment horizontal="center" vertical="center" wrapText="1"/>
    </xf>
    <xf numFmtId="179" fontId="37" fillId="0" borderId="20" xfId="91" applyNumberFormat="1" applyFont="1" applyBorder="1" applyAlignment="1">
      <alignment horizontal="center" vertical="center" wrapText="1"/>
    </xf>
    <xf numFmtId="178" fontId="37" fillId="0" borderId="20" xfId="0" applyNumberFormat="1" applyFont="1" applyBorder="1" applyAlignment="1">
      <alignment horizontal="center" vertical="center" wrapText="1"/>
    </xf>
    <xf numFmtId="0" fontId="74" fillId="0" borderId="1" xfId="0" applyFont="1" applyBorder="1" applyAlignment="1">
      <alignment horizontal="center" vertical="center" wrapText="1"/>
    </xf>
    <xf numFmtId="0" fontId="73" fillId="0" borderId="1" xfId="0" applyFont="1" applyBorder="1" applyAlignment="1">
      <alignment horizontal="left" vertical="center"/>
    </xf>
    <xf numFmtId="179" fontId="74" fillId="0" borderId="1" xfId="0" applyNumberFormat="1" applyFont="1" applyBorder="1" applyAlignment="1">
      <alignment horizontal="center" vertical="center" wrapText="1"/>
    </xf>
    <xf numFmtId="178" fontId="73" fillId="0" borderId="1" xfId="0" applyNumberFormat="1" applyFont="1" applyBorder="1" applyAlignment="1">
      <alignment horizontal="center" vertical="center" wrapText="1"/>
    </xf>
    <xf numFmtId="0" fontId="74" fillId="0" borderId="0" xfId="0" applyFont="1" applyAlignment="1">
      <alignment horizontal="center" vertical="center" wrapText="1"/>
    </xf>
    <xf numFmtId="179" fontId="74" fillId="0" borderId="0" xfId="0" applyNumberFormat="1" applyFont="1" applyAlignment="1">
      <alignment horizontal="center" vertical="center" wrapText="1"/>
    </xf>
  </cellXfs>
  <cellStyles count="16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0,0_x000d__x000a_NA_x000d__x000a_ 7" xfId="49"/>
    <cellStyle name="20% - 强调文字颜色 1 2" xfId="50"/>
    <cellStyle name="0,0_x000d__x000a_NA_x000d__x000a_ 9" xfId="51"/>
    <cellStyle name="计算 2" xfId="52"/>
    <cellStyle name="_x000a_mouse.drv=lm" xfId="53"/>
    <cellStyle name="常规 6" xfId="54"/>
    <cellStyle name="常规 5 8 2 3 2 3" xfId="55"/>
    <cellStyle name="_ET_STYLE_NoName_00_" xfId="56"/>
    <cellStyle name="百分比 4" xfId="57"/>
    <cellStyle name="0,0_x000d__x000a_NA_x000d__x000a_" xfId="58"/>
    <cellStyle name="40% - 强调文字颜色 4 2" xfId="59"/>
    <cellStyle name="输出 2" xfId="60"/>
    <cellStyle name="0,0_x005f_x000d__x005f_x000a_NA_x005f_x000d__x005f_x000a_" xfId="61"/>
    <cellStyle name="常规 11 10" xfId="62"/>
    <cellStyle name="常规 2 2" xfId="63"/>
    <cellStyle name="20% - 强调文字颜色 4 2 3 4 2" xfId="64"/>
    <cellStyle name="适中 2" xfId="65"/>
    <cellStyle name="0,0_x000d__x000a_NA_x000d__x000a_ 2" xfId="66"/>
    <cellStyle name="标题 2 2" xfId="67"/>
    <cellStyle name="0,0_x000d__x000a_NA_x000d__x000a_ 3" xfId="68"/>
    <cellStyle name="20% - 强调文字颜色 2 2" xfId="69"/>
    <cellStyle name="20% - 强调文字颜色 2 2 2 3 2 2 2 2 2" xfId="70"/>
    <cellStyle name="20% - 强调文字颜色 3 2" xfId="71"/>
    <cellStyle name="20% - 强调文字颜色 4 2" xfId="72"/>
    <cellStyle name="常规 3" xfId="73"/>
    <cellStyle name="20% - 强调文字颜色 5 2" xfId="74"/>
    <cellStyle name="20% - 强调文字颜色 6 2" xfId="75"/>
    <cellStyle name="20% - 强调文字颜色 6 2 3 2 3 2" xfId="76"/>
    <cellStyle name="40% - 强调文字颜色 1 2" xfId="77"/>
    <cellStyle name="40% - 强调文字颜色 2 2" xfId="78"/>
    <cellStyle name="40% - 强调文字颜色 3 2" xfId="79"/>
    <cellStyle name="40% - 强调文字颜色 5 2" xfId="80"/>
    <cellStyle name="40% - 强调文字颜色 6 2" xfId="81"/>
    <cellStyle name="60% - 强调文字颜色 1 2" xfId="82"/>
    <cellStyle name="60% - 强调文字颜色 2 2" xfId="83"/>
    <cellStyle name="常规 12 2 2 2" xfId="84"/>
    <cellStyle name="常规 5" xfId="85"/>
    <cellStyle name="60% - 强调文字颜色 3 2" xfId="86"/>
    <cellStyle name="60% - 强调文字颜色 4 2" xfId="87"/>
    <cellStyle name="60% - 强调文字颜色 5 2" xfId="88"/>
    <cellStyle name="60% - 强调文字颜色 6 2" xfId="89"/>
    <cellStyle name="e鯪9Y_x000b_" xfId="90"/>
    <cellStyle name="Normal" xfId="91"/>
    <cellStyle name="百分比 2" xfId="92"/>
    <cellStyle name="样式 1 5 2" xfId="93"/>
    <cellStyle name="百分比 2 2" xfId="94"/>
    <cellStyle name="百分比 3" xfId="95"/>
    <cellStyle name="百分比 3 2" xfId="96"/>
    <cellStyle name="标题 1 2" xfId="97"/>
    <cellStyle name="标题 3 2" xfId="98"/>
    <cellStyle name="标题 4 2" xfId="99"/>
    <cellStyle name="标题 5" xfId="100"/>
    <cellStyle name="差 2" xfId="101"/>
    <cellStyle name="常规 10" xfId="102"/>
    <cellStyle name="常规 10 10" xfId="103"/>
    <cellStyle name="常规 10 2 2 2" xfId="104"/>
    <cellStyle name="常规 10 2 2 2 2" xfId="105"/>
    <cellStyle name="常规 10 3" xfId="106"/>
    <cellStyle name="常规 104" xfId="107"/>
    <cellStyle name="常规 11 2" xfId="108"/>
    <cellStyle name="常规 11 2 2" xfId="109"/>
    <cellStyle name="常规 11 2 2 2" xfId="110"/>
    <cellStyle name="常规 11 2 3" xfId="111"/>
    <cellStyle name="常规 13" xfId="112"/>
    <cellStyle name="常规 13 2" xfId="113"/>
    <cellStyle name="常规 2" xfId="114"/>
    <cellStyle name="常规 2 12" xfId="115"/>
    <cellStyle name="常规 2 2 2" xfId="116"/>
    <cellStyle name="常规 2 2 3" xfId="117"/>
    <cellStyle name="常规 43" xfId="118"/>
    <cellStyle name="常规 2 3" xfId="119"/>
    <cellStyle name="常规 2 3 2" xfId="120"/>
    <cellStyle name="常规 2 4" xfId="121"/>
    <cellStyle name="常规 3 2" xfId="122"/>
    <cellStyle name="常规 3 2 15" xfId="123"/>
    <cellStyle name="常规 30" xfId="124"/>
    <cellStyle name="常规 4" xfId="125"/>
    <cellStyle name="常规 4 14 3 2 2 3" xfId="126"/>
    <cellStyle name="常规 4 2" xfId="127"/>
    <cellStyle name="常规 4 2 2" xfId="128"/>
    <cellStyle name="常规 4 3" xfId="129"/>
    <cellStyle name="常规 43 2" xfId="130"/>
    <cellStyle name="常规 6 2" xfId="131"/>
    <cellStyle name="注释 2" xfId="132"/>
    <cellStyle name="常规 7" xfId="133"/>
    <cellStyle name="常规 8" xfId="134"/>
    <cellStyle name="常规 9" xfId="135"/>
    <cellStyle name="常规_2010续建唐徕渠初设工程量" xfId="136"/>
    <cellStyle name="常规_勘察设计费计算" xfId="137"/>
    <cellStyle name="常规_某部队生态供水泵站工程（宁夏定额）2010.10.21" xfId="138"/>
    <cellStyle name="常规_宁夏中宁县规模化节水灌溉增效示范项目实施方案1（2012-2015年）估算11.10" xfId="139"/>
    <cellStyle name="常规_世行项目水利措施实施计划安排" xfId="140"/>
    <cellStyle name="常规_脱烈概算表.xls" xfId="141"/>
    <cellStyle name="常规_五里坡安全人饮工程" xfId="142"/>
    <cellStyle name="常规_下马关工程量" xfId="143"/>
    <cellStyle name="常规_中宁县单、双阴洞沟治理（修改）" xfId="144"/>
    <cellStyle name="超链接 2" xfId="145"/>
    <cellStyle name="好 2" xfId="146"/>
    <cellStyle name="汇总 2" xfId="147"/>
    <cellStyle name="货币 2" xfId="148"/>
    <cellStyle name="检查单元格 2" xfId="149"/>
    <cellStyle name="解释性文本 2" xfId="150"/>
    <cellStyle name="警告文本 2" xfId="151"/>
    <cellStyle name="链接单元格 2" xfId="152"/>
    <cellStyle name="千位分隔 2 2" xfId="153"/>
    <cellStyle name="强调文字颜色 1 2" xfId="154"/>
    <cellStyle name="强调文字颜色 2 2" xfId="155"/>
    <cellStyle name="强调文字颜色 3 2" xfId="156"/>
    <cellStyle name="强调文字颜色 4 2" xfId="157"/>
    <cellStyle name="强调文字颜色 5 2" xfId="158"/>
    <cellStyle name="强调文字颜色 6 2" xfId="159"/>
    <cellStyle name="输入 2" xfId="160"/>
    <cellStyle name="样式 1" xfId="161"/>
    <cellStyle name="样式 1 11" xfId="162"/>
    <cellStyle name="常规_青铜峡市2万亩葡萄滴灌概算" xfId="163"/>
    <cellStyle name="常规_Sheet1" xfId="164"/>
  </cellStyles>
  <tableStyles count="0" defaultTableStyle="TableStyleMedium2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9" Type="http://schemas.openxmlformats.org/officeDocument/2006/relationships/externalLink" Target="externalLinks/externalLink70.xml"/><Relationship Id="rId98" Type="http://schemas.openxmlformats.org/officeDocument/2006/relationships/externalLink" Target="externalLinks/externalLink69.xml"/><Relationship Id="rId97" Type="http://schemas.openxmlformats.org/officeDocument/2006/relationships/externalLink" Target="externalLinks/externalLink68.xml"/><Relationship Id="rId96" Type="http://schemas.openxmlformats.org/officeDocument/2006/relationships/externalLink" Target="externalLinks/externalLink67.xml"/><Relationship Id="rId95" Type="http://schemas.openxmlformats.org/officeDocument/2006/relationships/externalLink" Target="externalLinks/externalLink66.xml"/><Relationship Id="rId94" Type="http://schemas.openxmlformats.org/officeDocument/2006/relationships/externalLink" Target="externalLinks/externalLink65.xml"/><Relationship Id="rId93" Type="http://schemas.openxmlformats.org/officeDocument/2006/relationships/externalLink" Target="externalLinks/externalLink64.xml"/><Relationship Id="rId92" Type="http://schemas.openxmlformats.org/officeDocument/2006/relationships/externalLink" Target="externalLinks/externalLink63.xml"/><Relationship Id="rId91" Type="http://schemas.openxmlformats.org/officeDocument/2006/relationships/externalLink" Target="externalLinks/externalLink62.xml"/><Relationship Id="rId90" Type="http://schemas.openxmlformats.org/officeDocument/2006/relationships/externalLink" Target="externalLinks/externalLink61.xml"/><Relationship Id="rId9" Type="http://schemas.openxmlformats.org/officeDocument/2006/relationships/worksheet" Target="worksheets/sheet9.xml"/><Relationship Id="rId89" Type="http://schemas.openxmlformats.org/officeDocument/2006/relationships/externalLink" Target="externalLinks/externalLink60.xml"/><Relationship Id="rId88" Type="http://schemas.openxmlformats.org/officeDocument/2006/relationships/externalLink" Target="externalLinks/externalLink59.xml"/><Relationship Id="rId87" Type="http://schemas.openxmlformats.org/officeDocument/2006/relationships/externalLink" Target="externalLinks/externalLink58.xml"/><Relationship Id="rId86" Type="http://schemas.openxmlformats.org/officeDocument/2006/relationships/externalLink" Target="externalLinks/externalLink57.xml"/><Relationship Id="rId85" Type="http://schemas.openxmlformats.org/officeDocument/2006/relationships/externalLink" Target="externalLinks/externalLink56.xml"/><Relationship Id="rId84" Type="http://schemas.openxmlformats.org/officeDocument/2006/relationships/externalLink" Target="externalLinks/externalLink55.xml"/><Relationship Id="rId83" Type="http://schemas.openxmlformats.org/officeDocument/2006/relationships/externalLink" Target="externalLinks/externalLink54.xml"/><Relationship Id="rId82" Type="http://schemas.openxmlformats.org/officeDocument/2006/relationships/externalLink" Target="externalLinks/externalLink53.xml"/><Relationship Id="rId81" Type="http://schemas.openxmlformats.org/officeDocument/2006/relationships/externalLink" Target="externalLinks/externalLink52.xml"/><Relationship Id="rId80" Type="http://schemas.openxmlformats.org/officeDocument/2006/relationships/externalLink" Target="externalLinks/externalLink51.xml"/><Relationship Id="rId8" Type="http://schemas.openxmlformats.org/officeDocument/2006/relationships/worksheet" Target="worksheets/sheet8.xml"/><Relationship Id="rId79" Type="http://schemas.openxmlformats.org/officeDocument/2006/relationships/externalLink" Target="externalLinks/externalLink50.xml"/><Relationship Id="rId78" Type="http://schemas.openxmlformats.org/officeDocument/2006/relationships/externalLink" Target="externalLinks/externalLink49.xml"/><Relationship Id="rId77" Type="http://schemas.openxmlformats.org/officeDocument/2006/relationships/externalLink" Target="externalLinks/externalLink48.xml"/><Relationship Id="rId76" Type="http://schemas.openxmlformats.org/officeDocument/2006/relationships/externalLink" Target="externalLinks/externalLink47.xml"/><Relationship Id="rId75" Type="http://schemas.openxmlformats.org/officeDocument/2006/relationships/externalLink" Target="externalLinks/externalLink46.xml"/><Relationship Id="rId74" Type="http://schemas.openxmlformats.org/officeDocument/2006/relationships/externalLink" Target="externalLinks/externalLink45.xml"/><Relationship Id="rId73" Type="http://schemas.openxmlformats.org/officeDocument/2006/relationships/externalLink" Target="externalLinks/externalLink44.xml"/><Relationship Id="rId72" Type="http://schemas.openxmlformats.org/officeDocument/2006/relationships/externalLink" Target="externalLinks/externalLink43.xml"/><Relationship Id="rId71" Type="http://schemas.openxmlformats.org/officeDocument/2006/relationships/externalLink" Target="externalLinks/externalLink42.xml"/><Relationship Id="rId70" Type="http://schemas.openxmlformats.org/officeDocument/2006/relationships/externalLink" Target="externalLinks/externalLink41.xml"/><Relationship Id="rId7" Type="http://schemas.openxmlformats.org/officeDocument/2006/relationships/worksheet" Target="worksheets/sheet7.xml"/><Relationship Id="rId69" Type="http://schemas.openxmlformats.org/officeDocument/2006/relationships/externalLink" Target="externalLinks/externalLink40.xml"/><Relationship Id="rId68" Type="http://schemas.openxmlformats.org/officeDocument/2006/relationships/externalLink" Target="externalLinks/externalLink39.xml"/><Relationship Id="rId67" Type="http://schemas.openxmlformats.org/officeDocument/2006/relationships/externalLink" Target="externalLinks/externalLink38.xml"/><Relationship Id="rId66" Type="http://schemas.openxmlformats.org/officeDocument/2006/relationships/externalLink" Target="externalLinks/externalLink37.xml"/><Relationship Id="rId65" Type="http://schemas.openxmlformats.org/officeDocument/2006/relationships/externalLink" Target="externalLinks/externalLink36.xml"/><Relationship Id="rId64" Type="http://schemas.openxmlformats.org/officeDocument/2006/relationships/externalLink" Target="externalLinks/externalLink35.xml"/><Relationship Id="rId63" Type="http://schemas.openxmlformats.org/officeDocument/2006/relationships/externalLink" Target="externalLinks/externalLink34.xml"/><Relationship Id="rId62" Type="http://schemas.openxmlformats.org/officeDocument/2006/relationships/externalLink" Target="externalLinks/externalLink33.xml"/><Relationship Id="rId61" Type="http://schemas.openxmlformats.org/officeDocument/2006/relationships/externalLink" Target="externalLinks/externalLink32.xml"/><Relationship Id="rId60" Type="http://schemas.openxmlformats.org/officeDocument/2006/relationships/externalLink" Target="externalLinks/externalLink31.xml"/><Relationship Id="rId6" Type="http://schemas.openxmlformats.org/officeDocument/2006/relationships/worksheet" Target="worksheets/sheet6.xml"/><Relationship Id="rId59" Type="http://schemas.openxmlformats.org/officeDocument/2006/relationships/externalLink" Target="externalLinks/externalLink30.xml"/><Relationship Id="rId58" Type="http://schemas.openxmlformats.org/officeDocument/2006/relationships/externalLink" Target="externalLinks/externalLink29.xml"/><Relationship Id="rId57" Type="http://schemas.openxmlformats.org/officeDocument/2006/relationships/externalLink" Target="externalLinks/externalLink28.xml"/><Relationship Id="rId56" Type="http://schemas.openxmlformats.org/officeDocument/2006/relationships/externalLink" Target="externalLinks/externalLink27.xml"/><Relationship Id="rId55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25.xml"/><Relationship Id="rId53" Type="http://schemas.openxmlformats.org/officeDocument/2006/relationships/externalLink" Target="externalLinks/externalLink24.xml"/><Relationship Id="rId52" Type="http://schemas.openxmlformats.org/officeDocument/2006/relationships/externalLink" Target="externalLinks/externalLink23.xml"/><Relationship Id="rId51" Type="http://schemas.openxmlformats.org/officeDocument/2006/relationships/externalLink" Target="externalLinks/externalLink22.xml"/><Relationship Id="rId50" Type="http://schemas.openxmlformats.org/officeDocument/2006/relationships/externalLink" Target="externalLinks/externalLink21.xml"/><Relationship Id="rId5" Type="http://schemas.openxmlformats.org/officeDocument/2006/relationships/worksheet" Target="worksheets/sheet5.xml"/><Relationship Id="rId49" Type="http://schemas.openxmlformats.org/officeDocument/2006/relationships/externalLink" Target="externalLinks/externalLink20.xml"/><Relationship Id="rId48" Type="http://schemas.openxmlformats.org/officeDocument/2006/relationships/externalLink" Target="externalLinks/externalLink19.xml"/><Relationship Id="rId47" Type="http://schemas.openxmlformats.org/officeDocument/2006/relationships/externalLink" Target="externalLinks/externalLink18.xml"/><Relationship Id="rId46" Type="http://schemas.openxmlformats.org/officeDocument/2006/relationships/externalLink" Target="externalLinks/externalLink17.xml"/><Relationship Id="rId45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15.xml"/><Relationship Id="rId43" Type="http://schemas.openxmlformats.org/officeDocument/2006/relationships/externalLink" Target="externalLinks/externalLink14.xml"/><Relationship Id="rId42" Type="http://schemas.openxmlformats.org/officeDocument/2006/relationships/externalLink" Target="externalLinks/externalLink13.xml"/><Relationship Id="rId41" Type="http://schemas.openxmlformats.org/officeDocument/2006/relationships/externalLink" Target="externalLinks/externalLink12.xml"/><Relationship Id="rId40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39" Type="http://schemas.openxmlformats.org/officeDocument/2006/relationships/externalLink" Target="externalLinks/externalLink10.xml"/><Relationship Id="rId38" Type="http://schemas.openxmlformats.org/officeDocument/2006/relationships/externalLink" Target="externalLinks/externalLink9.xml"/><Relationship Id="rId37" Type="http://schemas.openxmlformats.org/officeDocument/2006/relationships/externalLink" Target="externalLinks/externalLink8.xml"/><Relationship Id="rId36" Type="http://schemas.openxmlformats.org/officeDocument/2006/relationships/externalLink" Target="externalLinks/externalLink7.xml"/><Relationship Id="rId35" Type="http://schemas.openxmlformats.org/officeDocument/2006/relationships/externalLink" Target="externalLinks/externalLink6.xml"/><Relationship Id="rId34" Type="http://schemas.openxmlformats.org/officeDocument/2006/relationships/externalLink" Target="externalLinks/externalLink5.xml"/><Relationship Id="rId33" Type="http://schemas.openxmlformats.org/officeDocument/2006/relationships/externalLink" Target="externalLinks/externalLink4.xml"/><Relationship Id="rId32" Type="http://schemas.openxmlformats.org/officeDocument/2006/relationships/externalLink" Target="externalLinks/externalLink3.xml"/><Relationship Id="rId31" Type="http://schemas.openxmlformats.org/officeDocument/2006/relationships/externalLink" Target="externalLinks/externalLink2.xml"/><Relationship Id="rId30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6" Type="http://schemas.openxmlformats.org/officeDocument/2006/relationships/sharedStrings" Target="sharedStrings.xml"/><Relationship Id="rId245" Type="http://schemas.openxmlformats.org/officeDocument/2006/relationships/styles" Target="styles.xml"/><Relationship Id="rId244" Type="http://schemas.openxmlformats.org/officeDocument/2006/relationships/theme" Target="theme/theme1.xml"/><Relationship Id="rId243" Type="http://schemas.openxmlformats.org/officeDocument/2006/relationships/externalLink" Target="externalLinks/externalLink214.xml"/><Relationship Id="rId242" Type="http://schemas.openxmlformats.org/officeDocument/2006/relationships/externalLink" Target="externalLinks/externalLink213.xml"/><Relationship Id="rId241" Type="http://schemas.openxmlformats.org/officeDocument/2006/relationships/externalLink" Target="externalLinks/externalLink212.xml"/><Relationship Id="rId240" Type="http://schemas.openxmlformats.org/officeDocument/2006/relationships/externalLink" Target="externalLinks/externalLink211.xml"/><Relationship Id="rId24" Type="http://schemas.openxmlformats.org/officeDocument/2006/relationships/worksheet" Target="worksheets/sheet24.xml"/><Relationship Id="rId239" Type="http://schemas.openxmlformats.org/officeDocument/2006/relationships/externalLink" Target="externalLinks/externalLink210.xml"/><Relationship Id="rId238" Type="http://schemas.openxmlformats.org/officeDocument/2006/relationships/externalLink" Target="externalLinks/externalLink209.xml"/><Relationship Id="rId237" Type="http://schemas.openxmlformats.org/officeDocument/2006/relationships/externalLink" Target="externalLinks/externalLink208.xml"/><Relationship Id="rId236" Type="http://schemas.openxmlformats.org/officeDocument/2006/relationships/externalLink" Target="externalLinks/externalLink207.xml"/><Relationship Id="rId235" Type="http://schemas.openxmlformats.org/officeDocument/2006/relationships/externalLink" Target="externalLinks/externalLink206.xml"/><Relationship Id="rId234" Type="http://schemas.openxmlformats.org/officeDocument/2006/relationships/externalLink" Target="externalLinks/externalLink205.xml"/><Relationship Id="rId233" Type="http://schemas.openxmlformats.org/officeDocument/2006/relationships/externalLink" Target="externalLinks/externalLink204.xml"/><Relationship Id="rId232" Type="http://schemas.openxmlformats.org/officeDocument/2006/relationships/externalLink" Target="externalLinks/externalLink203.xml"/><Relationship Id="rId231" Type="http://schemas.openxmlformats.org/officeDocument/2006/relationships/externalLink" Target="externalLinks/externalLink202.xml"/><Relationship Id="rId230" Type="http://schemas.openxmlformats.org/officeDocument/2006/relationships/externalLink" Target="externalLinks/externalLink201.xml"/><Relationship Id="rId23" Type="http://schemas.openxmlformats.org/officeDocument/2006/relationships/worksheet" Target="worksheets/sheet23.xml"/><Relationship Id="rId229" Type="http://schemas.openxmlformats.org/officeDocument/2006/relationships/externalLink" Target="externalLinks/externalLink200.xml"/><Relationship Id="rId228" Type="http://schemas.openxmlformats.org/officeDocument/2006/relationships/externalLink" Target="externalLinks/externalLink199.xml"/><Relationship Id="rId227" Type="http://schemas.openxmlformats.org/officeDocument/2006/relationships/externalLink" Target="externalLinks/externalLink198.xml"/><Relationship Id="rId226" Type="http://schemas.openxmlformats.org/officeDocument/2006/relationships/externalLink" Target="externalLinks/externalLink197.xml"/><Relationship Id="rId225" Type="http://schemas.openxmlformats.org/officeDocument/2006/relationships/externalLink" Target="externalLinks/externalLink196.xml"/><Relationship Id="rId224" Type="http://schemas.openxmlformats.org/officeDocument/2006/relationships/externalLink" Target="externalLinks/externalLink195.xml"/><Relationship Id="rId223" Type="http://schemas.openxmlformats.org/officeDocument/2006/relationships/externalLink" Target="externalLinks/externalLink194.xml"/><Relationship Id="rId222" Type="http://schemas.openxmlformats.org/officeDocument/2006/relationships/externalLink" Target="externalLinks/externalLink193.xml"/><Relationship Id="rId221" Type="http://schemas.openxmlformats.org/officeDocument/2006/relationships/externalLink" Target="externalLinks/externalLink192.xml"/><Relationship Id="rId220" Type="http://schemas.openxmlformats.org/officeDocument/2006/relationships/externalLink" Target="externalLinks/externalLink191.xml"/><Relationship Id="rId22" Type="http://schemas.openxmlformats.org/officeDocument/2006/relationships/worksheet" Target="worksheets/sheet22.xml"/><Relationship Id="rId219" Type="http://schemas.openxmlformats.org/officeDocument/2006/relationships/externalLink" Target="externalLinks/externalLink190.xml"/><Relationship Id="rId218" Type="http://schemas.openxmlformats.org/officeDocument/2006/relationships/externalLink" Target="externalLinks/externalLink189.xml"/><Relationship Id="rId217" Type="http://schemas.openxmlformats.org/officeDocument/2006/relationships/externalLink" Target="externalLinks/externalLink188.xml"/><Relationship Id="rId216" Type="http://schemas.openxmlformats.org/officeDocument/2006/relationships/externalLink" Target="externalLinks/externalLink187.xml"/><Relationship Id="rId215" Type="http://schemas.openxmlformats.org/officeDocument/2006/relationships/externalLink" Target="externalLinks/externalLink186.xml"/><Relationship Id="rId214" Type="http://schemas.openxmlformats.org/officeDocument/2006/relationships/externalLink" Target="externalLinks/externalLink185.xml"/><Relationship Id="rId213" Type="http://schemas.openxmlformats.org/officeDocument/2006/relationships/externalLink" Target="externalLinks/externalLink184.xml"/><Relationship Id="rId212" Type="http://schemas.openxmlformats.org/officeDocument/2006/relationships/externalLink" Target="externalLinks/externalLink183.xml"/><Relationship Id="rId211" Type="http://schemas.openxmlformats.org/officeDocument/2006/relationships/externalLink" Target="externalLinks/externalLink182.xml"/><Relationship Id="rId210" Type="http://schemas.openxmlformats.org/officeDocument/2006/relationships/externalLink" Target="externalLinks/externalLink181.xml"/><Relationship Id="rId21" Type="http://schemas.openxmlformats.org/officeDocument/2006/relationships/worksheet" Target="worksheets/sheet21.xml"/><Relationship Id="rId209" Type="http://schemas.openxmlformats.org/officeDocument/2006/relationships/externalLink" Target="externalLinks/externalLink180.xml"/><Relationship Id="rId208" Type="http://schemas.openxmlformats.org/officeDocument/2006/relationships/externalLink" Target="externalLinks/externalLink179.xml"/><Relationship Id="rId207" Type="http://schemas.openxmlformats.org/officeDocument/2006/relationships/externalLink" Target="externalLinks/externalLink178.xml"/><Relationship Id="rId206" Type="http://schemas.openxmlformats.org/officeDocument/2006/relationships/externalLink" Target="externalLinks/externalLink177.xml"/><Relationship Id="rId205" Type="http://schemas.openxmlformats.org/officeDocument/2006/relationships/externalLink" Target="externalLinks/externalLink176.xml"/><Relationship Id="rId204" Type="http://schemas.openxmlformats.org/officeDocument/2006/relationships/externalLink" Target="externalLinks/externalLink175.xml"/><Relationship Id="rId203" Type="http://schemas.openxmlformats.org/officeDocument/2006/relationships/externalLink" Target="externalLinks/externalLink174.xml"/><Relationship Id="rId202" Type="http://schemas.openxmlformats.org/officeDocument/2006/relationships/externalLink" Target="externalLinks/externalLink173.xml"/><Relationship Id="rId201" Type="http://schemas.openxmlformats.org/officeDocument/2006/relationships/externalLink" Target="externalLinks/externalLink172.xml"/><Relationship Id="rId200" Type="http://schemas.openxmlformats.org/officeDocument/2006/relationships/externalLink" Target="externalLinks/externalLink17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9" Type="http://schemas.openxmlformats.org/officeDocument/2006/relationships/externalLink" Target="externalLinks/externalLink170.xml"/><Relationship Id="rId198" Type="http://schemas.openxmlformats.org/officeDocument/2006/relationships/externalLink" Target="externalLinks/externalLink169.xml"/><Relationship Id="rId197" Type="http://schemas.openxmlformats.org/officeDocument/2006/relationships/externalLink" Target="externalLinks/externalLink168.xml"/><Relationship Id="rId196" Type="http://schemas.openxmlformats.org/officeDocument/2006/relationships/externalLink" Target="externalLinks/externalLink167.xml"/><Relationship Id="rId195" Type="http://schemas.openxmlformats.org/officeDocument/2006/relationships/externalLink" Target="externalLinks/externalLink166.xml"/><Relationship Id="rId194" Type="http://schemas.openxmlformats.org/officeDocument/2006/relationships/externalLink" Target="externalLinks/externalLink165.xml"/><Relationship Id="rId193" Type="http://schemas.openxmlformats.org/officeDocument/2006/relationships/externalLink" Target="externalLinks/externalLink164.xml"/><Relationship Id="rId192" Type="http://schemas.openxmlformats.org/officeDocument/2006/relationships/externalLink" Target="externalLinks/externalLink163.xml"/><Relationship Id="rId191" Type="http://schemas.openxmlformats.org/officeDocument/2006/relationships/externalLink" Target="externalLinks/externalLink162.xml"/><Relationship Id="rId190" Type="http://schemas.openxmlformats.org/officeDocument/2006/relationships/externalLink" Target="externalLinks/externalLink161.xml"/><Relationship Id="rId19" Type="http://schemas.openxmlformats.org/officeDocument/2006/relationships/worksheet" Target="worksheets/sheet19.xml"/><Relationship Id="rId189" Type="http://schemas.openxmlformats.org/officeDocument/2006/relationships/externalLink" Target="externalLinks/externalLink160.xml"/><Relationship Id="rId188" Type="http://schemas.openxmlformats.org/officeDocument/2006/relationships/externalLink" Target="externalLinks/externalLink159.xml"/><Relationship Id="rId187" Type="http://schemas.openxmlformats.org/officeDocument/2006/relationships/externalLink" Target="externalLinks/externalLink158.xml"/><Relationship Id="rId186" Type="http://schemas.openxmlformats.org/officeDocument/2006/relationships/externalLink" Target="externalLinks/externalLink157.xml"/><Relationship Id="rId185" Type="http://schemas.openxmlformats.org/officeDocument/2006/relationships/externalLink" Target="externalLinks/externalLink156.xml"/><Relationship Id="rId184" Type="http://schemas.openxmlformats.org/officeDocument/2006/relationships/externalLink" Target="externalLinks/externalLink155.xml"/><Relationship Id="rId183" Type="http://schemas.openxmlformats.org/officeDocument/2006/relationships/externalLink" Target="externalLinks/externalLink154.xml"/><Relationship Id="rId182" Type="http://schemas.openxmlformats.org/officeDocument/2006/relationships/externalLink" Target="externalLinks/externalLink153.xml"/><Relationship Id="rId181" Type="http://schemas.openxmlformats.org/officeDocument/2006/relationships/externalLink" Target="externalLinks/externalLink152.xml"/><Relationship Id="rId180" Type="http://schemas.openxmlformats.org/officeDocument/2006/relationships/externalLink" Target="externalLinks/externalLink151.xml"/><Relationship Id="rId18" Type="http://schemas.openxmlformats.org/officeDocument/2006/relationships/worksheet" Target="worksheets/sheet18.xml"/><Relationship Id="rId179" Type="http://schemas.openxmlformats.org/officeDocument/2006/relationships/externalLink" Target="externalLinks/externalLink150.xml"/><Relationship Id="rId178" Type="http://schemas.openxmlformats.org/officeDocument/2006/relationships/externalLink" Target="externalLinks/externalLink149.xml"/><Relationship Id="rId177" Type="http://schemas.openxmlformats.org/officeDocument/2006/relationships/externalLink" Target="externalLinks/externalLink148.xml"/><Relationship Id="rId176" Type="http://schemas.openxmlformats.org/officeDocument/2006/relationships/externalLink" Target="externalLinks/externalLink147.xml"/><Relationship Id="rId175" Type="http://schemas.openxmlformats.org/officeDocument/2006/relationships/externalLink" Target="externalLinks/externalLink146.xml"/><Relationship Id="rId174" Type="http://schemas.openxmlformats.org/officeDocument/2006/relationships/externalLink" Target="externalLinks/externalLink145.xml"/><Relationship Id="rId173" Type="http://schemas.openxmlformats.org/officeDocument/2006/relationships/externalLink" Target="externalLinks/externalLink144.xml"/><Relationship Id="rId172" Type="http://schemas.openxmlformats.org/officeDocument/2006/relationships/externalLink" Target="externalLinks/externalLink143.xml"/><Relationship Id="rId171" Type="http://schemas.openxmlformats.org/officeDocument/2006/relationships/externalLink" Target="externalLinks/externalLink142.xml"/><Relationship Id="rId170" Type="http://schemas.openxmlformats.org/officeDocument/2006/relationships/externalLink" Target="externalLinks/externalLink141.xml"/><Relationship Id="rId17" Type="http://schemas.openxmlformats.org/officeDocument/2006/relationships/worksheet" Target="worksheets/sheet17.xml"/><Relationship Id="rId169" Type="http://schemas.openxmlformats.org/officeDocument/2006/relationships/externalLink" Target="externalLinks/externalLink140.xml"/><Relationship Id="rId168" Type="http://schemas.openxmlformats.org/officeDocument/2006/relationships/externalLink" Target="externalLinks/externalLink139.xml"/><Relationship Id="rId167" Type="http://schemas.openxmlformats.org/officeDocument/2006/relationships/externalLink" Target="externalLinks/externalLink138.xml"/><Relationship Id="rId166" Type="http://schemas.openxmlformats.org/officeDocument/2006/relationships/externalLink" Target="externalLinks/externalLink137.xml"/><Relationship Id="rId165" Type="http://schemas.openxmlformats.org/officeDocument/2006/relationships/externalLink" Target="externalLinks/externalLink136.xml"/><Relationship Id="rId164" Type="http://schemas.openxmlformats.org/officeDocument/2006/relationships/externalLink" Target="externalLinks/externalLink135.xml"/><Relationship Id="rId163" Type="http://schemas.openxmlformats.org/officeDocument/2006/relationships/externalLink" Target="externalLinks/externalLink134.xml"/><Relationship Id="rId162" Type="http://schemas.openxmlformats.org/officeDocument/2006/relationships/externalLink" Target="externalLinks/externalLink133.xml"/><Relationship Id="rId161" Type="http://schemas.openxmlformats.org/officeDocument/2006/relationships/externalLink" Target="externalLinks/externalLink132.xml"/><Relationship Id="rId160" Type="http://schemas.openxmlformats.org/officeDocument/2006/relationships/externalLink" Target="externalLinks/externalLink131.xml"/><Relationship Id="rId16" Type="http://schemas.openxmlformats.org/officeDocument/2006/relationships/worksheet" Target="worksheets/sheet16.xml"/><Relationship Id="rId159" Type="http://schemas.openxmlformats.org/officeDocument/2006/relationships/externalLink" Target="externalLinks/externalLink130.xml"/><Relationship Id="rId158" Type="http://schemas.openxmlformats.org/officeDocument/2006/relationships/externalLink" Target="externalLinks/externalLink129.xml"/><Relationship Id="rId157" Type="http://schemas.openxmlformats.org/officeDocument/2006/relationships/externalLink" Target="externalLinks/externalLink128.xml"/><Relationship Id="rId156" Type="http://schemas.openxmlformats.org/officeDocument/2006/relationships/externalLink" Target="externalLinks/externalLink127.xml"/><Relationship Id="rId155" Type="http://schemas.openxmlformats.org/officeDocument/2006/relationships/externalLink" Target="externalLinks/externalLink126.xml"/><Relationship Id="rId154" Type="http://schemas.openxmlformats.org/officeDocument/2006/relationships/externalLink" Target="externalLinks/externalLink125.xml"/><Relationship Id="rId153" Type="http://schemas.openxmlformats.org/officeDocument/2006/relationships/externalLink" Target="externalLinks/externalLink124.xml"/><Relationship Id="rId152" Type="http://schemas.openxmlformats.org/officeDocument/2006/relationships/externalLink" Target="externalLinks/externalLink123.xml"/><Relationship Id="rId151" Type="http://schemas.openxmlformats.org/officeDocument/2006/relationships/externalLink" Target="externalLinks/externalLink122.xml"/><Relationship Id="rId150" Type="http://schemas.openxmlformats.org/officeDocument/2006/relationships/externalLink" Target="externalLinks/externalLink121.xml"/><Relationship Id="rId15" Type="http://schemas.openxmlformats.org/officeDocument/2006/relationships/worksheet" Target="worksheets/sheet15.xml"/><Relationship Id="rId149" Type="http://schemas.openxmlformats.org/officeDocument/2006/relationships/externalLink" Target="externalLinks/externalLink120.xml"/><Relationship Id="rId148" Type="http://schemas.openxmlformats.org/officeDocument/2006/relationships/externalLink" Target="externalLinks/externalLink119.xml"/><Relationship Id="rId147" Type="http://schemas.openxmlformats.org/officeDocument/2006/relationships/externalLink" Target="externalLinks/externalLink118.xml"/><Relationship Id="rId146" Type="http://schemas.openxmlformats.org/officeDocument/2006/relationships/externalLink" Target="externalLinks/externalLink117.xml"/><Relationship Id="rId145" Type="http://schemas.openxmlformats.org/officeDocument/2006/relationships/externalLink" Target="externalLinks/externalLink116.xml"/><Relationship Id="rId144" Type="http://schemas.openxmlformats.org/officeDocument/2006/relationships/externalLink" Target="externalLinks/externalLink115.xml"/><Relationship Id="rId143" Type="http://schemas.openxmlformats.org/officeDocument/2006/relationships/externalLink" Target="externalLinks/externalLink114.xml"/><Relationship Id="rId142" Type="http://schemas.openxmlformats.org/officeDocument/2006/relationships/externalLink" Target="externalLinks/externalLink113.xml"/><Relationship Id="rId141" Type="http://schemas.openxmlformats.org/officeDocument/2006/relationships/externalLink" Target="externalLinks/externalLink112.xml"/><Relationship Id="rId140" Type="http://schemas.openxmlformats.org/officeDocument/2006/relationships/externalLink" Target="externalLinks/externalLink111.xml"/><Relationship Id="rId14" Type="http://schemas.openxmlformats.org/officeDocument/2006/relationships/worksheet" Target="worksheets/sheet14.xml"/><Relationship Id="rId139" Type="http://schemas.openxmlformats.org/officeDocument/2006/relationships/externalLink" Target="externalLinks/externalLink110.xml"/><Relationship Id="rId138" Type="http://schemas.openxmlformats.org/officeDocument/2006/relationships/externalLink" Target="externalLinks/externalLink109.xml"/><Relationship Id="rId137" Type="http://schemas.openxmlformats.org/officeDocument/2006/relationships/externalLink" Target="externalLinks/externalLink108.xml"/><Relationship Id="rId136" Type="http://schemas.openxmlformats.org/officeDocument/2006/relationships/externalLink" Target="externalLinks/externalLink107.xml"/><Relationship Id="rId135" Type="http://schemas.openxmlformats.org/officeDocument/2006/relationships/externalLink" Target="externalLinks/externalLink106.xml"/><Relationship Id="rId134" Type="http://schemas.openxmlformats.org/officeDocument/2006/relationships/externalLink" Target="externalLinks/externalLink105.xml"/><Relationship Id="rId133" Type="http://schemas.openxmlformats.org/officeDocument/2006/relationships/externalLink" Target="externalLinks/externalLink104.xml"/><Relationship Id="rId132" Type="http://schemas.openxmlformats.org/officeDocument/2006/relationships/externalLink" Target="externalLinks/externalLink103.xml"/><Relationship Id="rId131" Type="http://schemas.openxmlformats.org/officeDocument/2006/relationships/externalLink" Target="externalLinks/externalLink102.xml"/><Relationship Id="rId130" Type="http://schemas.openxmlformats.org/officeDocument/2006/relationships/externalLink" Target="externalLinks/externalLink101.xml"/><Relationship Id="rId13" Type="http://schemas.openxmlformats.org/officeDocument/2006/relationships/worksheet" Target="worksheets/sheet13.xml"/><Relationship Id="rId129" Type="http://schemas.openxmlformats.org/officeDocument/2006/relationships/externalLink" Target="externalLinks/externalLink100.xml"/><Relationship Id="rId128" Type="http://schemas.openxmlformats.org/officeDocument/2006/relationships/externalLink" Target="externalLinks/externalLink99.xml"/><Relationship Id="rId127" Type="http://schemas.openxmlformats.org/officeDocument/2006/relationships/externalLink" Target="externalLinks/externalLink98.xml"/><Relationship Id="rId126" Type="http://schemas.openxmlformats.org/officeDocument/2006/relationships/externalLink" Target="externalLinks/externalLink97.xml"/><Relationship Id="rId125" Type="http://schemas.openxmlformats.org/officeDocument/2006/relationships/externalLink" Target="externalLinks/externalLink96.xml"/><Relationship Id="rId124" Type="http://schemas.openxmlformats.org/officeDocument/2006/relationships/externalLink" Target="externalLinks/externalLink95.xml"/><Relationship Id="rId123" Type="http://schemas.openxmlformats.org/officeDocument/2006/relationships/externalLink" Target="externalLinks/externalLink94.xml"/><Relationship Id="rId122" Type="http://schemas.openxmlformats.org/officeDocument/2006/relationships/externalLink" Target="externalLinks/externalLink93.xml"/><Relationship Id="rId121" Type="http://schemas.openxmlformats.org/officeDocument/2006/relationships/externalLink" Target="externalLinks/externalLink92.xml"/><Relationship Id="rId120" Type="http://schemas.openxmlformats.org/officeDocument/2006/relationships/externalLink" Target="externalLinks/externalLink91.xml"/><Relationship Id="rId12" Type="http://schemas.openxmlformats.org/officeDocument/2006/relationships/worksheet" Target="worksheets/sheet12.xml"/><Relationship Id="rId119" Type="http://schemas.openxmlformats.org/officeDocument/2006/relationships/externalLink" Target="externalLinks/externalLink90.xml"/><Relationship Id="rId118" Type="http://schemas.openxmlformats.org/officeDocument/2006/relationships/externalLink" Target="externalLinks/externalLink89.xml"/><Relationship Id="rId117" Type="http://schemas.openxmlformats.org/officeDocument/2006/relationships/externalLink" Target="externalLinks/externalLink88.xml"/><Relationship Id="rId116" Type="http://schemas.openxmlformats.org/officeDocument/2006/relationships/externalLink" Target="externalLinks/externalLink87.xml"/><Relationship Id="rId115" Type="http://schemas.openxmlformats.org/officeDocument/2006/relationships/externalLink" Target="externalLinks/externalLink86.xml"/><Relationship Id="rId114" Type="http://schemas.openxmlformats.org/officeDocument/2006/relationships/externalLink" Target="externalLinks/externalLink85.xml"/><Relationship Id="rId113" Type="http://schemas.openxmlformats.org/officeDocument/2006/relationships/externalLink" Target="externalLinks/externalLink84.xml"/><Relationship Id="rId112" Type="http://schemas.openxmlformats.org/officeDocument/2006/relationships/externalLink" Target="externalLinks/externalLink83.xml"/><Relationship Id="rId111" Type="http://schemas.openxmlformats.org/officeDocument/2006/relationships/externalLink" Target="externalLinks/externalLink82.xml"/><Relationship Id="rId110" Type="http://schemas.openxmlformats.org/officeDocument/2006/relationships/externalLink" Target="externalLinks/externalLink81.xml"/><Relationship Id="rId11" Type="http://schemas.openxmlformats.org/officeDocument/2006/relationships/worksheet" Target="worksheets/sheet11.xml"/><Relationship Id="rId109" Type="http://schemas.openxmlformats.org/officeDocument/2006/relationships/externalLink" Target="externalLinks/externalLink80.xml"/><Relationship Id="rId108" Type="http://schemas.openxmlformats.org/officeDocument/2006/relationships/externalLink" Target="externalLinks/externalLink79.xml"/><Relationship Id="rId107" Type="http://schemas.openxmlformats.org/officeDocument/2006/relationships/externalLink" Target="externalLinks/externalLink78.xml"/><Relationship Id="rId106" Type="http://schemas.openxmlformats.org/officeDocument/2006/relationships/externalLink" Target="externalLinks/externalLink77.xml"/><Relationship Id="rId105" Type="http://schemas.openxmlformats.org/officeDocument/2006/relationships/externalLink" Target="externalLinks/externalLink76.xml"/><Relationship Id="rId104" Type="http://schemas.openxmlformats.org/officeDocument/2006/relationships/externalLink" Target="externalLinks/externalLink75.xml"/><Relationship Id="rId103" Type="http://schemas.openxmlformats.org/officeDocument/2006/relationships/externalLink" Target="externalLinks/externalLink74.xml"/><Relationship Id="rId102" Type="http://schemas.openxmlformats.org/officeDocument/2006/relationships/externalLink" Target="externalLinks/externalLink73.xml"/><Relationship Id="rId101" Type="http://schemas.openxmlformats.org/officeDocument/2006/relationships/externalLink" Target="externalLinks/externalLink72.xml"/><Relationship Id="rId100" Type="http://schemas.openxmlformats.org/officeDocument/2006/relationships/externalLink" Target="externalLinks/externalLink7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2020\2020-05&#30416;&#27744;&#21439;&#38738;&#23665;&#20065;&#22826;&#24179;&#24217;&#26449;&#39640;&#26631;&#20934;&#20892;&#30000;&#24314;&#35774;&#39033;&#30446;\2020.12.1\&#21442;&#32771;&#34920;\02&#27010;&#31639;&#65288;&#22826;&#24179;&#24217;&#65289;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\My%20Documents\Tencent%20Files\451725271\FileRecv\Documents%20and%20Settings\Administrator\My%20Documents\&#22303;&#22320;&#24320;&#21457;&#25972;&#29702;\2014.5.10\2014.1.6&#65288;&#26368;&#32456;&#36865;&#23457;&#65289;&#21033;&#36890;&#21306;2013&#24180;&#22303;&#22320;&#25972;&#29702;2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nts%20and%20Settings\123\&#26700;&#38754;\&#21307;&#20445;\1\nxbatch\&#22823;&#23398;&#29983;&#21442;&#20445;&#30331;&#35760;&#25253;&#30424;&#27169;&#26495;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\&#25105;&#30340;&#25991;&#26723;\&#39033;&#30446;&#24037;&#31243;\2010\&#32493;&#24314;&#37197;&#22871;\&#21776;&#24469;&#28192;\&#21776;&#24469;&#28192;&#65288;101108&#65289;\&#20854;&#20182;&#19987;&#19994;\&#21776;&#24469;&#28192;&#34924;&#30732;&#65288;&#26032;&#23450;&#39069;&#65289;2010.7.6&#20272;&#31639;&#25913;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25991;&#20214;\2015\&#39640;&#25928;&#33410;&#27700;\&#22242;&#32467;&#20852;&#26106;&#39640;&#25928;&#33410;&#27700;\2015&#24180;&#22242;&#32467;&#26449;&#39640;&#25928;&#33410;&#27700;\PROJECT11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\&#35745;&#21010;&#22788;&#39033;&#30446;\2009&#24180;1236&#25307;&#26631;&#65288;&#24352;&#65289;\&#21313;&#19968;&#27893;&#31449;\Documents%20and%20Settings\LXP\Local%20Settings\Temporary%20Internet%20Files\Content.IE5\UP70P0ZU\&#38738;&#39044;&#31639;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nts%20and%20Settings\Administrator\&#26700;&#38754;\&#19996;&#37096;&#27700;&#31995;\&#22797;&#20214;%20&#65288;&#24196;&#31435;&#26126;&#65289;%20-%20&#38738;&#38108;&#23777;&#27700;&#31995;&#36830;&#36890;&#24037;&#31243;2017.6.28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\&#39044;&#31639;&#12289;&#21672;&#35810;\&#25152;&#26377;&#39044;&#31639;&#25991;&#20214;\&#37325;&#35201;&#30340;&#25991;&#20214;\&#23385;&#32463;&#29702;\&#39044;&#31639;&#25991;&#20214;\&#39532;&#29618;&#25991;&#20214;&#22841;\&#37325;&#35201;&#30340;&#25991;&#20214;\&#21608;&#20029;&#26368;&#32456;\&#37325;&#35201;&#30340;&#25991;&#20214;\&#21608;&#20029;&#26368;&#32456;\&#23425;&#22799;&#22269;&#22303;&#25972;&#27835;&#39033;&#30446;2012&#24180;&#24230;&#21556;&#24544;&#24066;&#21033;&#36890;&#21306;&#39640;&#38392;&#31561;&#19977;&#20065;&#38215;&#39640;&#26631;&#20934;&#22522;&#26412;&#20892;&#30000;&#24314;&#35774;&#24037;&#31243;&#25237;&#26631;&#35745;&#31639;2012.9.27\&#65288;&#20061;&#20010;&#26631;&#27573;&#65289;&#21556;&#24544;&#24066;&#39640;&#26631;&#20934;&#22522;&#26412;&#20892;&#30000;&#24314;&#35774;&#24037;&#31243;&#39033;&#30446;&#26631;&#24213;&#35745;&#31639;2012.9.27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\Program%20Files\tencent\QQ\Users\497643723\FileRecv\&#25105;&#30340;&#25991;&#20214;&#65288;&#21442;&#32771;&#65289;\2012&#24180;&#25152;&#20570;&#39033;&#30446;\&#28023;&#21407;&#21439;&#22303;&#22320;&#24179;&#25972;&#39044;&#31639;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\&#39033;&#30446;&#24402;&#26723;\B-2018-008&#21407;&#24030;&#21306;&#20154;&#39278;\&#22266;&#21407;&#24066;&#21407;&#24030;&#21306;&#24320;&#22478;&#38215;&#21450;&#40644;&#38094;&#22561;&#38215;2018&#24180;&#24230;&#26131;&#22320;&#25206;&#36139;&#24196;&#28857;&#33258;&#26469;&#27700;&#20837;&#25143;&#24037;&#31243;\Documents%20and%20Settings\Administrator\My%20Documents\Downloads\&#28023;&#21407;&#21439;&#22303;&#22320;&#24179;&#25972;&#39044;&#31639;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\&#29579;&#20122;&#33395;\2011&#24180;&#23567;&#20892;&#27700;&#39033;&#30446;\2011&#24180;&#23567;&#20892;&#27700;&#39033;&#30446;\&#34081;&#21033;&#25991;&#26412;&#30424;&#19979;&#20840;&#37096;&#25991;&#20214;\&#34081;&#21033;&#25991;\&#39044;&#31639;\&#30005;&#27668;&#39044;&#31639;\&#30333;&#33448;&#28393;&#30005;&#27668;\&#30333;&#33448;&#28393;&#25193;&#24314;\&#30333;&#33448;&#28393;&#20027;&#21464;&#25193;&#24314;&#24037;&#31243;&#39044;&#31639;\01-&#30333;&#33448;&#28393;1#&#20027;&#21464;110KV&#27010;&#31639;(&#22303;&#24314;)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24037;&#20316;&#22841;\&#22269;&#22320;&#38498;\&#22522;&#26412;&#36164;&#26009;\&#24191;&#35199;&#30000;&#38451;&#39033;&#30446;&#39044;&#31639;&#65288;&#26472;&#21355;&#32418;&#65289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SUS\Desktop\&#26032;&#24314;&#25991;&#20214;&#22841;\2019&#24180;&#21033;&#36890;&#21306;&#37101;&#23478;&#26725;&#20065;&#37101;&#23478;&#26725;&#26449;10200&#20137;&#39640;&#26631;&#20934;&#20892;&#30000;&#24314;&#35774;&#39033;&#30446;-&#27010;&#31639;.xlsx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\2011&#24180;\7&#26376;\&#26376;&#29273;&#28246;&#20065;2010&#24180;&#36864;&#32789;&#36824;&#26519;&#22522;&#26412;&#21475;&#31918;&#27700;&#21033;&#24314;&#35774;&#39033;&#30446;\&#39044;&#31639;\&#26376;&#29273;&#28246;&#36864;&#32789;&#36824;&#26519;&#27010;&#31639;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\&#25105;&#30340;&#25991;&#26723;\&#24037;&#20316;&#22841;\&#22269;&#22320;&#38498;\&#21888;&#20160;&#33678;&#36710;&#38463;&#26031;&#20848;\&#38463;&#26031;&#20848;&#24052;&#26684;&#39044;&#31639;&#65288;&#26472;&#21355;&#32418;&#65289;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\2015&#24180;\10&#26376;-&#36154;&#20848;2016&#24180;&#30416;&#30897;&#22320;&#21450;&#35268;&#21010;\&#36154;&#20848;&#21439;2016&#24180;&#30416;&#30897;&#22320;&#23454;&#26045;&#29255;&#21306;\&#36154;&#20848;&#21439;&#31435;&#23703;&#12289;&#27946;&#24191;&#29255;&#21306;\&#28192;&#36947;&#37096;&#20998;\&#25972;&#29702;&#34920;&#26684;&#65288;mkh&#65289;\&#39044;&#31639;&#34920;&#65288;&#31435;&#23703;&#12289;&#27946;&#24191;&#65289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\&#25105;&#30340;&#25991;&#26723;\2015&#24180;\(2015.07.31&#21525;&#28023;&#26126;&#38738;&#38108;&#23777;3&#20010;&#25239;&#26097;&#24212;&#24613;&#39033;&#30446;)\&#65288;2015.07.31&#21525;&#28023;&#26126;&#65289;&#38738;&#38108;&#23777;&#24066;&#21313;&#19977;&#20116;&#25239;&#26097;&#24212;&#24613;&#39033;&#30446;&#27827;&#35199;&#20892;&#26449;&#39278;&#27700;&#25239;&#26097;&#24212;&#24613;&#24037;&#31243;\&#26417;&#28165;\&#25237;&#36164;&#23457;&#26680;\&#39640;&#25928;&#33410;&#27700;\2015\&#19978;&#21322;&#24180;\2015.4.27&#39033;&#30446;\&#32418;&#26791;&#23665;&#20892;&#28192;&#30732;&#25252;&#39044;&#31639;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21271;&#20140;&#39033;&#30446;\&#20869;&#33945;&#20016;&#38215;&#21021;&#35774;&#25104;&#26524;\&#35268;&#21010;&#39044;&#31639;\&#20016;&#38215;&#39033;&#30446;&#39044;&#31639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\&#39044;&#31639;\2016&#24180;&#39033;&#30446;&#24037;&#31243;\&#25105;&#30340;&#25991;&#26723;\Tencent%20Files\490810924\FileRecv\&#39044;&#31639;&#25991;&#20214;\&#39532;&#29618;&#25991;&#20214;&#22841;\&#30416;&#27744;\&#30416;&#27744;&#21439;2012&#24180;&#23567;&#22411;&#19987;&#39033;&#39033;&#30446;&#65288;&#19969;&#28023;&#40857;&#65289;2012.9.5\&#21556;&#24544;&#24066;&#23385;&#23478;&#28393;&#39033;&#30446;2011.12.16&#65288;&#39532;&#29618;&#65289;&#12304;2009&#12305;13&#21495;&#25991;&#27010;&#31639;&#26631;&#20934;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\&#25105;&#30340;&#25991;&#26723;\&#22269;&#22320;&#38498;&#39033;&#30446;\&#20869;&#33945;&#21476;&#39033;&#30446;\&#20016;&#38215;&#24066;\&#20016;&#38215;&#35268;&#21010;&#25104;&#26524;\&#35268;&#21010;&#39044;&#31639;\&#20016;&#38215;&#39033;&#30446;&#39044;&#31639;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\My%20Documents\Tencent%20Files\451725271\FileRecv\2015&#24180;\(2015.07.31&#21525;&#28023;&#26126;&#38738;&#38108;&#23777;3&#20010;&#25239;&#26097;&#24212;&#24613;&#39033;&#30446;)\&#65288;2015.07.31&#21525;&#28023;&#26126;&#65289;&#38738;&#38108;&#23777;&#24066;&#21313;&#19977;&#20116;&#25239;&#26097;&#24212;&#24613;&#39033;&#30446;&#27827;&#35199;&#20892;&#26449;&#39278;&#27700;&#25239;&#26097;&#24212;&#24613;&#24037;&#31243;\&#26417;&#28165;\&#25237;&#36164;&#23457;&#26680;\&#39640;&#25928;&#33410;&#27700;\2015\&#19978;&#21322;&#24180;\2015.4.27&#39033;&#30446;\&#28023;&#21407;&#22303;&#22320;&#25972;&#29702;&#25253;&#20215;&#34920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22269;&#22320;&#38498;&#39033;&#30446;\&#20869;&#33945;&#21476;&#39033;&#30446;\&#20016;&#38215;&#24066;\&#20016;&#38215;&#35268;&#21010;&#25104;&#26524;\&#35268;&#21010;&#39044;&#31639;\&#20016;&#38215;&#39033;&#30446;&#39044;&#31639;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\&#30333;&#33448;&#28393;&#39044;&#31639;&#25511;&#21046;&#20215;0920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\&#25105;&#30340;&#25991;&#26723;\&#21033;&#27700;&#20844;&#21496;\2012&#24180;&#23567;&#20892;&#27700;\&#26446;&#20908;&#21326;\&#25307;&#25237;&#26631;&#21450;&#27010;&#39044;&#31639;\&#27010;&#39044;&#31639;&#25991;&#20214;\&#22303;&#22320;&#25972;&#29702;&#30456;&#20851;&#36164;&#26009;\1165585773427\&#22303;&#22320;&#25972;&#29702;&#39033;&#30446;&#39044;&#31639;\&#24191;&#35199;&#24179;&#26524;&#39033;&#30446;&#39044;&#31639;11-8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dell\Documents\WXWork\1688851081539568\Cache\File\2021-09\RecoveredExternalLink24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\&#24037;&#20316;&#25991;&#20214;\&#24179;&#32599;&#21344;&#34917;&#24179;&#34913;&#39033;&#30446;\7&#12289;&#36865;&#23457;&#31295;\&#24179;&#32599;&#21344;&#34917;&#24179;&#34913;&#39033;&#30446;&#39044;&#31639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\&#26417;&#28165;\&#25237;&#36164;&#23457;&#26680;\&#40644;&#27827;&#39033;&#30446;\2020&#20013;&#23567;&#27827;&#27969;\&#28023;&#21407;&#22303;&#22320;&#25972;&#29702;&#25253;&#20215;&#34920;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ADMINI~1\AppData\Local\Temp\Rar$DI06.288\2013&#24180;&#25991;&#20214;\&#20197;&#33394;&#21015;&#36151;&#27454;&#39033;&#30446;\&#19978;&#25253;&#36164;&#37329;&#30003;&#35831;&#25253;&#21578;&#38468;&#34920;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\&#35774;&#35745;&#36164;&#26009;\2015&#24180;\&#24179;&#32599;&#21439;&#39640;&#20161;&#12289;&#39640;&#24196;&#31561;&#20065;&#38215;&#39640;&#25928;&#33410;&#27700;&#28748;&#28297;&#24037;&#31243;\&#26368;&#32456;&#29256;&#39044;&#31639;\du464049\&#20010;&#20154;\&#22806;&#25509;&#35774;&#35745;\&#27704;&#23425;&#21439;\&#23500;&#23425;\&#23454;&#26045;&#26041;&#26696;2015.4.8\&#23425;&#22799;&#39547;&#20140;&#21150;&#24037;&#20316;&#35777;2&#20154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\&#25105;&#30340;&#25991;&#26723;\&#26700;&#38754;\&#19977;&#36255;&#22697;&#22303;&#22320;&#25972;&#27835;&#39033;&#30446;\&#24191;&#27494;&#26449;&#39033;&#30446;&#39044;&#31639;--&#26368;&#32456;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\&#23002;&#27704;&#24247;&#24212;&#29992;\&#20061;&#36816;&#34903;&#21021;&#35774;&#39044;&#31639;&#34920;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dell\Documents\WXWork\1688851081539568\Cache\File\2021-09\RecoveredExternalLink25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\Program%20Files\TENCENT\QQ\Users\529415398\FileRecv\d\&#25105;&#30340;&#25991;&#26723;\&#29983;&#24577;&#31227;&#27665;\&#22826;&#38451;&#26753;\&#22826;&#38451;&#26753;&#31227;&#27665;&#20108;&#26399;\&#26032;&#24314;&#25991;&#20214;&#22841;\&#22303;&#22320;&#25972;&#29702;\&#38271;&#23665;&#22836;&#22303;&#22320;&#25972;&#29702;2.23\&#39044;&#31639;\&#26032;&#24314;&#25991;&#20214;&#22841;\&#39044;&#31639;&#65288;&#20013;&#23425;&#20462;&#25913;&#65289;9.24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\&#25105;&#30340;&#25991;&#26723;\&#24037;&#20316;&#22841;\&#22269;&#22320;&#38498;\&#22522;&#26412;&#36164;&#26009;\&#24191;&#35199;&#30000;&#38451;&#39033;&#30446;&#39044;&#31639;&#65288;&#26472;&#21355;&#32418;&#65289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Spares\FILES\SMCTS2\SMCTSSP2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24037;&#20316;&#22841;\&#22269;&#22320;&#38498;\&#35199;&#23665;&#26032;&#30086;\&#26032;&#30086;&#29579;&#35199;&#23665;\&#35199;&#23665;&#20892;&#22330;&#24037;&#31243;&#37327;&#39044;&#31639;\&#20044;&#33487;&#24066;&#22303;&#22320;&#25972;&#29702;\&#21442;&#32771;&#36164;&#26009;\&#39044;&#31639;&#65288;&#28023;&#38451;&#65289;\2003&#24180;&#39033;&#30446;\&#36797;&#23425;&#30465;&#26222;&#20848;&#24215;&#39033;&#30446;\&#36797;&#23425;&#30465;&#26222;&#20848;&#24215;&#39033;&#30446;&#39044;&#31639;11.20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\&#25105;&#30340;&#25991;&#26723;\&#21033;&#27700;&#20844;&#21496;\2012&#24180;&#23567;&#20892;&#27700;\Documents%20and%20Settings\LXP\Local%20Settings\Temporary%20Internet%20Files\Content.IE5\UP70P0ZU\&#38738;&#39044;&#31639;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08&#24180;&#24037;&#20316;\&#26607;&#22378;&#39033;&#30446;\2&#24178;&#31649;&#25237;&#36164;&#21644;&#32463;&#27982;&#35780;&#20215;\2006&#24180;&#24037;&#20316;\128&#22242;\128&#22242;&#39044;&#31639;\128&#22242;&#39044;&#31639;07&#24180;8&#26376;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28023;&#21407;&#22303;&#22320;&#25972;&#29702;&#25253;&#20215;&#34920;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\2020&#24180;&#25237;&#26631;&#19994;&#21153;&#26126;&#32454;\&#39532;&#39134;\2.0%25\&#65288;&#25237;&#26631;&#25253;&#20215;2.0%25&#65289;&#32418;&#23546;&#22561;&#21306;2020&#24180;&#22823;&#27827;&#20065;&#40635;&#40644;&#27807;&#31561;&#26449;&#30000;&#38388;&#28192;&#36947;&#32500;&#20462;&#25913;&#36896;&#24037;&#31243;(&#19979;&#28014;2.0%25&#65289;%20-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\&#25105;&#30340;&#25991;&#26723;\2008&#24180;&#24037;&#20316;\&#26607;&#22378;&#39033;&#30446;\2&#24178;&#31649;&#25237;&#36164;&#21644;&#32463;&#27982;&#35780;&#20215;\2006&#24180;&#24037;&#20316;\128&#22242;\128&#22242;&#39044;&#31639;\128&#22242;&#39044;&#31639;07&#24180;8&#26376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\&#25805;&#20316;&#24179;&#21488;\2015&#24180;&#39640;&#25928;&#33410;&#27700;&#28748;&#28297;&#39033;&#30446;&#31532;&#22235;&#25209;\&#27704;&#23425;&#21439;&#24052;&#26684;&#26031;&#37202;&#24196;&#33889;&#33796;&#28404;&#28748;&#24037;&#31243;&#23454;&#26045;&#26041;&#26696;\&#28023;&#21407;&#22303;&#22320;&#25972;&#29702;&#25253;&#20215;&#34920;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\&#25105;&#30340;&#25991;&#26723;\2015&#24180;\(2015.07.31&#21525;&#28023;&#26126;&#38738;&#38108;&#23777;3&#20010;&#25239;&#26097;&#24212;&#24613;&#39033;&#30446;)\&#65288;2015.07.31&#21525;&#28023;&#26126;&#65289;&#38738;&#38108;&#23777;&#24066;&#21313;&#19977;&#20116;&#25239;&#26097;&#24212;&#24613;&#39033;&#30446;&#27827;&#35199;&#20892;&#26449;&#39278;&#27700;&#25239;&#26097;&#24212;&#24613;&#24037;&#31243;\&#26417;&#28165;\&#25237;&#36164;&#23457;&#26680;\&#39640;&#25928;&#33410;&#27700;\2015\&#19978;&#21322;&#24180;\2015.4.27&#39033;&#30446;\&#28023;&#21407;&#22303;&#22320;&#25972;&#29702;&#25253;&#20215;&#34920;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\&#32418;&#26791;&#23665;&#20892;&#28192;&#30732;&#25252;&#39044;&#31639;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\&#39044;&#31639;&#12289;&#21672;&#35810;\&#26368;&#32456;&#39044;&#31639;&#25991;&#20214;\&#27700;&#20445;&#27010;&#31639;&#25991;&#20214;&#22841;\&#21556;&#24544;&#24066;&#28165;&#27700;&#27807;&#27745;&#26579;&#32508;&#21512;&#27835;&#29702;&#39033;&#30446;&#27700;&#22303;&#20445;&#25345;&#23454;&#26045;&#26041;&#26696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\&#25105;&#30340;&#25991;&#26723;\Documents%20and%20Settings\Administrator\My%20Documents\&#22303;&#22320;&#24320;&#21457;&#25972;&#29702;\2014.5.10\2014.1.6&#65288;&#26368;&#32456;&#36865;&#23457;&#65289;&#21033;&#36890;&#21306;2013&#24180;&#22303;&#22320;&#25972;&#29702;2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nts%20and%20Settings\Administrator\&#26700;&#38754;\&#25307;&#26631;\1&#12289;&#24037;&#20316;&#36164;&#26009;\3&#12289;2012&#24180;&#39033;&#30446;\4&#12289;&#27704;&#24247;&#19968;&#26399;&#28404;&#28748;\1&#12289;&#37325;&#35201;\1-3&#12289;&#39044;&#31639;\&#27704;&#24247;\&#12304;&#39640;&#26631;&#20934;&#12305;&#27704;&#24247;11.09&#25253;&#21381;&#23450;&#31295;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ocuments\WeChat%20Files\wxid_ezdvkgzoy22p22\FileStorage\File\2021-04\2&#12289;&#21033;&#36890;&#21306;&#23567;&#27969;&#22495;&#27010;&#31639;&#65288;&#26368;&#32456;&#65289;.xlsx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dell\Documents\WXWork\1688851081539568\Cache\File\2021-09\RecoveredExternalLink27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dell\Documents\WXWork\1688851081539568\Cache\File\2021-09\RecoveredExternalLink28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dell\Documents\WXWork\1688851081539568\Cache\File\2021-09\RecoveredExternalLink29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dell\Documents\WXWork\1688851081539568\Cache\File\2021-09\RecoveredExternalLink30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dell\Documents\WXWork\1688851081539568\Cache\File\2021-09\RecoveredExternalLink31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dell\Documents\WXWork\1688851081539568\Cache\File\2021-09\RecoveredExternalLink32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dell\Documents\WXWork\1688851081539568\Cache\File\2021-09\RecoveredExternalLink33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user\AppData\Roaming\kingsoft\office6\backup\&#20013;&#21355;&#24066;&#31532;&#19968;&#25490;&#27700;&#27807;&#20313;&#19969;&#27573;&#20154;&#24037;&#28287;&#22320;&#24037;&#31243;&#27700;&#21033;&#27010;&#31639;&#65288;9&#26376;30&#26085;&#20462;&#25913;&#65289;(1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\&#21016;&#26195;&#26230;\2017&#24180;\&#20013;&#23425;&#21439;&#23425;&#26032;&#24037;&#19994;&#22253;&#21306;&#20379;&#27700;&#24037;&#31243;&#65288;2017.05.09&#26472;&#28059;&#65289;\&#39532;&#29618;\POWER%20ASSUMPTION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dell\Documents\WXWork\1688851081539568\Cache\File\2021-09\RecoveredExternalLink34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\&#39044;&#31639;&#12289;&#21672;&#35810;\&#25152;&#26377;&#39044;&#31639;&#25991;&#20214;\&#37325;&#35201;&#30340;&#25991;&#20214;\&#23385;&#32463;&#29702;\&#39044;&#31639;&#25991;&#20214;\&#39532;&#29618;&#25991;&#20214;&#22841;\&#37325;&#35201;&#30340;&#25991;&#20214;\&#21608;&#20029;&#26368;&#32456;\&#37325;&#35201;&#30340;&#25991;&#20214;\&#21608;&#20029;&#26368;&#32456;\&#23425;&#22799;&#22269;&#22303;&#25972;&#27835;&#39033;&#30446;2012&#24180;&#24230;&#21556;&#24544;&#24066;&#21033;&#36890;&#21306;&#39640;&#38392;&#31561;&#19977;&#20065;&#38215;&#39640;&#26631;&#20934;&#22522;&#26412;&#20892;&#30000;&#24314;&#35774;&#24037;&#31243;&#25237;&#26631;&#35745;&#31639;2012.9.27\&#26032;&#24314;&#25991;&#20214;&#22841;\&#39044;&#31639;&#65288;&#20013;&#23425;&#20462;&#25913;&#65289;9.24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\&#25105;&#30340;&#25991;&#26723;\&#21033;&#27700;&#20844;&#21496;\2012&#24180;&#23567;&#20892;&#27700;\&#26446;&#20908;&#21326;\&#25307;&#25237;&#26631;&#21450;&#27010;&#39044;&#31639;\&#27010;&#39044;&#31639;&#25991;&#20214;\&#22303;&#22320;&#25972;&#29702;&#30456;&#20851;&#36164;&#26009;\1165585773427\&#22303;&#22320;&#25972;&#29702;&#39033;&#30446;&#39044;&#31639;\&#23450;&#39069;&#20869;&#23481;2005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Tencent%20Files\451725271\FileRecv\Documents%20and%20Settings\Administrator\My%20Documents\&#22303;&#22320;&#24320;&#21457;&#25972;&#29702;\2014.5.10\2014.1.6&#65288;&#26368;&#32456;&#36865;&#23457;&#65289;&#21033;&#36890;&#21306;2013&#24180;&#22303;&#22320;&#25972;&#29702;2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5105;&#30340;&#25991;&#26723;\&#21033;&#27700;&#20844;&#21496;\2012&#24180;&#23567;&#20892;&#27700;\&#26446;&#20908;&#21326;\&#25307;&#25237;&#26631;&#21450;&#27010;&#39044;&#31639;\&#27010;&#39044;&#31639;&#25991;&#20214;\&#22303;&#22320;&#25972;&#29702;&#30456;&#20851;&#36164;&#26009;\1165585773427\&#22303;&#22320;&#25972;&#29702;&#39033;&#30446;&#39044;&#31639;\&#24191;&#35199;&#24179;&#26524;&#39033;&#30446;&#39044;&#31639;11-8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5105;&#30340;&#25991;&#26723;\Documents%20and%20Settings\Administrator\My%20Documents\&#22303;&#22320;&#24320;&#21457;&#25972;&#29702;\2014.5.10\2014.1.6&#65288;&#26368;&#32456;&#36865;&#23457;&#65289;&#21033;&#36890;&#21306;2013&#24180;&#22303;&#22320;&#25972;&#29702;2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5105;&#30340;&#25991;&#26723;\2008&#24180;&#24037;&#20316;\&#26607;&#22378;&#39033;&#30446;\2&#24178;&#31649;&#25237;&#36164;&#21644;&#32463;&#27982;&#35780;&#20215;\Szy5\&#38463;&#21345;&#23572;djb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SUS\Desktop\&#26032;&#24314;&#25991;&#20214;&#22841;\2019&#24180;&#21033;&#36890;&#21306;&#37101;&#23478;&#26725;&#20065;&#37101;&#23478;&#26725;&#26449;10200&#20137;&#39640;&#26631;&#20934;&#20892;&#30000;&#24314;&#35774;&#39033;&#30446;-&#27010;&#31639;.xlsx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5105;&#30340;&#25991;&#26723;\9.10\&#22806;&#21150;&#26032;&#22686;4&#65288;&#39532;&#65289;&#65288;42&#20154;\&#24037;&#20316;&#35777;(42&#20154;)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8023;&#21407;&#21439;&#22303;&#22320;&#24179;&#25972;&#39044;&#31639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GP\tamer\WINDOWS\GP_AT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Tencent%20Files\451725271\FileRecv\2015&#24180;\(2015.07.31&#21525;&#28023;&#26126;&#38738;&#38108;&#23777;3&#20010;&#25239;&#26097;&#24212;&#24613;&#39033;&#30446;)\&#65288;2015.07.31&#21525;&#28023;&#26126;&#65289;&#38738;&#38108;&#23777;&#24066;&#21313;&#19977;&#20116;&#25239;&#26097;&#24212;&#24613;&#39033;&#30446;&#27827;&#35199;&#20892;&#26449;&#39278;&#27700;&#25239;&#26097;&#24212;&#24613;&#24037;&#31243;\&#26417;&#28165;\&#25237;&#36164;&#23457;&#26680;\&#39640;&#25928;&#33410;&#27700;\2015\&#19978;&#21322;&#24180;\2015.4.27&#39033;&#30446;\&#28023;&#21407;&#21439;&#22303;&#22320;&#24179;&#25972;&#39044;&#31639;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6417;&#28165;\&#25237;&#36164;&#23457;&#26680;\&#39640;&#26631;&#20934;&#20892;&#30000;\2019\2019.7.26\&#25105;&#30340;&#25991;&#26723;\Documents%20and%20Settings\&#20399;&#32768;&#26149;\My%20Documents\&#37995;&#36798;&#38209;&#19994;&#27010;&#31639;&#20070;X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5105;&#30340;&#25991;&#26723;\Documents%20and%20Settings\&#20399;&#32768;&#26149;\My%20Documents\&#37995;&#36798;&#38209;&#19994;&#27010;&#31639;&#20070;X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&#20399;&#32768;&#26149;\My%20Documents\&#37995;&#36798;&#38209;&#19994;&#27010;&#31639;&#20070;X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dministrator.ZGC-20140522BEK\Desktop\POWER%20ASSUMPTION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39044;&#31639;&#12289;&#21672;&#35810;\&#25152;&#26377;&#39044;&#31639;&#25991;&#20214;\&#37325;&#35201;&#30340;&#25991;&#20214;\&#21525;&#26575;&#26519;\2017&#24180;&#39033;&#30446;\&#39532;&#29618;\POWER%20ASSUMPTION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6417;&#28165;\&#25237;&#36164;&#23457;&#26680;\&#39640;&#26631;&#20934;&#20892;&#30000;\2019\2019.7.26\&#25105;&#30340;&#25991;&#26723;\2008&#24180;&#24037;&#20316;\&#26607;&#22378;&#39033;&#30446;\2&#24178;&#31649;&#25237;&#36164;&#21644;&#32463;&#27982;&#35780;&#20215;\2006&#24180;&#24037;&#20316;\100&#19975;&#20137;6.13\38&#22242;&#25104;&#26524;\Documents%20and%20Settings\USER\My%20Documents\&#35838;&#31243;&#34920;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5105;&#30340;&#25991;&#26723;\2008&#24180;&#24037;&#20316;\&#26607;&#22378;&#39033;&#30446;\2&#24178;&#31649;&#25237;&#36164;&#21644;&#32463;&#27982;&#35780;&#20215;\2006&#24180;&#24037;&#20316;\100&#19975;&#20137;6.13\38&#22242;&#25104;&#26524;\Documents%20and%20Settings\USER\My%20Documents\&#35838;&#31243;&#34920;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6417;&#28165;\&#25237;&#36164;&#23457;&#26680;\&#39640;&#26631;&#20934;&#20892;&#30000;\2019\2019.7.31\&#20462;&#25913;&#21518;\file:\C:\Users\Administrator\Desktop\&#24037;&#31243;&#27719;&#24635;&#22270;\2008&#24180;&#24037;&#31243;\&#31995;&#32479;\B015S-&#30333;&#33448;&#28393;1#&#20027;&#21464;&#25193;&#24314;&#24037;&#31243;\B015C-A-&#21021;&#35774;\01-&#30333;&#33448;&#28393;1#&#20027;&#21464;110KV&#27010;&#31639;(&#22303;&#24314;)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6417;&#28165;\&#25237;&#36164;&#23457;&#26680;\&#39640;&#26631;&#20934;&#20892;&#30000;\2019\2019.7.26\&#25105;&#30340;&#25991;&#26723;\&#29579;&#24037;2009.12.25\13&#26631;&#39044;&#31639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\&#24037;&#31243;&#27719;&#24635;&#22270;\2008&#24180;&#24037;&#31243;\&#31995;&#32479;\B015S-&#30333;&#33448;&#28393;1#&#20027;&#21464;&#25193;&#24314;&#24037;&#31243;\B015C-A-&#21021;&#35774;\01-&#30333;&#33448;&#28393;1#&#20027;&#21464;110KV&#27010;&#31639;(&#22303;&#24314;)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5105;&#30340;&#25991;&#26723;\&#29579;&#24037;2009.12.25\2009&#24180;3&#26376;&#26032;&#30086;08&#24180;&#39033;&#30446;&#25104;&#26524;&#22791;&#20221;\&#24067;&#23572;&#27941;&#21439;&#26460;&#26469;&#25552;&#20065;&#21035;&#24320;&#29305;&#28748;&#21306;&#22303;&#22320;&#25972;&#29702;&#39033;&#30446;&#65288;15&#22871;&#23457;&#26597;&#20013;&#65289;\&#39044;&#31639;\&#24067;&#23572;&#27941;&#39044;&#31639;&#65288;&#32456;&#31295;090313&#65289;.xlsx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5105;&#30340;&#25991;&#26723;\&#29579;&#24037;2009.12.25\13&#26631;&#39044;&#31639;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6417;&#28165;\&#25237;&#36164;&#23457;&#26680;\&#39640;&#26631;&#20934;&#20892;&#30000;\2019\2019.7.26\&#25105;&#30340;&#25991;&#26723;\&#21271;&#20140;&#39033;&#30446;\&#24191;&#35199;\&#24191;&#35199;&#35268;&#21010;&#35774;&#35745;\&#24191;&#35199;&#30000;&#38451;&#21439;&#39033;&#30446;&#39044;&#31639;&#20070;&#21450;&#38468;&#20214;\&#24191;&#35199;&#30000;&#38451;&#39033;&#30446;&#39044;&#31639;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8023;&#21407;&#22303;&#22320;\&#28023;&#21407;&#21439;&#22303;&#22320;&#24179;&#25972;&#39044;&#31639;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5105;&#30340;&#25991;&#26723;\&#28023;&#21407;&#22303;&#22320;\&#28023;&#21407;&#21439;&#22303;&#22320;&#24179;&#25972;&#39044;&#31639;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1033;&#27700;&#20844;&#21496;\2012&#24180;&#23567;&#20892;&#27700;\&#26446;&#20908;&#21326;\&#25307;&#25237;&#26631;&#21450;&#27010;&#39044;&#31639;\&#27010;&#39044;&#31639;&#25991;&#20214;\&#22303;&#22320;&#25972;&#29702;&#30456;&#20851;&#36164;&#26009;\1165585773427\&#22303;&#22320;&#25972;&#29702;&#39033;&#30446;&#39044;&#31639;\84&#22242;&#39033;&#30446;&#39044;&#31639;&#35797;&#31639;\&#39033;&#30446;&#24211;\&#39033;&#30446;&#35268;&#21010;&#35774;&#35745;&#19982;&#39044;&#31639;\&#22235;&#24029;&#12289;&#37325;&#24198;&#39033;&#30446;\&#37325;&#24198;&#29863;&#23665;&#39033;&#30446;\412&#25104;&#26524;\&#39044;&#31639;&#34920;2004&#12290;04&#12290;06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E099068\2012&#24180;&#19971;&#33829;&#39044;&#31639;&#21381;&#32423;&#35780;&#23457;&#20462;&#25913;&#65288;0220&#32456;&#29256;&#65289;.xl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5105;&#30340;&#25991;&#26723;\&#35745;&#21010;&#22788;&#39033;&#30446;\2009&#24180;1236&#25307;&#26631;&#65288;&#24352;&#65289;\&#21313;&#19968;&#27893;&#31449;\Documents%20and%20Settings\qq\Local%20Settings\Temporary%20Internet%20Files\Content.IE5\QF0XINAT\&#25991;&#26723;\&#22303;&#22320;&#25972;&#29702;&#39033;&#30446;\&#38738;&#38108;&#23777;&#37045;&#23703;\Documents%20and%20Settings\xianlong\Local%20Settings\Temp\&#21315;&#38451;&#21439;&#21271;&#29255;&#32456;&#39044;&#31639;&#34920;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35745;&#21010;&#22788;&#39033;&#30446;\2009&#24180;1236&#25307;&#26631;&#65288;&#24352;&#65289;\&#21313;&#19968;&#27893;&#31449;\Documents%20and%20Settings\LXP\Local%20Settings\Temporary%20Internet%20Files\Content.IE5\UP70P0ZU\&#38738;&#39044;&#31639;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6417;&#28165;\&#25237;&#36164;&#23457;&#26680;\&#39640;&#26631;&#20934;&#20892;&#30000;\2019\2019.7.26\&#25105;&#30340;&#25991;&#26723;\&#35745;&#21010;&#22788;&#39033;&#30446;\2009&#24180;1236&#25307;&#26631;&#65288;&#24352;&#65289;\&#21313;&#19968;&#27893;&#31449;\Documents%20and%20Settings\LXP\Local%20Settings\Temporary%20Internet%20Files\Content.IE5\UP70P0ZU\&#38738;&#39044;&#31639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\&#26417;&#28165;\&#25237;&#36164;&#23457;&#26680;\&#23567;&#20892;&#27700;\2014&#24180;\&#19979;&#21322;&#24180;\2014&#24180;&#23567;&#20892;&#27700;&#39033;&#30446;\&#25968;&#25454;\&#28392;&#28246;&#20065;&#21451;&#20016;&#26449;&#20272;&#31639;12.10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6417;&#28165;\&#25237;&#36164;&#23457;&#26680;\&#39640;&#26631;&#20934;&#20892;&#30000;\2019\2019.7.26\&#25105;&#30340;&#25991;&#26723;\&#24037;&#20316;&#22841;\&#22269;&#22320;&#38498;\&#21888;&#20160;&#33678;&#36710;&#38463;&#26031;&#20848;\&#38463;&#26031;&#20848;&#24052;&#26684;&#39044;&#31639;&#65288;&#26472;&#21355;&#32418;&#65289;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5105;&#30340;&#25991;&#26723;\&#24037;&#20316;&#22841;\&#22269;&#22320;&#38498;\&#21888;&#20160;&#33678;&#36710;&#38463;&#26031;&#20848;\&#38463;&#26031;&#20848;&#24052;&#26684;&#39044;&#31639;&#65288;&#26472;&#21355;&#32418;&#65289;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5105;&#30340;&#25991;&#26723;\&#39033;&#30446;&#24037;&#31243;\2010\&#32493;&#24314;&#37197;&#22871;\&#21776;&#24469;&#28192;\&#21776;&#24469;&#28192;&#65288;101108&#65289;\&#20854;&#20182;&#19987;&#19994;\&#21776;&#24469;&#28192;&#34924;&#30732;&#65288;&#26032;&#23450;&#39069;&#65289;2010.7.6&#20272;&#31639;&#25913;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6417;&#28165;\&#25237;&#36164;&#23457;&#26680;\&#39640;&#26631;&#20934;&#20892;&#30000;\2019\2019.7.26\&#25105;&#30340;&#25991;&#26723;\&#21033;&#27700;&#20844;&#21496;\2012&#24180;&#23567;&#20892;&#27700;\&#26446;&#20908;&#21326;\&#25307;&#25237;&#26631;&#21450;&#27010;&#39044;&#31639;\&#27010;&#39044;&#31639;&#25991;&#20214;\&#22303;&#22320;&#25972;&#29702;&#30456;&#20851;&#36164;&#26009;\1165585773427\&#22303;&#22320;&#25972;&#29702;&#39033;&#30446;&#39044;&#31639;\&#23450;&#39069;&#20869;&#23481;2005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6417;&#28165;\&#25237;&#36164;&#23457;&#26680;\&#39640;&#26631;&#20934;&#20892;&#30000;\2019\2019.7.26\My%20Documents\Tencent%20Files\451725271\FileRecv\2015&#24180;\(2015.07.31&#21525;&#28023;&#26126;&#38738;&#38108;&#23777;3&#20010;&#25239;&#26097;&#24212;&#24613;&#39033;&#30446;)\&#65288;2015.07.31&#21525;&#28023;&#26126;&#65289;&#38738;&#38108;&#23777;&#24066;&#21313;&#19977;&#20116;&#25239;&#26097;&#24212;&#24613;&#39033;&#30446;&#27827;&#35199;&#20892;&#26449;&#39278;&#27700;&#25239;&#26097;&#24212;&#24613;&#24037;&#31243;\&#26417;&#28165;\&#25237;&#36164;&#23457;&#26680;\&#39640;&#25928;&#33410;&#27700;\2015\&#19978;&#21322;&#24180;\2015.4.27&#39033;&#30446;\&#32418;&#26791;&#23665;&#20892;&#28192;&#30732;&#25252;&#39044;&#31639;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5105;&#30340;&#25991;&#26723;\&#21033;&#27700;&#20844;&#21496;\2012&#24180;&#23567;&#20892;&#27700;\&#26446;&#20908;&#21326;\&#25307;&#25237;&#26631;&#21450;&#27010;&#39044;&#31639;\&#27010;&#39044;&#31639;&#25991;&#20214;\&#22303;&#22320;&#25972;&#29702;&#30456;&#20851;&#36164;&#26009;\1165585773427\&#22303;&#22320;&#25972;&#29702;&#39033;&#30446;&#39044;&#31639;\&#23450;&#39069;&#20869;&#23481;2005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Tencent%20Files\451725271\FileRecv\2015&#24180;\(2015.07.31&#21525;&#28023;&#26126;&#38738;&#38108;&#23777;3&#20010;&#25239;&#26097;&#24212;&#24613;&#39033;&#30446;)\&#65288;2015.07.31&#21525;&#28023;&#26126;&#65289;&#38738;&#38108;&#23777;&#24066;&#21313;&#19977;&#20116;&#25239;&#26097;&#24212;&#24613;&#39033;&#30446;&#27827;&#35199;&#20892;&#26449;&#39278;&#27700;&#25239;&#26097;&#24212;&#24613;&#24037;&#31243;\&#26417;&#28165;\&#25237;&#36164;&#23457;&#26680;\&#39640;&#25928;&#33410;&#27700;\2015\&#19978;&#21322;&#24180;\2015.4.27&#39033;&#30446;\&#32418;&#26791;&#23665;&#20892;&#28192;&#30732;&#25252;&#39044;&#31639;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1&#24180;\7&#26376;\&#26376;&#29273;&#28246;&#20065;2010&#24180;&#36864;&#32789;&#36824;&#26519;&#22522;&#26412;&#21475;&#31918;&#27700;&#21033;&#24314;&#35774;&#39033;&#30446;\&#39044;&#31639;\&#26376;&#29273;&#28246;&#36864;&#32789;&#36824;&#26519;&#27010;&#31639;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5105;&#30340;&#25991;&#26723;\&#22269;&#22320;&#38498;&#39033;&#30446;\&#20869;&#33945;&#21476;&#39033;&#30446;\&#20016;&#38215;&#24066;\&#20016;&#38215;&#35268;&#21010;&#25104;&#26524;\&#35268;&#21010;&#39044;&#31639;\&#20016;&#38215;&#39033;&#30446;&#39044;&#31639;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bc-45\&#38271;&#20914;&#27827;&#30005;&#31449;&#36164;&#26009;\&#20852;&#20161;&#39532;&#23478;&#23663;&#27700;&#24211;\&#21153;&#24029;&#24037;&#31243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dell\Documents\WXWork\1688851081539568\Cache\File\2021-09\RecoveredExternalLink4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6417;&#28165;\&#25237;&#36164;&#23457;&#26680;\&#39640;&#26631;&#20934;&#20892;&#30000;\2019\2019.7.26\&#25105;&#30340;&#25991;&#26723;\2008&#24180;&#24037;&#20316;\&#26607;&#22378;&#39033;&#30446;\2&#24178;&#31649;&#25237;&#36164;&#21644;&#32463;&#27982;&#35780;&#20215;\2006&#24180;&#24037;&#20316;\128&#22242;\128&#22242;&#39044;&#31639;\128&#22242;&#39044;&#31639;07&#24180;8&#26376;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6417;&#28165;\&#25237;&#36164;&#23457;&#26680;\&#39640;&#26631;&#20934;&#20892;&#30000;\2019\2019.7.26\&#25105;&#30340;&#25991;&#26723;\&#24352;&#26195;&#29141;\&#35199;&#22799;&#27700;&#24211;\2012.5\&#21516;&#24515;&#20154;&#39278;&#20272;&#31639;&#65288;&#20462;&#25913;&#26041;&#26696;8.15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4352;&#26195;&#29141;\&#35199;&#22799;&#27700;&#24211;\2012.5\&#21516;&#24515;&#20154;&#39278;&#20272;&#31639;&#65288;&#20462;&#25913;&#26041;&#26696;8.15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Tencent%20Files\451725271\FileRecv\2015&#24180;\(2015.07.31&#21525;&#28023;&#26126;&#38738;&#38108;&#23777;3&#20010;&#25239;&#26097;&#24212;&#24613;&#39033;&#30446;)\&#65288;2015.07.31&#21525;&#28023;&#26126;&#65289;&#38738;&#38108;&#23777;&#24066;&#21313;&#19977;&#20116;&#25239;&#26097;&#24212;&#24613;&#39033;&#30446;&#27827;&#35199;&#20892;&#26449;&#39278;&#27700;&#25239;&#26097;&#24212;&#24613;&#24037;&#31243;\&#26417;&#28165;\&#25237;&#36164;&#23457;&#26680;\&#39640;&#25928;&#33410;&#27700;\2015\&#19978;&#21322;&#24180;\2015.4.27&#39033;&#30446;\&#28023;&#21407;&#22303;&#22320;&#25972;&#29702;&#25253;&#20215;&#34920;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SUS\Desktop\&#26032;&#24314;&#25991;&#20214;&#22841;\&#38886;&#24030;&#32599;&#23665;%20&#21021;&#35774;(&#33829;&#25913;&#22686;&#65289;%202018.3.30(&#23457;&#26597;&#21518;&#35843;&#25972;&#26368;&#21518;&#29256;&#65289;&#38450;&#27946;&#26041;&#26696;9.11%20-%20&#21103;&#26412;%20(2)%20-%20&#21103;&#26412;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39044;&#31639;&#12289;&#21672;&#35810;\&#25152;&#26377;&#39044;&#31639;&#25991;&#20214;\&#37325;&#35201;&#30340;&#25991;&#20214;\&#23385;&#32463;&#29702;\&#39044;&#31639;&#25991;&#20214;\&#39532;&#29618;&#25991;&#20214;&#22841;\&#37325;&#35201;&#30340;&#25991;&#20214;\&#21608;&#20029;&#26368;&#32456;\&#37325;&#35201;&#30340;&#25991;&#20214;\&#21608;&#20029;&#26368;&#32456;\&#23425;&#22799;&#22269;&#22303;&#25972;&#27835;&#39033;&#30446;2012&#24180;&#24230;&#21556;&#24544;&#24066;&#21033;&#36890;&#21306;&#39640;&#38392;&#31561;&#19977;&#20065;&#38215;&#39640;&#26631;&#20934;&#22522;&#26412;&#20892;&#30000;&#24314;&#35774;&#24037;&#31243;&#25237;&#26631;&#35745;&#31639;2012.9.27\&#65288;&#20061;&#20010;&#26631;&#27573;&#65289;&#21556;&#24544;&#24066;&#39640;&#26631;&#20934;&#22522;&#26412;&#20892;&#30000;&#24314;&#35774;&#24037;&#31243;&#39033;&#30446;&#26631;&#24213;&#35745;&#31639;2012.9.27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39044;&#31639;&#12289;&#21672;&#35810;\&#25152;&#26377;&#39044;&#31639;&#25991;&#20214;\&#37325;&#35201;&#30340;&#25991;&#20214;\&#23385;&#32463;&#29702;\&#39044;&#31639;&#25991;&#20214;\&#39532;&#29618;&#25991;&#20214;&#22841;\&#37325;&#35201;&#30340;&#25991;&#20214;\&#21608;&#20029;&#26368;&#32456;\&#37325;&#35201;&#30340;&#25991;&#20214;\&#21608;&#20029;&#26368;&#32456;\&#23425;&#22799;&#22269;&#22303;&#25972;&#27835;&#39033;&#30446;2012&#24180;&#24230;&#21556;&#24544;&#24066;&#21033;&#36890;&#21306;&#39640;&#38392;&#31561;&#19977;&#20065;&#38215;&#39640;&#26631;&#20934;&#22522;&#26412;&#20892;&#30000;&#24314;&#35774;&#24037;&#31243;&#25237;&#26631;&#35745;&#31639;2012.9.27\Users\Administrator\Desktop\2012.2.15&#22823;&#25112;&#22330;&#39044;&#31639;&#34920;&#26684;(&#21439;&#32423;&#35780;&#23457;&#31295;)%20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39044;&#31639;&#12289;&#21672;&#35810;\&#25152;&#26377;&#39044;&#31639;&#25991;&#20214;\&#37325;&#35201;&#30340;&#25991;&#20214;\&#23385;&#32463;&#29702;\&#39044;&#31639;&#25991;&#20214;\&#39532;&#29618;&#25991;&#20214;&#22841;\&#37325;&#35201;&#30340;&#25991;&#20214;\&#21608;&#20029;&#26368;&#32456;\&#37325;&#35201;&#30340;&#25991;&#20214;\&#21608;&#20029;&#26368;&#32456;\&#23425;&#22799;&#22269;&#22303;&#25972;&#27835;&#39033;&#30446;2012&#24180;&#24230;&#21556;&#24544;&#24066;&#21033;&#36890;&#21306;&#39640;&#38392;&#31561;&#19977;&#20065;&#38215;&#39640;&#26631;&#20934;&#22522;&#26412;&#20892;&#30000;&#24314;&#35774;&#24037;&#31243;&#25237;&#26631;&#35745;&#31639;2012.9.27\&#28023;&#21407;&#37325;&#22823;&#24037;&#31243;&#39033;&#30446;\&#28023;&#21407;&#36164;&#26009;2009-2013\2012&#24180;&#24230;&#28023;&#21407;&#21439;&#19971;&#33829;&#38215;&#39033;&#30446;\2012&#24180;&#24230;&#28023;&#21407;&#19971;&#33829;&#39033;&#30446;&#25104;&#26524;\2012&#24180;&#19971;&#33829;&#39033;&#30446;&#21381;&#32423;&#35780;&#23457;&#31532;&#20108;&#27425;&#20462;&#25913;\&#25991;&#26412;&#12289;&#39044;&#31639;\2012&#24180;&#19971;&#33829;&#39044;&#31639;&#21381;&#32423;&#35780;&#23457;&#20462;&#25913;&#65288;0220&#32456;&#29256;&#65289;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39044;&#31639;&#12289;&#21672;&#35810;\&#25152;&#26377;&#39044;&#31639;&#25991;&#20214;\&#37325;&#35201;&#30340;&#25991;&#20214;\&#23385;&#32463;&#29702;\&#39044;&#31639;&#25991;&#20214;\&#39532;&#29618;&#25991;&#20214;&#22841;\&#37325;&#35201;&#30340;&#25991;&#20214;\&#21608;&#20029;&#26368;&#32456;\&#24179;&#32599;&#21439;&#24217;&#24217;&#28246;&#19977;&#26631;&#27573;&#25237;&#26631;&#25253;&#20215;2012.9.23\&#39033;&#30446;&#24037;&#31243;\2010\&#32493;&#24314;&#37197;&#22871;\&#21776;&#24469;&#28192;\&#21776;&#24469;&#28192;&#65288;101108&#65289;\&#20854;&#20182;&#19987;&#19994;\&#21776;&#24469;&#28192;&#34924;&#30732;&#65288;&#26032;&#23450;&#39069;&#65289;2010.7.6&#20272;&#31639;&#25913;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35774;&#35745;&#36164;&#26009;\2015&#24180;\&#24179;&#32599;&#21439;&#39640;&#20161;&#12289;&#39640;&#24196;&#31561;&#20065;&#38215;&#39640;&#25928;&#33410;&#27700;&#28748;&#28297;&#24037;&#31243;\&#26368;&#32456;&#29256;&#39044;&#31639;\du464049\&#20010;&#20154;\&#22806;&#25509;&#35774;&#35745;\&#27704;&#23425;&#21439;\&#23500;&#23425;\&#23454;&#26045;&#26041;&#26696;2015.4.8\&#23425;&#22799;&#39547;&#20140;&#21150;&#24037;&#20316;&#35777;2&#20154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dell\Documents\WXWork\1688851081539568\Cache\File\2021-09\RecoveredExternalLink1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\&#29579;&#20122;&#33395;\2011&#24180;&#23567;&#20892;&#27700;&#39033;&#30446;\2011&#24180;&#23567;&#20892;&#27700;&#39033;&#30446;\&#24037;&#31243;&#27719;&#24635;&#22270;\2008&#24180;&#24037;&#31243;\&#31995;&#32479;\B015S-&#30333;&#33448;&#28393;1#&#20027;&#21464;&#25193;&#24314;&#24037;&#31243;\B015C-A-&#21021;&#35774;\01-&#30333;&#33448;&#28393;1#&#20027;&#21464;110KV&#27010;&#31639;(&#22303;&#24314;)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Program%20Files\TENCENT\QQ\Users\529415398\FileRecv\d\&#25105;&#30340;&#25991;&#26723;\&#29983;&#24577;&#31227;&#27665;\&#22826;&#38451;&#26753;\&#22826;&#38451;&#26753;&#31227;&#27665;&#20108;&#26399;\&#26032;&#24314;&#25991;&#20214;&#22841;\&#22303;&#22320;&#25972;&#29702;\&#38271;&#23665;&#22836;&#22303;&#22320;&#25972;&#29702;2.23\&#39044;&#31639;\&#26032;&#24314;&#25991;&#20214;&#22841;\&#39044;&#31639;&#65288;&#20013;&#23425;&#20462;&#25913;&#65289;9.24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39044;&#31639;\2016&#24180;&#39033;&#30446;&#24037;&#31243;\&#25105;&#30340;&#25991;&#26723;\Tencent%20Files\490810924\FileRecv\&#39044;&#31639;&#25991;&#20214;\&#39532;&#29618;&#25991;&#20214;&#22841;\&#30416;&#27744;\&#30416;&#27744;&#21439;2012&#24180;&#23567;&#22411;&#19987;&#39033;&#39033;&#30446;&#65288;&#19969;&#28023;&#40857;&#65289;2012.9.5\&#21556;&#24544;&#24066;&#23385;&#23478;&#28393;&#39033;&#30446;2011.12.16&#65288;&#39532;&#29618;&#65289;&#12304;2009&#12305;13&#21495;&#25991;&#27010;&#31639;&#26631;&#20934;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istrator\&#26700;&#38754;\&#25307;&#26631;\1&#12289;&#24037;&#20316;&#36164;&#26009;\3&#12289;2012&#24180;&#39033;&#30446;\4&#12289;&#27704;&#24247;&#19968;&#26399;&#28404;&#28748;\1&#12289;&#37325;&#35201;\1-3&#12289;&#39044;&#31639;\&#27704;&#24247;\&#12304;&#39640;&#26631;&#20934;&#12305;&#27704;&#24247;11.09&#25253;&#21381;&#23450;&#31295;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30333;&#33448;&#28393;&#39044;&#31639;&#25511;&#21046;&#20215;0920.xlsx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39044;&#31639;&#12289;&#21672;&#35810;\&#25152;&#26377;&#39044;&#31639;&#25991;&#20214;\&#37325;&#35201;&#30340;&#25991;&#20214;\&#23385;&#32463;&#29702;\&#39044;&#31639;&#25991;&#20214;\&#39532;&#29618;&#25991;&#20214;&#22841;\&#37325;&#35201;&#30340;&#25991;&#20214;\&#21608;&#20029;&#26368;&#32456;\&#37325;&#35201;&#30340;&#25991;&#20214;\&#21608;&#20029;&#26368;&#32456;\&#23425;&#22799;&#22269;&#22303;&#25972;&#27835;&#39033;&#30446;2012&#24180;&#24230;&#21556;&#24544;&#24066;&#21033;&#36890;&#21306;&#39640;&#38392;&#31561;&#19977;&#20065;&#38215;&#39640;&#26631;&#20934;&#22522;&#26412;&#20892;&#30000;&#24314;&#35774;&#24037;&#31243;&#25237;&#26631;&#35745;&#31639;2012.9.27\&#65288;&#20061;&#20010;&#26631;&#27573;&#65289;&#21556;&#24544;&#24066;&#39640;&#26631;&#20934;&#22522;&#26412;&#20892;&#30000;&#24314;&#35774;&#24037;&#31243;&#39033;&#30446;&#26631;&#24213;&#35745;&#31639;2012.9.27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&#24180;&#25237;&#26631;&#19994;&#21153;&#26126;&#32454;\&#39532;&#39134;\2.0%25\&#65288;&#25237;&#26631;&#25253;&#20215;2.0%25&#65289;&#32418;&#23546;&#22561;&#21306;2020&#24180;&#22823;&#27827;&#20065;&#40635;&#40644;&#27807;&#31561;&#26449;&#30000;&#38388;&#28192;&#36947;&#32500;&#20462;&#25913;&#36896;&#24037;&#31243;(&#19979;&#28014;2.0%25&#65289;%20-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&#24180;&#25237;&#26631;&#19994;&#21153;&#26126;&#32454;\&#26368;&#32456;&#29256;&#65288;&#21525;&#26575;&#38678;&#65289;2020.8.3\excel\&#20108;&#26631;&#27573;.xlsx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33931;&#24428;\&#24037;&#20316;\2016&#24180;&#24037;&#20316;\&#20013;&#23425;&#21439;&#27700;&#36164;&#28304;&#32508;&#21512;&#21033;&#29992;&#21487;&#30740;\&#39044;&#31639;\POWER%20ASSUMPTION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5105;&#30340;&#25991;&#26723;\&#26032;&#24314;&#25991;&#20214;&#22841;%20(4)\&#26032;&#24314;&#25991;&#20214;&#22841;\&#26032;&#24314;&#25991;&#20214;&#22841;\&#25991;\m\&#21556;&#24544;\&#26032;&#24314;&#25991;&#20214;&#22841;\&#39044;&#31639;&#65288;&#20013;&#23425;&#20462;&#25913;&#65289;9.24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5105;&#30340;&#25991;&#26723;\Documents%20and%20Settings\Administrator\My%20Documents\&#22303;&#22320;&#24320;&#21457;&#25972;&#29702;\2014.5.10\Users\Administrator\Desktop\2012.2.15&#22823;&#25112;&#22330;&#39044;&#31639;&#34920;&#26684;(&#21439;&#32423;&#35780;&#23457;&#31295;)%2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dell\Documents\WXWork\1688851081539568\Cache\File\2021-09\RecoveredExternalLink5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5105;&#30340;&#25991;&#26723;\Documents%20and%20Settings\Administrator\My%20Documents\&#22303;&#22320;&#24320;&#21457;&#25972;&#29702;\2014.5.10\&#28023;&#21407;&#37325;&#22823;&#24037;&#31243;&#39033;&#30446;\&#28023;&#21407;&#36164;&#26009;2009-2013\2012&#24180;&#24230;&#28023;&#21407;&#21439;&#19971;&#33829;&#38215;&#39033;&#30446;\2012&#24180;&#24230;&#28023;&#21407;&#19971;&#33829;&#39033;&#30446;&#25104;&#26524;\2012&#24180;&#19971;&#33829;&#39033;&#30446;&#21381;&#32423;&#35780;&#23457;&#31532;&#20108;&#27425;&#20462;&#25913;\&#25991;&#26412;&#12289;&#39044;&#31639;\2012&#24180;&#19971;&#33829;&#39044;&#31639;&#21381;&#32423;&#35780;&#23457;&#20462;&#25913;&#65288;0220&#32456;&#29256;&#65289;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Tencent%20Files\451725271\FileRecv\Documents%20and%20Settings\Administrator\My%20Documents\&#22303;&#22320;&#24320;&#21457;&#25972;&#29702;\2014.5.10\&#28023;&#21407;&#37325;&#22823;&#24037;&#31243;&#39033;&#30446;\&#28023;&#21407;&#36164;&#26009;2009-2013\2012&#24180;&#24230;&#28023;&#21407;&#21439;&#19971;&#33829;&#38215;&#39033;&#30446;\2012&#24180;&#24230;&#28023;&#21407;&#19971;&#33829;&#39033;&#30446;&#25104;&#26524;\2012&#24180;&#19971;&#33829;&#39033;&#30446;&#21381;&#32423;&#35780;&#23457;&#31532;&#20108;&#27425;&#20462;&#25913;\&#25991;&#26412;&#12289;&#39044;&#31639;\2012&#24180;&#19971;&#33829;&#39044;&#31639;&#21381;&#32423;&#35780;&#23457;&#20462;&#25913;&#65288;0220&#32456;&#29256;&#65289;.xl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5105;&#30340;&#25991;&#26723;\2015&#24180;\(2015.07.31&#21525;&#28023;&#26126;&#38738;&#38108;&#23777;3&#20010;&#25239;&#26097;&#24212;&#24613;&#39033;&#30446;)\&#65288;2015.07.31&#21525;&#28023;&#26126;&#65289;&#38738;&#38108;&#23777;&#24066;&#21313;&#19977;&#20116;&#25239;&#26097;&#24212;&#24613;&#39033;&#30446;&#27827;&#35199;&#20892;&#26449;&#39278;&#27700;&#25239;&#26097;&#24212;&#24613;&#24037;&#31243;\&#26417;&#28165;\&#25237;&#36164;&#23457;&#26680;\&#39640;&#25928;&#33410;&#27700;\2015\&#19978;&#21322;&#24180;\2015.4.27&#39033;&#30446;\&#32418;&#26791;&#23665;&#20892;&#28192;&#30732;&#25252;&#39044;&#31639;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39033;&#30446;&#25991;&#20214;&#22841;\&#65288;&#25511;&#21046;&#20215;&#65289;2020&#24180;&#21033;&#36890;&#21306;&#26495;&#26725;&#20065;&#27874;&#28010;&#28192;\2020.10.30&#24037;&#20316;\&#65288;&#25511;&#21046;&#20215;&#65289;2020&#24180;&#21033;&#36890;&#21306;&#26495;&#26725;&#20065;&#27874;&#28010;&#28192;\2020.10.23&#20462;&#25913;&#25511;&#21046;&#20215;\&#65288;&#25511;&#21046;&#20215;&#27719;&#24635;&#65289;&#27874;&#28010;&#28192;&#25511;&#21046;&#20215;&#26368;&#32456;.xlsx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ocuments\WeChat%20Files\wxid_3sdzht1is6mv21\FileStorage\File\2024-03\&#25968;&#25454;&#27719;&#24635;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nts\tencent%20files\979158590\filerecv\&#23553;&#38754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\&#39044;&#31639;&#12289;&#21672;&#35810;\&#25152;&#26377;&#39044;&#31639;&#25991;&#20214;\&#37325;&#35201;&#30340;&#25991;&#20214;\&#23385;&#32463;&#29702;\&#39044;&#31639;&#25991;&#20214;\&#39532;&#29618;&#25991;&#20214;&#22841;\&#37325;&#35201;&#30340;&#25991;&#20214;\&#21608;&#20029;&#26368;&#32456;\&#23485;&#21475;&#20117;&#39044;&#31639;3.20(&#26368;&#32456;&#20462;&#25913;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\&#24037;&#20316;\&#26032;&#24314;&#25991;&#20214;&#22841;\&#23553;&#38754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\&#39033;&#30446;&#24402;&#26723;\B-2018-008&#21407;&#24030;&#21306;&#20154;&#39278;\&#22266;&#21407;&#24066;&#21407;&#24030;&#21306;&#24320;&#22478;&#38215;&#21450;&#40644;&#38094;&#22561;&#38215;2018&#24180;&#24230;&#26131;&#22320;&#25206;&#36139;&#24196;&#28857;&#33258;&#26469;&#27700;&#20837;&#25143;&#24037;&#31243;\Documents%20and%20Settings\Administrator\My%20Documents\Downloads\&#28023;&#21407;&#22303;&#22320;\&#28023;&#21407;&#21439;&#22303;&#22320;&#24179;&#25972;&#39044;&#31639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\&#25105;&#30340;&#25991;&#26723;\2008&#24180;&#24037;&#20316;\&#26607;&#22378;&#39033;&#30446;\2&#24178;&#31649;&#25237;&#36164;&#21644;&#32463;&#27982;&#35780;&#20215;\Szy5\&#38463;&#21345;&#23572;djb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08&#24180;&#24037;&#20316;\&#26607;&#22378;&#39033;&#30446;\2&#24178;&#31649;&#25237;&#36164;&#21644;&#32463;&#27982;&#35780;&#20215;\Szy5\&#38463;&#21345;&#23572;djb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\&#26032;&#24314;&#25991;&#20214;&#22841;%20(4)\&#26032;&#24314;&#25991;&#20214;&#22841;\&#26032;&#24314;&#25991;&#20214;&#22841;\&#25991;\m\&#21556;&#24544;\&#26032;&#24314;&#25991;&#20214;&#22841;\&#39044;&#31639;&#65288;&#20013;&#23425;&#20462;&#25913;&#65289;9.24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dell\Documents\WXWork\1688851081539568\Cache\File\2021-09\RecoveredExternalLink6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26041;&#26696;&#22235;&#37085;&#23478;&#21488;&#21464;&#26356;&#24037;&#31243;&#37327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XLYS\&#24800;&#24217;&#32447;\&#24800;&#24217;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CHR\ARBEJDE\Q4DK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dell\Documents\WXWork\1688851081539568\Cache\File\2021-09\RecoveredExternalLink7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\&#25105;&#30340;&#25991;&#26723;\9.10\&#22806;&#21150;&#26032;&#22686;4&#65288;&#39532;&#65289;&#65288;42&#20154;\&#24037;&#20316;&#35777;(42&#20154;)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dell\Documents\WXWork\1688851081539568\Cache\File\2021-09\RecoveredExternalLink8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\9.10\&#22806;&#21150;&#26032;&#22686;4&#65288;&#39532;&#65289;&#65288;42&#20154;\&#24037;&#20316;&#35777;(42&#20154;)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dell\Documents\WXWork\1688851081539568\Cache\File\2021-09\RecoveredExternalLink9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\&#25105;&#30340;&#25991;&#26723;\9&#26376;4&#26085;\&#23425;&#22799;&#39547;&#20140;&#21150;2&#20154;\&#23425;&#22799;&#39547;&#20140;&#21150;&#24037;&#20316;&#35777;2&#20154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28023;&#21407;&#21439;&#22303;&#22320;&#24179;&#25972;&#39044;&#31639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\&#25805;&#20316;&#24179;&#21488;\2015&#24180;&#39640;&#25928;&#33410;&#27700;&#28748;&#28297;&#39033;&#30446;&#31532;&#22235;&#25209;\&#27704;&#23425;&#21439;&#24052;&#26684;&#26031;&#37202;&#24196;&#33889;&#33796;&#28404;&#28748;&#24037;&#31243;&#23454;&#26045;&#26041;&#26696;\&#28023;&#21407;&#21439;&#22303;&#22320;&#24179;&#25972;&#39044;&#31639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dell\Documents\WXWork\1688851081539568\Cache\File\2021-09\RecoveredExternalLink2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\2020.9.23&#29579;&#27905;\2020.9.23&#22823;&#27827;&#20065;&#30707;&#28845;&#27807;\&#25511;&#21046;&#20215;\&#26041;&#26696;&#22235;&#37085;&#23478;&#21488;&#21464;&#26356;&#24037;&#31243;&#37327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\9&#26376;4&#26085;\&#23425;&#22799;&#39547;&#20140;&#21150;2&#20154;\&#23425;&#22799;&#39547;&#20140;&#21150;&#24037;&#20316;&#35777;2&#20154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\2019&#24180;&#24230;\14.&#38886;&#24030;&#19977;&#26399;\&#39044;&#31639;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\&#39044;&#31639;&#12289;&#21672;&#35810;\&#26368;&#32456;&#39044;&#31639;&#25991;&#20214;\&#20013;&#23425;\2017&#24180;&#39033;&#30446;\(&#27700;&#21033;&#21381;&#26680;&#23450;&#25237;&#36164;&#65289;&#20013;&#23567;&#27827;&#27969;&#27835;&#29702;&#30416;&#27744;&#23567;&#27827;&#29436;&#24067;&#25484;&#27573;&#27835;&#29702;&#27010;&#31639;&#26680;2017.5.19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\&#25105;&#30340;&#25991;&#26723;\Documents%20and%20Settings\&#20399;&#32768;&#26149;\My%20Documents\&#37995;&#36798;&#38209;&#19994;&#27010;&#31639;&#20070;X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\&#25105;&#30340;&#25991;&#26723;\2015&#24180;\(2015.07.31&#21525;&#28023;&#26126;&#38738;&#38108;&#23777;3&#20010;&#25239;&#26097;&#24212;&#24613;&#39033;&#30446;)\&#65288;2015.07.31&#21525;&#28023;&#26126;&#65289;&#38738;&#38108;&#23777;&#24066;&#21313;&#19977;&#20116;&#25239;&#26097;&#24212;&#24613;&#39033;&#30446;&#27827;&#35199;&#20892;&#26449;&#39278;&#27700;&#25239;&#26097;&#24212;&#24613;&#24037;&#31243;\&#26417;&#28165;\&#25237;&#36164;&#23457;&#26680;\&#39640;&#25928;&#33410;&#27700;\2015\&#19978;&#21322;&#24180;\2015.4.27&#39033;&#30446;\&#28023;&#21407;&#21439;&#22303;&#22320;&#24179;&#25972;&#39044;&#31639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nts%20and%20Settings\&#20399;&#32768;&#26149;\My%20Documents\&#37995;&#36798;&#38209;&#19994;&#27010;&#31639;&#20070;X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\&#39044;&#31639;&#36164;&#26009;\&#27743;&#28304;&#30005;&#31449;&#26426;&#30005;&#26631;&#24213;\&#26426;&#26800;&#21488;&#29677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dell\Documents\WXWork\1688851081539568\Cache\File\2021-09\RecoveredExternalLink11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\&#33931;&#24428;\&#24037;&#20316;\2016&#24180;&#24037;&#20316;\&#20013;&#23425;&#21439;&#27700;&#36164;&#28304;&#32508;&#21512;&#21033;&#29992;&#21487;&#30740;\&#39044;&#31639;\POWER%20ASSUMPTION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GP\GP_Ph1\SBB-OIs\Hel-OI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GP\tamer\DOS\TEMP\GPTLBX90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Backup%20of%20Backup%20of%20LINDA%20LISTONE.xlk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qz&#37026;&#33395;&#21531;\&#29420;&#21697;1\GEF\&#24180;&#24230;&#23454;&#26045;&#35745;&#21010;\2007&#24180;&#24230;&#35745;&#21010;\HAI\&#34920;1.&#24180;&#24230;&#35814;&#32454;&#25237;&#36164;&#27010;&#31639;&#34920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GOLDPYR4\ARENTO\TOOLBOX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\&#39044;&#31639;&#25991;&#20214;\&#39532;&#29618;&#25991;&#20214;&#22841;\&#22303;&#22320;&#25972;&#29702;&#39044;&#31639;\&#65288;&#26446;&#22269;&#24378;&#65289;2014&#24180;&#21033;&#36890;&#21306;&#22303;&#22320;&#25972;&#29702;\2014.1.6&#65288;&#26368;&#32456;&#36865;&#23457;&#65289;&#21033;&#36890;&#21306;2013&#24180;&#22303;&#22320;&#25972;&#29702;2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dell\Documents\WXWork\1688851081539568\Cache\File\2021-09\RecoveredExternalLink12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\2016&#24180;\3&#26376;-&#36154;&#20848;&#21439;2016-2020&#24180;&#30416;&#30897;&#22320;&#25913;&#33391;&#39033;&#30446;\&#21487;&#30740;\&#35828;&#26126;&#12289;&#20272;&#31639;\&#20272;&#31639;&#34920;&#65288;&#21487;&#30740;&#65289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dell\Documents\WXWork\1688851081539568\Cache\File\2021-09\RecoveredExternalLink13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dell\Documents\WXWork\1688851081539568\Cache\File\2021-09\RecoveredExternalLink14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08&#24180;&#24037;&#20316;\&#26607;&#22378;&#39033;&#30446;\2&#24178;&#31649;&#25237;&#36164;&#21644;&#32463;&#27982;&#35780;&#20215;\2006&#24180;&#24037;&#20316;\100&#19975;&#20137;6.13\38&#22242;&#25104;&#26524;\Documents%20and%20Settings\USER\My%20Documents\&#35838;&#31243;&#34920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\&#39044;&#31639;&#12289;&#21672;&#35810;\&#25152;&#26377;&#39044;&#31639;&#25991;&#20214;\&#37325;&#35201;&#30340;&#25991;&#20214;\&#23385;&#32463;&#29702;\&#39044;&#31639;&#25991;&#20214;\&#39532;&#29618;&#25991;&#20214;&#22841;\&#37325;&#35201;&#30340;&#25991;&#20214;\&#21608;&#20029;&#26368;&#32456;\&#37325;&#35201;&#30340;&#25991;&#20214;\&#21608;&#20029;&#26368;&#32456;\&#23425;&#22799;&#22269;&#22303;&#25972;&#27835;&#39033;&#30446;2012&#24180;&#24230;&#21556;&#24544;&#24066;&#21033;&#36890;&#21306;&#39640;&#38392;&#31561;&#19977;&#20065;&#38215;&#39640;&#26631;&#20934;&#22522;&#26412;&#20892;&#30000;&#24314;&#35774;&#24037;&#31243;&#25237;&#26631;&#35745;&#31639;2012.9.27\&#28023;&#21407;&#37325;&#22823;&#24037;&#31243;&#39033;&#30446;\&#28023;&#21407;&#36164;&#26009;2009-2013\2012&#24180;&#24230;&#28023;&#21407;&#21439;&#19971;&#33829;&#38215;&#39033;&#30446;\2012&#24180;&#24230;&#28023;&#21407;&#19971;&#33829;&#39033;&#30446;&#25104;&#26524;\2012&#24180;&#19971;&#33829;&#39033;&#30446;&#21381;&#32423;&#35780;&#23457;&#31532;&#20108;&#27425;&#20462;&#25913;\&#25991;&#26412;&#12289;&#39044;&#31639;\2012&#24180;&#19971;&#33829;&#39044;&#31639;&#21381;&#32423;&#35780;&#23457;&#20462;&#25913;&#65288;0220&#32456;&#29256;&#65289;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\&#22823;&#27494;&#21475;&#20852;&#27665;&#26449;&#39640;&#25928;&#33410;&#27700;&#28748;&#28297;&#39033;&#30446;\&#35774;&#35745;1014\&#35774;&#35745;1014\&#35774;&#35745;1016\1021&#26376;&#20221;&#20462;&#25913;\1014&#39044;&#31639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\&#34081;&#21033;&#25991;&#26412;&#30424;&#19979;&#20840;&#37096;&#25991;&#20214;\&#34081;&#21033;&#25991;\&#39044;&#31639;\&#30005;&#27668;&#39044;&#31639;\&#30333;&#33448;&#28393;&#30005;&#27668;\&#30333;&#33448;&#28393;&#25193;&#24314;\&#30333;&#33448;&#28393;&#20027;&#21464;&#25193;&#24314;&#24037;&#31243;&#39044;&#31639;\01-&#30333;&#33448;&#28393;1#&#20027;&#21464;110KV&#27010;&#31639;(&#22303;&#24314;)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21271;&#20140;&#39033;&#30446;\&#24191;&#35199;\&#24191;&#35199;&#35268;&#21010;&#35774;&#35745;\&#24191;&#35199;&#30000;&#38451;&#21439;&#39033;&#30446;&#39044;&#31639;&#20070;&#21450;&#38468;&#20214;\&#24191;&#35199;&#30000;&#38451;&#39033;&#30446;&#39044;&#31639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dell\Documents\WXWork\1688851081539568\Cache\File\2021-09\RecoveredExternalLink15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\&#36164;&#26009;\&#20020;&#26102;&#25991;&#20214;\&#38271;&#23665;&#22836;&#20020;&#26102;\&#26032;&#24314;&#25991;&#20214;&#22841;\&#39044;&#31639;&#65288;&#20013;&#23425;&#20462;&#25913;&#65289;9.24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dell\Documents\WXWork\1688851081539568\Cache\File\2021-09\RecoveredExternalLink10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\&#25105;&#30340;&#25991;&#26723;\&#26032;&#24314;&#25991;&#20214;&#22841;%20(4)\&#26032;&#24314;&#25991;&#20214;&#22841;\&#26032;&#24314;&#25991;&#20214;&#22841;\&#25991;\m\&#21556;&#24544;\&#26032;&#24314;&#25991;&#20214;&#22841;\&#39044;&#31639;&#65288;&#20013;&#23425;&#20462;&#25913;&#65289;9.24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\2016&#24180;\3-1&#31435;&#23703;&#20848;&#26143;&#20116;&#38431;\&#35828;&#26126;&#12289;&#27010;&#31639;&#35843;&#25972;\&#27010;&#31639;&#34920;-(&#31435;&#23703;&#20848;&#26143;4.14)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\&#39044;&#31639;&#12289;&#21672;&#35810;\&#25152;&#26377;&#39044;&#31639;&#25991;&#20214;\&#37325;&#35201;&#30340;&#25991;&#20214;\&#23385;&#32463;&#29702;\&#39044;&#31639;&#25991;&#20214;\&#39532;&#29618;&#25991;&#20214;&#22841;\&#37325;&#35201;&#30340;&#25991;&#20214;\&#21608;&#20029;&#26368;&#32456;\&#37325;&#35201;&#30340;&#25991;&#20214;\&#21608;&#20029;&#26368;&#32456;\&#23425;&#22799;&#22269;&#22303;&#25972;&#27835;&#39033;&#30446;2012&#24180;&#24230;&#21556;&#24544;&#24066;&#21033;&#36890;&#21306;&#39640;&#38392;&#31561;&#19977;&#20065;&#38215;&#39640;&#26631;&#20934;&#22522;&#26412;&#20892;&#30000;&#24314;&#35774;&#24037;&#31243;&#25237;&#26631;&#35745;&#31639;2012.9.27\Users\Administrator\Desktop\2012.2.15&#22823;&#25112;&#22330;&#39044;&#31639;&#34920;&#26684;(&#21439;&#32423;&#35780;&#23457;&#31295;)%20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\&#29579;&#24037;2009.12.25\2009&#24180;3&#26376;&#26032;&#30086;08&#24180;&#39033;&#30446;&#25104;&#26524;&#22791;&#20221;\&#24067;&#23572;&#27941;&#21439;&#26460;&#26469;&#25552;&#20065;&#21035;&#24320;&#29305;&#28748;&#21306;&#22303;&#22320;&#25972;&#29702;&#39033;&#30446;&#65288;15&#22871;&#23457;&#26597;&#20013;&#65289;\&#39044;&#31639;\&#24067;&#23572;&#27941;&#39044;&#31639;&#65288;&#32456;&#31295;090313&#65289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nts\tencent%20files\979158590\filerecv\Documents%20and%20Settings\Administrator\My%20Documents\&#22303;&#22320;&#24320;&#21457;&#25972;&#29702;\2014.5.10\2014.1.6&#65288;&#26368;&#32456;&#36865;&#23457;&#65289;&#21033;&#36890;&#21306;2013&#24180;&#22303;&#22320;&#25972;&#29702;2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dell\Documents\WXWork\1688851081539568\Cache\File\2021-09\RecoveredExternalLink16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\&#25105;&#30340;&#25991;&#26723;\&#29579;&#24037;2009.12.25\2009&#24180;3&#26376;&#26032;&#30086;08&#24180;&#39033;&#30446;&#25104;&#26524;&#22791;&#20221;\&#24067;&#23572;&#27941;&#21439;&#26460;&#26469;&#25552;&#20065;&#21035;&#24320;&#29305;&#28748;&#21306;&#22303;&#22320;&#25972;&#29702;&#39033;&#30446;&#65288;15&#22871;&#23457;&#26597;&#20013;&#65289;\&#39044;&#31639;\&#24067;&#23572;&#27941;&#39044;&#31639;&#65288;&#32456;&#31295;090313&#65289;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dell\Documents\WXWork\1688851081539568\Cache\File\2021-09\RecoveredExternalLink17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\&#29579;&#24037;2009.12.25\13&#26631;&#39044;&#31639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\&#25105;&#30340;&#25991;&#26723;\&#29579;&#24037;2009.12.25\13&#26631;&#39044;&#31639;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27494;&#29141;\&#26607;&#22378;\&#26607;&#22378;\&#21021;&#35774;\2006&#24180;&#24037;&#20316;\100&#19975;&#20137;6.13\38&#22242;&#25104;&#26524;\Documents%20and%20Settings\USER\My%20Documents\&#35838;&#31243;&#34920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\&#28023;&#21407;&#22303;&#22320;\&#28023;&#21407;&#21439;&#22303;&#22320;&#24179;&#25972;&#39044;&#31639;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\&#25105;&#30340;&#25991;&#26723;\Documents%20and%20Settings\Administrator\My%20Documents\&#22303;&#22320;&#24320;&#21457;&#25972;&#29702;\2014.5.10\Users\Administrator\Desktop\2012.2.15&#22823;&#25112;&#22330;&#39044;&#31639;&#34920;&#26684;(&#21439;&#32423;&#35780;&#23457;&#31295;)%20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zy5\&#38463;&#21345;&#23572;djb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\&#26680;&#23450;\&#24110;\&#19969;&#24037;\103&#26045;&#24037;&#36153;&#39044;&#31639;&#34920;&#26684;2.2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\2008&#24180;&#24037;&#20316;\&#26607;&#22378;&#39033;&#30446;\2&#24178;&#31649;&#25237;&#36164;&#21644;&#32463;&#27982;&#35780;&#20215;\2006&#24180;&#24037;&#20316;\100&#19975;&#20137;6.13\38&#22242;&#25104;&#26524;\Documents%20and%20Settings\USER\My%20Documents\&#35838;&#31243;&#34920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Administrator\&#26700;&#38754;\&#23567;&#20892;&#27700;&#34917;&#20805;&#39033;&#30446;2012-10-21\&#21556;&#24544;&#24066;\&#21556;&#24544;&#24066;&#23385;&#23478;&#28393;&#20248;&#36136;&#33529;&#26524;&#39640;&#25928;&#33410;&#27700;&#28748;&#28297;&#24037;&#31243;&#24635;&#27010;&#31639;&#34920;2012.10.21&#65288;&#39532;&#29618;&#65289;-&#26680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dell\Documents\WXWork\1688851081539568\Cache\File\2021-09\RecoveredExternalLink19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\4%20&#39033;&#30446;&#20449;&#24687;\3-&#23425;&#22799;&#27700;&#21153;&#23616;\2-&#21556;&#24544;&#24066;-&#21033;&#36890;&#21306;\1-&#35774;&#35745;&#39033;&#30446;\&#39640;&#25928;&#33410;&#28748;\&#39532;&#33714;&#29255;&#21306;%20&#27010;&#31639;&#65288;&#33829;&#25913;&#22686;&#65289;(&#23457;&#26597;&#21518;&#20462;&#25913;&#65289;2018.8.15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\&#25105;&#30340;&#25991;&#26723;\&#21033;&#27700;&#20844;&#21496;\2012&#24180;&#23567;&#20892;&#27700;\&#26446;&#20908;&#21326;\&#25307;&#25237;&#26631;&#21450;&#27010;&#39044;&#31639;\&#27010;&#39044;&#31639;&#25991;&#20214;\&#22303;&#22320;&#25972;&#29702;&#30456;&#20851;&#36164;&#26009;\1165585773427\&#22303;&#22320;&#25972;&#29702;&#39033;&#30446;&#39044;&#31639;\84&#22242;&#39033;&#30446;&#39044;&#31639;&#35797;&#31639;\&#39033;&#30446;&#24211;\&#39033;&#30446;&#35268;&#21010;&#35774;&#35745;&#19982;&#39044;&#31639;\&#22235;&#24029;&#12289;&#37325;&#24198;&#39033;&#30446;\&#37325;&#24198;&#29863;&#23665;&#39033;&#30446;\412&#25104;&#26524;\&#39044;&#31639;&#34920;2004&#12290;04&#12290;06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\&#25105;&#30340;&#25991;&#26723;\2009&#24180;&#25991;&#20214;\09&#24180;&#35199;&#22799;&#21306;&#20892;&#21457;\&#35199;&#22799;&#21306;&#20892;&#21457;&#39033;&#30446;&#27010;&#31639;&#34920;.xls(&#23457;&#26597;&#21518;)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\&#25105;&#30340;&#25991;&#26723;\Documents%20and%20Settings\Administrator\My%20Documents\&#22303;&#22320;&#24320;&#21457;&#25972;&#29702;\2014.5.10\&#28023;&#21407;&#37325;&#22823;&#24037;&#31243;&#39033;&#30446;\&#28023;&#21407;&#36164;&#26009;2009-2013\2012&#24180;&#24230;&#28023;&#21407;&#21439;&#19971;&#33829;&#38215;&#39033;&#30446;\2012&#24180;&#24230;&#28023;&#21407;&#19971;&#33829;&#39033;&#30446;&#25104;&#26524;\2012&#24180;&#19971;&#33829;&#39033;&#30446;&#21381;&#32423;&#35780;&#23457;&#31532;&#20108;&#27425;&#20462;&#25913;\&#25991;&#26412;&#12289;&#39044;&#31639;\2012&#24180;&#19971;&#33829;&#39044;&#31639;&#21381;&#32423;&#35780;&#23457;&#20462;&#25913;&#65288;0220&#32456;&#29256;&#65289;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dell\Documents\WXWork\1688851081539568\Cache\File\2021-09\RecoveredExternalLink18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\&#25105;&#30340;&#25991;&#26723;\&#35745;&#21010;&#22788;&#39033;&#30446;\2009&#24180;1236&#25307;&#26631;&#65288;&#24352;&#65289;\&#21313;&#19968;&#27893;&#31449;\Documents%20and%20Settings\qq\Local%20Settings\Temporary%20Internet%20Files\Content.IE5\QF0XINAT\&#25991;&#26723;\&#22303;&#22320;&#25972;&#29702;&#39033;&#30446;\&#38738;&#38108;&#23777;&#37045;&#23703;\Documents%20and%20Settings\xianlong\Local%20Settings\Temp\&#21315;&#38451;&#21439;&#21271;&#29255;&#32456;&#39044;&#31639;&#34920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\&#39044;&#31639;&#12289;&#21672;&#35810;\&#25152;&#26377;&#39044;&#31639;&#25991;&#20214;\&#37325;&#35201;&#30340;&#25991;&#20214;\&#23385;&#32463;&#29702;\&#39044;&#31639;&#25991;&#20214;\&#39532;&#29618;&#25991;&#20214;&#22841;\&#37325;&#35201;&#30340;&#25991;&#20214;\&#21608;&#20029;&#26368;&#32456;\&#24179;&#32599;&#21439;&#24217;&#24217;&#28246;&#19977;&#26631;&#27573;&#25237;&#26631;&#25253;&#20215;2012.9.23\&#39033;&#30446;&#24037;&#31243;\2010\&#32493;&#24314;&#37197;&#22871;\&#21776;&#24469;&#28192;\&#21776;&#24469;&#28192;&#65288;101108&#65289;\&#20854;&#20182;&#19987;&#19994;\&#21776;&#24469;&#28192;&#34924;&#30732;&#65288;&#26032;&#23450;&#39069;&#65289;2010.7.6&#20272;&#31639;&#25913;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\&#25105;&#30340;&#25991;&#26723;\&#21271;&#20140;&#39033;&#30446;\&#24191;&#35199;\&#24191;&#35199;&#35268;&#21010;&#35774;&#35745;\&#24191;&#35199;&#30000;&#38451;&#21439;&#39033;&#30446;&#39044;&#31639;&#20070;&#21450;&#38468;&#20214;\&#24191;&#35199;&#30000;&#38451;&#39033;&#30446;&#39044;&#31639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nts%20and%20Settings\Administrator\My%20Documents\&#22303;&#22320;&#24320;&#21457;&#25972;&#29702;\2014.5.10\2014.1.6&#65288;&#26368;&#32456;&#36865;&#23457;&#65289;&#21033;&#36890;&#21306;2013&#24180;&#22303;&#22320;&#25972;&#29702;2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39044;&#31639;&#25991;&#20214;\&#39532;&#29618;&#25991;&#20214;&#22841;\&#22303;&#22320;&#25972;&#29702;&#39044;&#31639;\&#65288;&#26446;&#22269;&#24378;&#65289;2014&#24180;&#21033;&#36890;&#21306;&#22303;&#22320;&#25972;&#29702;\2014.1.6&#65288;&#26368;&#32456;&#36865;&#23457;&#65289;&#21033;&#36890;&#21306;2013&#24180;&#22303;&#22320;&#25972;&#29702;2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dell\Documents\WXWork\1688851081539568\Cache\File\2021-09\RecoveredExternalLink20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nts%20and%20Settings\Administrator\&#26700;&#38754;\&#25307;&#26631;\NO2012.1.13&#25964;&#20892;&#39044;&#31639;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\&#24037;&#20316;&#25991;&#20214;\2014&#24180;&#24052;&#30431;&#39033;&#30446;\1&#12289;&#20044;&#25289;&#29305;&#20013;&#26071;&#39033;&#30446;\&#20852;&#20016;&#21512;&#29255;\&#20852;&#20016;&#26449;&#39033;&#30446;&#20462;&#25913;&#25104;&#26524;\1&#12289;&#39044;&#31639;&#12289;&#25991;&#26412;\2&#12289;&#20852;&#20016;&#26449;&#39044;&#31639;(BY0619&#23450;&#31295;)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\&#25105;&#30340;&#25991;&#26723;\&#35745;&#21010;&#22788;&#39033;&#30446;\2009&#24180;1236&#25307;&#26631;&#65288;&#24352;&#65289;\&#21313;&#19968;&#27893;&#31449;\Documents%20and%20Settings\LXP\Local%20Settings\Temporary%20Internet%20Files\Content.IE5\UP70P0ZU\&#38738;&#39044;&#31639;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dell\Documents\WXWork\1688851081539568\Cache\File\2021-09\RecoveredExternalLink21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24037;&#20316;&#22841;\&#22269;&#22320;&#38498;\&#21888;&#20160;&#33678;&#36710;&#38463;&#26031;&#20848;\&#38463;&#26031;&#20848;&#24052;&#26684;&#39044;&#31639;&#65288;&#26472;&#21355;&#32418;&#65289;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\&#21033;&#27700;&#20844;&#21496;\2012&#24180;&#23567;&#20892;&#27700;\&#26446;&#20908;&#21326;\&#25307;&#25237;&#26631;&#21450;&#27010;&#39044;&#31639;\&#27010;&#39044;&#31639;&#25991;&#20214;\&#22303;&#22320;&#25972;&#29702;&#30456;&#20851;&#36164;&#26009;\1165585773427\&#22303;&#22320;&#25972;&#29702;&#39033;&#30446;&#39044;&#31639;\84&#22242;&#39033;&#30446;&#39044;&#31639;&#35797;&#31639;\&#39033;&#30446;&#24211;\&#39033;&#30446;&#35268;&#21010;&#35774;&#35745;&#19982;&#39044;&#31639;\&#22235;&#24029;&#12289;&#37325;&#24198;&#39033;&#30446;\&#37325;&#24198;&#29863;&#23665;&#39033;&#30446;\412&#25104;&#26524;\&#39044;&#31639;&#34920;2004&#12290;04&#12290;06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ocuments\WeChat%20Files\wxid_jd126d9f03sb22\FileStorage\File\2022-03\&#28165;&#27700;&#27827;&#20013;&#23425;&#38271;&#23665;&#22836;&#27573;&#38450;&#27946;&#24037;&#31243;&#27010;&#31639;%20-%202021.9.29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39033;&#30446;&#24037;&#31243;\2010\&#32493;&#24314;&#37197;&#22871;\&#21776;&#24469;&#28192;\&#21776;&#24469;&#28192;&#65288;101108&#65289;\&#20854;&#20182;&#19987;&#19994;\&#21776;&#24469;&#28192;&#34924;&#30732;&#65288;&#26032;&#23450;&#39069;&#65289;2010.7.6&#20272;&#31639;&#25913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独立费用"/>
      <sheetName val="材料预算价"/>
      <sheetName val="台班单价"/>
      <sheetName val="配合比"/>
      <sheetName val="附表2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附表2"/>
      <sheetName val="附表4单价"/>
      <sheetName val="附表4砼、沙浆费计算表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00.xml><?xml version="1.0" encoding="utf-8"?>
<externalLink xmlns="http://schemas.openxmlformats.org/spreadsheetml/2006/main">
  <externalBook xmlns:r="http://schemas.openxmlformats.org/officeDocument/2006/relationships" r:id="rId1">
    <sheetNames>
      <sheetName val="大学生信息"/>
      <sheetName val="填报说明"/>
      <sheetName val="二级代码"/>
      <sheetName val="单位估价"/>
      <sheetName val="新定额单价"/>
      <sheetName val="附表2"/>
      <sheetName val="机械汇总"/>
      <sheetName val="材价汇"/>
      <sheetName val="表2预算汇总表"/>
      <sheetName val="汇总"/>
      <sheetName val="表3-1直接费预算表达式1"/>
      <sheetName val="表3-8"/>
      <sheetName val="材料调差"/>
      <sheetName val="人工单价"/>
      <sheetName val="附表1人工单价表"/>
      <sheetName val="表5-3竣工"/>
      <sheetName val="国民经济效益费用流量表（全部投资）"/>
      <sheetName val="材料费"/>
      <sheetName val="附表2-1主材"/>
      <sheetName val="附表4砼、沙浆费计算表"/>
      <sheetName val="材料预算价"/>
      <sheetName val="台班单价"/>
      <sheetName val="配合比"/>
      <sheetName val="附表4工程费单价表"/>
      <sheetName val="附表2 材料价格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1.xml><?xml version="1.0" encoding="utf-8"?>
<externalLink xmlns="http://schemas.openxmlformats.org/spreadsheetml/2006/main">
  <externalBook xmlns:r="http://schemas.openxmlformats.org/officeDocument/2006/relationships" r:id="rId1">
    <sheetNames>
      <sheetName val="新定额单价"/>
      <sheetName val="附表3机械台班计算表"/>
      <sheetName val="附表2材料价格计算表"/>
      <sheetName val="附表1人工单价计算表"/>
      <sheetName val="附表7砂浆配比表"/>
      <sheetName val="#REF"/>
      <sheetName val="材料费"/>
      <sheetName val="附表4单价"/>
      <sheetName val="附表4砼、沙浆费计算表"/>
      <sheetName val="材料预算价"/>
      <sheetName val="台班单价"/>
      <sheetName val="配合比"/>
      <sheetName val="附表4工程费单价表"/>
      <sheetName val="附表2 材料价格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102.xml><?xml version="1.0" encoding="utf-8"?>
<externalLink xmlns="http://schemas.openxmlformats.org/spreadsheetml/2006/main">
  <externalBook xmlns:r="http://schemas.openxmlformats.org/officeDocument/2006/relationships" r:id="rId1">
    <sheetNames>
      <sheetName val="现金流量表（全部投资）"/>
      <sheetName val="现金流量表（自有资金）"/>
      <sheetName val="损益表"/>
      <sheetName val="资金来源与运用表"/>
      <sheetName val="资产负债表"/>
      <sheetName val="财务外汇平衡表"/>
      <sheetName val="国民经济效益费用流量表（全部投资）"/>
      <sheetName val="国民经济效益费用流量表（国内投资）"/>
      <sheetName val="经济外汇流量表"/>
      <sheetName val="固定资产投资估算表"/>
      <sheetName val="流动资金估算表"/>
      <sheetName val="投资计划与资金筹措表"/>
      <sheetName val="主要产出物和投入使用价格依据表"/>
      <sheetName val="单位产品生产成本估算表"/>
      <sheetName val="固定资产折旧费估算表"/>
      <sheetName val="无形及递延资产摊销估算表"/>
      <sheetName val="总成本费用估算表"/>
      <sheetName val="产品销售收入和税金及附加估算表"/>
      <sheetName val="借款还本付息计算表"/>
      <sheetName val="出口(替代进口)产品国内资源流量表"/>
      <sheetName val="国民经济评价投资调整计算表"/>
      <sheetName val="国民经济评价销售收入调整计算表"/>
      <sheetName val="国民经济评价经营费用调整计算表"/>
      <sheetName val="jbb"/>
      <sheetName val="Sheet1"/>
      <sheetName val="Sheet2"/>
      <sheetName val="Sheet3"/>
      <sheetName val="定额"/>
      <sheetName val="机械汇总"/>
      <sheetName val="材价汇"/>
      <sheetName val="表2预算汇总表"/>
      <sheetName val="表3-1直接费预算表达式1"/>
      <sheetName val="表3-8"/>
      <sheetName val="单价表"/>
      <sheetName val="机械定额"/>
      <sheetName val="附表4砼、沙浆费计算表"/>
      <sheetName val="砼、砂浆半成品预算表"/>
      <sheetName val="附表4工程费单价表"/>
      <sheetName val="附表2 材料价格表"/>
      <sheetName val="#REF"/>
      <sheetName val="附表1 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03.xml><?xml version="1.0" encoding="utf-8"?>
<externalLink xmlns="http://schemas.openxmlformats.org/spreadsheetml/2006/main">
  <externalBook xmlns:r="http://schemas.openxmlformats.org/officeDocument/2006/relationships" r:id="rId1">
    <sheetNames>
      <sheetName val="年度计划表"/>
      <sheetName val="总预算"/>
      <sheetName val="工程施工费"/>
      <sheetName val="直接费"/>
      <sheetName val="人工费"/>
      <sheetName val="材料费"/>
      <sheetName val="机械费"/>
      <sheetName val="其他直接费"/>
      <sheetName val="现场经费"/>
      <sheetName val="间接费"/>
      <sheetName val="拆迁补偿"/>
      <sheetName val="前期工作费"/>
      <sheetName val="竣工验收费"/>
      <sheetName val="不可预见费"/>
      <sheetName val="业主管理费"/>
      <sheetName val="分月计划表"/>
      <sheetName val="设备购置费"/>
      <sheetName val="人工单价"/>
      <sheetName val="主材价格"/>
      <sheetName val="机械调差 "/>
      <sheetName val="单位估价"/>
      <sheetName val="单价表"/>
      <sheetName val="材料调差"/>
      <sheetName val="费率"/>
      <sheetName val="附表3"/>
      <sheetName val="#REF"/>
      <sheetName val="5"/>
      <sheetName val="机械汇总"/>
      <sheetName val="材价汇"/>
      <sheetName val="表2预算汇总表"/>
      <sheetName val="表3-1直接费预算表达式1"/>
      <sheetName val="表3-8"/>
      <sheetName val="数据字典"/>
      <sheetName val="设备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04.xml><?xml version="1.0" encoding="utf-8"?>
<externalLink xmlns="http://schemas.openxmlformats.org/spreadsheetml/2006/main">
  <externalBook xmlns:r="http://schemas.openxmlformats.org/officeDocument/2006/relationships" r:id="rId1">
    <sheetNames>
      <sheetName val="总表"/>
      <sheetName val="贱贱"/>
      <sheetName val="机电"/>
      <sheetName val="总概算表 "/>
      <sheetName val="建筑工程概算"/>
      <sheetName val="临时工程费"/>
      <sheetName val="占地"/>
      <sheetName val="投资汇总"/>
      <sheetName val="绿化"/>
      <sheetName val="灌溉"/>
      <sheetName val="土方"/>
      <sheetName val="单价分析汇总表"/>
      <sheetName val="材料分析表"/>
      <sheetName val="配合比"/>
      <sheetName val="总台班费"/>
      <sheetName val="建筑工程单价分析"/>
      <sheetName val="PVC管材价格1 (5)"/>
      <sheetName val="Sheet2"/>
      <sheetName val="土方机械台班费"/>
      <sheetName val="混凝土机械台班费"/>
      <sheetName val="运输机械"/>
      <sheetName val="起重机械"/>
      <sheetName val="其他机械"/>
      <sheetName val="钻孔灌浆机械"/>
      <sheetName val="动力机械"/>
      <sheetName val="价格"/>
      <sheetName val="概算表"/>
      <sheetName val="设计费"/>
      <sheetName val="Sheet1"/>
      <sheetName val="附表4单价"/>
      <sheetName val="单价表"/>
      <sheetName val="材料调差"/>
      <sheetName val="人工单价"/>
      <sheetName val="表4-1设备费"/>
      <sheetName val="机械汇总"/>
      <sheetName val="材价汇"/>
      <sheetName val="附4工程费单价表"/>
      <sheetName val="表2预算汇总表"/>
      <sheetName val="表3-1直接费预算表达式1"/>
      <sheetName val="表3-8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</sheetDataSet>
  </externalBook>
</externalLink>
</file>

<file path=xl/externalLinks/externalLink105.xml><?xml version="1.0" encoding="utf-8"?>
<externalLink xmlns="http://schemas.openxmlformats.org/spreadsheetml/2006/main">
  <externalBook xmlns:r="http://schemas.openxmlformats.org/officeDocument/2006/relationships" r:id="rId1">
    <sheetNames>
      <sheetName val="一标段标底汇总表"/>
      <sheetName val="一标段标底计算表 "/>
      <sheetName val="二标段标底汇总表"/>
      <sheetName val="二标段标底计算表"/>
      <sheetName val="三标段标底汇总表 "/>
      <sheetName val="三标段标底计算表"/>
      <sheetName val="四标段标底汇总表 "/>
      <sheetName val="四标段标底计算表"/>
      <sheetName val="五标段标底汇总表"/>
      <sheetName val="五标段标底计算表"/>
      <sheetName val="六标段标底汇总表"/>
      <sheetName val="六标段标底计算表"/>
      <sheetName val="七标段标底汇总表 "/>
      <sheetName val="七标段标底计算表 "/>
      <sheetName val="八标段标底汇总表 "/>
      <sheetName val="八标段标底计算表 "/>
      <sheetName val="九标段标底汇总表 "/>
      <sheetName val="九标段标底计算表"/>
      <sheetName val="工程费单价汇总表"/>
      <sheetName val="机械台班费单价汇总表"/>
      <sheetName val="附表4单价"/>
      <sheetName val="附表1 人"/>
      <sheetName val="附表2"/>
      <sheetName val="附表2-1主材"/>
      <sheetName val="附表3机"/>
      <sheetName val="附表6砼砂浆"/>
      <sheetName val="Sheet1"/>
      <sheetName val="POWER ASSUMPTIONS"/>
      <sheetName val="新定额单价"/>
      <sheetName val="5"/>
      <sheetName val="费率"/>
      <sheetName val="附表3"/>
      <sheetName val="附表3机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06.xml><?xml version="1.0" encoding="utf-8"?>
<externalLink xmlns="http://schemas.openxmlformats.org/spreadsheetml/2006/main">
  <externalBook xmlns:r="http://schemas.openxmlformats.org/officeDocument/2006/relationships" r:id="rId1">
    <sheetNames>
      <sheetName val="表1项目总预算及分年度预算表"/>
      <sheetName val="表2预算汇总表"/>
      <sheetName val="表3-1直接费预算表达式1"/>
      <sheetName val="表3-1-1直接工程费预算表"/>
      <sheetName val="表3工程施工费预算表"/>
      <sheetName val="单位工程量"/>
      <sheetName val="表3工程施工费用"/>
      <sheetName val="表3-1"/>
      <sheetName val="表3-2"/>
      <sheetName val="表3-3"/>
      <sheetName val="表3-4"/>
      <sheetName val="表3-5"/>
      <sheetName val="表3-6"/>
      <sheetName val="表3-7"/>
      <sheetName val="表3-8"/>
      <sheetName val="表3-9"/>
      <sheetName val="表3-10"/>
      <sheetName val="表4设备购置费"/>
      <sheetName val="表3-2间接费预算表"/>
      <sheetName val="表5其它费用预算表"/>
      <sheetName val="表5-1前期工作费"/>
      <sheetName val="表5-2工程监理费"/>
      <sheetName val="表5-3竣工验收费"/>
      <sheetName val="表5-4业主管理费"/>
      <sheetName val="表6不可预见费"/>
      <sheetName val="表7分月用款计划"/>
      <sheetName val="附表1人工单价计算表"/>
      <sheetName val="附表2材料价格计算表"/>
      <sheetName val="附表2-1主要材料价格计算表"/>
      <sheetName val="附表2-2风水电"/>
      <sheetName val="附表3机械台班计算表"/>
      <sheetName val="附表3-1补充机械台班"/>
      <sheetName val="附表4直接工程费单价表"/>
      <sheetName val="附表5主材用量汇总表"/>
      <sheetName val="附表6砼配比表"/>
      <sheetName val="附表7砂浆配比表"/>
      <sheetName val="Sheet1"/>
      <sheetName val="Sheet2"/>
      <sheetName val="Sheet3"/>
      <sheetName val="材料调差"/>
      <sheetName val="人工单价"/>
      <sheetName val="机械汇总"/>
      <sheetName val="材价汇"/>
      <sheetName val="附表2-1主材"/>
      <sheetName val="机械定额"/>
      <sheetName val="附表4砼、沙浆费计算表"/>
      <sheetName val="Financ. Overview"/>
      <sheetName val="Toolbox"/>
      <sheetName val="附表3机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07.xml><?xml version="1.0" encoding="utf-8"?>
<externalLink xmlns="http://schemas.openxmlformats.org/spreadsheetml/2006/main">
  <externalBook xmlns:r="http://schemas.openxmlformats.org/officeDocument/2006/relationships" r:id="rId1">
    <sheetNames>
      <sheetName val="附表4直接工程费单价表"/>
      <sheetName val="单价宁夏新"/>
      <sheetName val="人工工资"/>
      <sheetName val="定额"/>
      <sheetName val="附表3机械台班计算表"/>
      <sheetName val="附表2材料价格计算表"/>
      <sheetName val="单价分析表"/>
      <sheetName val="基础参数值"/>
      <sheetName val="附表1人工单价计算表"/>
      <sheetName val="附表7砂浆配比表"/>
      <sheetName val="材料预算价"/>
      <sheetName val="台班单价"/>
      <sheetName val="配合比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108.xml><?xml version="1.0" encoding="utf-8"?>
<externalLink xmlns="http://schemas.openxmlformats.org/spreadsheetml/2006/main">
  <externalBook xmlns:r="http://schemas.openxmlformats.org/officeDocument/2006/relationships" r:id="rId1">
    <sheetNames>
      <sheetName val="定额"/>
      <sheetName val="总表"/>
      <sheetName val="汇总表"/>
      <sheetName val="工程量计算"/>
      <sheetName val="附表1人工单价表"/>
      <sheetName val="表5-3竣工"/>
      <sheetName val="附表3机械"/>
      <sheetName val="附表2材料"/>
      <sheetName val="附表1人工"/>
      <sheetName val="附表6砼配"/>
      <sheetName val="新定额单价"/>
      <sheetName val="设备"/>
      <sheetName val="单价宁夏新"/>
      <sheetName val="附表 3台班单价"/>
      <sheetName val="附表 2－1 材料价格"/>
      <sheetName val="附4工程费单价表"/>
      <sheetName val="附表 1 人工单价"/>
      <sheetName val="材料预算价"/>
      <sheetName val="台班单价"/>
      <sheetName val="配合比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109.xml><?xml version="1.0" encoding="utf-8"?>
<externalLink xmlns="http://schemas.openxmlformats.org/spreadsheetml/2006/main">
  <externalBook xmlns:r="http://schemas.openxmlformats.org/officeDocument/2006/relationships" r:id="rId1">
    <sheetNames>
      <sheetName val="表1总预算及分年度预算表"/>
      <sheetName val="表2总预算"/>
      <sheetName val="表3工程施工费表"/>
      <sheetName val="表3-1直接费"/>
      <sheetName val="表3-1-1直接工程费"/>
      <sheetName val="表3-2间接费"/>
      <sheetName val="表4设备购置费"/>
      <sheetName val="表5其他费用"/>
      <sheetName val="表5-1前期工作费"/>
      <sheetName val="表5-2监理费"/>
      <sheetName val="表5-3竣工"/>
      <sheetName val="表5-4拆迁"/>
      <sheetName val="表5-5业主"/>
      <sheetName val="表6不可预见"/>
      <sheetName val="表7季度分月用款计划表"/>
      <sheetName val="分月用款计划表"/>
      <sheetName val="附表1人工单价表"/>
      <sheetName val="附表2材料价格表"/>
      <sheetName val="附表4砼、沙浆费计算表"/>
      <sheetName val="附表3机械台班"/>
      <sheetName val="附表5直接工程费单价表"/>
      <sheetName val="附表6"/>
      <sheetName val="附表7主要材料用量汇总表"/>
      <sheetName val="附8工程量表"/>
      <sheetName val="横道图1"/>
      <sheetName val="横道图2"/>
      <sheetName val="现金流量表"/>
      <sheetName val="成本表"/>
      <sheetName val="损益表"/>
      <sheetName val="资金运用表"/>
      <sheetName val="单价分析"/>
      <sheetName val="新定额单价"/>
      <sheetName val="附表4工程费单价表"/>
      <sheetName val="附表2 材料价格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管材价格"/>
      <sheetName val="管材价格2"/>
      <sheetName val="机电及设备"/>
      <sheetName val="特性表"/>
      <sheetName val="投资和任务情况表"/>
      <sheetName val="效益表"/>
      <sheetName val="概算总表"/>
      <sheetName val="土地平整"/>
      <sheetName val="土壤改良"/>
      <sheetName val="其他"/>
      <sheetName val="科"/>
      <sheetName val="比例"/>
      <sheetName val="渠道"/>
      <sheetName val="单价汇总"/>
      <sheetName val="沟道"/>
      <sheetName val="暗管"/>
      <sheetName val="强排泵站"/>
      <sheetName val="滴灌工程"/>
      <sheetName val="机电设备"/>
      <sheetName val="路"/>
      <sheetName val="林"/>
      <sheetName val="测水桥"/>
      <sheetName val="斗农口"/>
      <sheetName val="生产桥"/>
      <sheetName val="涵"/>
      <sheetName val="节制闸"/>
      <sheetName val="跌水"/>
      <sheetName val="渡槽"/>
      <sheetName val="沟道建筑物"/>
      <sheetName val="人工工资"/>
      <sheetName val="1"/>
      <sheetName val="3"/>
      <sheetName val="4"/>
      <sheetName val="8"/>
      <sheetName val="10"/>
      <sheetName val="9"/>
      <sheetName val="11"/>
      <sheetName val="暗管单价"/>
      <sheetName val="配合比"/>
      <sheetName val="机械汇总"/>
      <sheetName val="材料预算价"/>
      <sheetName val="基础参数"/>
      <sheetName val="费率表"/>
      <sheetName val="设计费"/>
      <sheetName val="监理费"/>
      <sheetName val="建管"/>
      <sheetName val="Sheet1"/>
      <sheetName val="附表2材料价格表"/>
      <sheetName val="附表3机械台班"/>
      <sheetName val="附表5直接工程费单价表"/>
      <sheetName val="表3工程施工费表"/>
      <sheetName val="新定额单价"/>
      <sheetName val="附表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110.xml><?xml version="1.0" encoding="utf-8"?>
<externalLink xmlns="http://schemas.openxmlformats.org/spreadsheetml/2006/main">
  <externalBook xmlns:r="http://schemas.openxmlformats.org/officeDocument/2006/relationships" r:id="rId1">
    <sheetNames>
      <sheetName val="概算总表"/>
      <sheetName val="Sheet3"/>
      <sheetName val="总表"/>
      <sheetName val="概算表"/>
      <sheetName val="单价表"/>
      <sheetName val="台班费"/>
      <sheetName val="主要台班"/>
      <sheetName val="台班汇总"/>
      <sheetName val="配合比"/>
      <sheetName val="单价分析表"/>
      <sheetName val="附表2人工预算单价"/>
      <sheetName val="单位估价"/>
      <sheetName val="Sheet1"/>
      <sheetName val="二级代码"/>
      <sheetName val="附表1人工单价表"/>
      <sheetName val="费率"/>
      <sheetName val="附表3"/>
      <sheetName val="表4-1设备费"/>
      <sheetName val="定额"/>
      <sheetName val="材料表"/>
      <sheetName val="新定额单价"/>
      <sheetName val="附表4工程费单价表"/>
      <sheetName val="附表2 材料价格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1.xml><?xml version="1.0" encoding="utf-8"?>
<externalLink xmlns="http://schemas.openxmlformats.org/spreadsheetml/2006/main">
  <externalBook xmlns:r="http://schemas.openxmlformats.org/officeDocument/2006/relationships" r:id="rId1">
    <sheetNames>
      <sheetName val="附表1人工单价表"/>
      <sheetName val="表5-3竣工"/>
      <sheetName val="附表3机械"/>
      <sheetName val="附表2材料"/>
      <sheetName val="附表1人工"/>
      <sheetName val="附表6砼配"/>
      <sheetName val="材料调差"/>
      <sheetName val="人工单价"/>
      <sheetName val="设备"/>
      <sheetName val="表3工程施工费表"/>
      <sheetName val="次要材料预算价格"/>
      <sheetName val="05-2新定额单价"/>
      <sheetName val="附表2"/>
      <sheetName val="附表4砼、沙浆费计算表"/>
      <sheetName val="#REF"/>
      <sheetName val="机械汇总"/>
      <sheetName val="材价汇"/>
      <sheetName val="表2预算汇总表"/>
      <sheetName val="表3-1直接费预算表达式1"/>
      <sheetName val="表3-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2.xml><?xml version="1.0" encoding="utf-8"?>
<externalLink xmlns="http://schemas.openxmlformats.org/spreadsheetml/2006/main">
  <externalBook xmlns:r="http://schemas.openxmlformats.org/officeDocument/2006/relationships" r:id="rId1">
    <sheetNames>
      <sheetName val="机电及设备"/>
      <sheetName val="总表"/>
      <sheetName val="概算表（立岗片区）"/>
      <sheetName val="概算表 (洪广片区)"/>
      <sheetName val="单价汇总"/>
      <sheetName val="单价分析表"/>
      <sheetName val="基础参数值"/>
      <sheetName val="人工工资"/>
      <sheetName val="材料预算价"/>
      <sheetName val="附表3次要材料"/>
      <sheetName val="配合比"/>
      <sheetName val="机械汇总 "/>
      <sheetName val="设计费"/>
      <sheetName val="监理费 "/>
      <sheetName val="建管 咨询 招标"/>
      <sheetName val="单位估价"/>
      <sheetName val="机械汇总"/>
      <sheetName val="材价汇"/>
      <sheetName val="表2预算汇总表"/>
      <sheetName val="表3-1直接费预算表达式1"/>
      <sheetName val="表3-8"/>
      <sheetName val="附表3机械台班计算表"/>
      <sheetName val="附表 2－1 材料价格"/>
      <sheetName val="附表2材料价格计算表"/>
      <sheetName val="附表1人工单价计算表"/>
      <sheetName val="附表7砂浆配比表"/>
      <sheetName val="表6不可预见"/>
      <sheetName val="表3工程施工费表"/>
      <sheetName val="新定额单价"/>
      <sheetName val="附表1人工单价表"/>
      <sheetName val="表5-3竣工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13.xml><?xml version="1.0" encoding="utf-8"?>
<externalLink xmlns="http://schemas.openxmlformats.org/spreadsheetml/2006/main">
  <externalBook xmlns:r="http://schemas.openxmlformats.org/officeDocument/2006/relationships" r:id="rId1">
    <sheetNames>
      <sheetName val="附表2人工预算单价"/>
      <sheetName val="材料调差"/>
      <sheetName val="人工单价"/>
      <sheetName val="单位估价"/>
      <sheetName val="数据字典"/>
      <sheetName val="POWER ASSUMPTIONS"/>
      <sheetName val="材料费"/>
      <sheetName val="机械汇总"/>
      <sheetName val="材价汇"/>
      <sheetName val="附4工程费单价表"/>
      <sheetName val="表2预算汇总表"/>
      <sheetName val="表3-1直接费预算表达式1"/>
      <sheetName val="表3-8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4.xml><?xml version="1.0" encoding="utf-8"?>
<externalLink xmlns="http://schemas.openxmlformats.org/spreadsheetml/2006/main">
  <externalBook xmlns:r="http://schemas.openxmlformats.org/officeDocument/2006/relationships" r:id="rId1">
    <sheetNames>
      <sheetName val="表1总预算及分年度预算表"/>
      <sheetName val="表2总预算"/>
      <sheetName val="Sheet1"/>
      <sheetName val="表3工程施工费表"/>
      <sheetName val="表3-1直接费"/>
      <sheetName val="表3-1-1直接工程费"/>
      <sheetName val="附8工程量表"/>
      <sheetName val="表3-2间接费"/>
      <sheetName val="表4设备购置费"/>
      <sheetName val="表5其他费用"/>
      <sheetName val="表5-1前期工作费"/>
      <sheetName val="表5-2监理费"/>
      <sheetName val="表5-3竣工"/>
      <sheetName val="表5-4拆迁"/>
      <sheetName val="表5-5业主"/>
      <sheetName val="表6不可预见"/>
      <sheetName val="表7季度分月用款计划表"/>
      <sheetName val="附表1人工单价表"/>
      <sheetName val="附表2材料价格表"/>
      <sheetName val="附表3机械台班"/>
      <sheetName val="附表4砼、沙浆费计算表"/>
      <sheetName val="附表5直接工程费单价表"/>
      <sheetName val="附表6主要材料用量汇总表"/>
      <sheetName val="单价表"/>
      <sheetName val="单价分析表"/>
      <sheetName val="人工工资"/>
      <sheetName val="基础参数值"/>
      <sheetName val="单位估价"/>
      <sheetName val="新定额单价"/>
      <sheetName val="二级代码"/>
      <sheetName val="砼、砂浆半成品预算表"/>
      <sheetName val="表5-2工程监理费南"/>
      <sheetName val="Toolbox"/>
      <sheetName val="材料费"/>
      <sheetName val="5"/>
      <sheetName val="国民经济效益费用流量表（全部投资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15.xml><?xml version="1.0" encoding="utf-8"?>
<externalLink xmlns="http://schemas.openxmlformats.org/spreadsheetml/2006/main">
  <externalBook xmlns:r="http://schemas.openxmlformats.org/officeDocument/2006/relationships" r:id="rId1">
    <sheetNames>
      <sheetName val="总概算"/>
      <sheetName val="概算表"/>
      <sheetName val="机电设备"/>
      <sheetName val="管材及建筑物数量统计表"/>
      <sheetName val="PVC管材价格"/>
      <sheetName val="单价汇总表"/>
      <sheetName val="材料预算价"/>
      <sheetName val="配合比"/>
      <sheetName val="台时"/>
      <sheetName val="新定额单价"/>
      <sheetName val="建筑工程概算表"/>
      <sheetName val="基础材料表"/>
      <sheetName val="独立费用"/>
      <sheetName val="监理费用"/>
      <sheetName val="设计费"/>
      <sheetName val="工程量汇总表7"/>
      <sheetName val="材料分析"/>
      <sheetName val="技术咨询费（审）"/>
      <sheetName val="监理费（审）"/>
      <sheetName val="金属结构"/>
      <sheetName val="附表4砼、沙浆费计算表"/>
      <sheetName val="单位估价"/>
      <sheetName val="材料费"/>
      <sheetName val="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116.xml><?xml version="1.0" encoding="utf-8"?>
<externalLink xmlns="http://schemas.openxmlformats.org/spreadsheetml/2006/main">
  <externalBook xmlns:r="http://schemas.openxmlformats.org/officeDocument/2006/relationships" r:id="rId1">
    <sheetNames>
      <sheetName val="附表4砼、沙浆费计算表"/>
      <sheetName val="表6不可预见费南 "/>
      <sheetName val="表5-2工程监理费南"/>
      <sheetName val="表3工程施工费南 "/>
      <sheetName val="表5-3竣工验收费南 "/>
      <sheetName val="表5其他费用南 "/>
      <sheetName val="表5-1前期工作费南"/>
      <sheetName val="表4设备费南 "/>
      <sheetName val="表5-4业主管理费南 "/>
      <sheetName val="表2预算总表 南"/>
      <sheetName val="新定额单价"/>
      <sheetName val="附表2人工预算单价"/>
      <sheetName val="附表1人工单价表"/>
      <sheetName val="表5-3竣工"/>
      <sheetName val="附表2"/>
      <sheetName val="单价宁夏新"/>
      <sheetName val="附表3机械台班计算表"/>
      <sheetName val="5"/>
      <sheetName val="费率"/>
      <sheetName val="附表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117.xml><?xml version="1.0" encoding="utf-8"?>
<externalLink xmlns="http://schemas.openxmlformats.org/spreadsheetml/2006/main">
  <externalBook xmlns:r="http://schemas.openxmlformats.org/officeDocument/2006/relationships" r:id="rId1">
    <sheetNames>
      <sheetName val="汇总"/>
      <sheetName val="分表"/>
      <sheetName val="设备"/>
      <sheetName val="工程单价"/>
      <sheetName val="主材价表"/>
      <sheetName val="砼配比"/>
      <sheetName val="材料用量"/>
      <sheetName val="材价汇"/>
      <sheetName val="机械"/>
      <sheetName val="单价汇总"/>
      <sheetName val="机械汇总"/>
      <sheetName val="人工单价"/>
      <sheetName val="机总"/>
      <sheetName val="报价汇总表"/>
      <sheetName val="分项工程量报价表"/>
      <sheetName val="主要材料用量表"/>
      <sheetName val="主要材料预算表"/>
      <sheetName val="单价汇总表"/>
      <sheetName val="附表2"/>
      <sheetName val="材料费"/>
      <sheetName val="附表3机械"/>
      <sheetName val="附表3机械台班计算表"/>
      <sheetName val="附表2材料价格计算表"/>
      <sheetName val="附表1人工单价计算表"/>
      <sheetName val="附表7砂浆配比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18.xml><?xml version="1.0" encoding="utf-8"?>
<externalLink xmlns="http://schemas.openxmlformats.org/spreadsheetml/2006/main">
  <externalBook xmlns:r="http://schemas.openxmlformats.org/officeDocument/2006/relationships" r:id="rId1">
    <sheetNames>
      <sheetName val="表1总预算及分年度预算表"/>
      <sheetName val="表2总预算"/>
      <sheetName val="表3工程施工费表"/>
      <sheetName val="表3-1直接费"/>
      <sheetName val="表7季度分月用款计划表"/>
      <sheetName val="附表2材料价格表"/>
      <sheetName val="附表3机械台班"/>
      <sheetName val="表3-2间接费"/>
      <sheetName val="表3-1-1直接工程费"/>
      <sheetName val="附表5直接工程费单价表"/>
      <sheetName val="附8工程量表"/>
      <sheetName val="表4设备购置费"/>
      <sheetName val="表5其他费用"/>
      <sheetName val="表5-1前期工作费"/>
      <sheetName val="表5-2监理费"/>
      <sheetName val="表5-3竣工"/>
      <sheetName val="表5-4拆迁"/>
      <sheetName val="表5-5业主"/>
      <sheetName val="表6不可预见"/>
      <sheetName val="附表1人工单价表"/>
      <sheetName val="附表4砼、沙浆费计算表"/>
      <sheetName val="附表7主要材料用量汇总表"/>
      <sheetName val="单价表"/>
      <sheetName val="新定额单价"/>
      <sheetName val="机械定额"/>
      <sheetName val="二级代码"/>
      <sheetName val="表4-1设备费"/>
      <sheetName val="单位估价"/>
      <sheetName val="附表2-1主材"/>
      <sheetName val="材料调差"/>
      <sheetName val="人工单价"/>
      <sheetName val="附表3机械台班计算表"/>
      <sheetName val="附表2材料价格计算表"/>
      <sheetName val="附表1人工单价计算表"/>
      <sheetName val="附表7砂浆配比表"/>
      <sheetName val="附表2人工预算单价"/>
      <sheetName val="附表2"/>
      <sheetName val="Sheet1"/>
      <sheetName val="#REF"/>
      <sheetName val="费率"/>
      <sheetName val="附表3"/>
      <sheetName val="砼、砂浆半成品预算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19.xml><?xml version="1.0" encoding="utf-8"?>
<externalLink xmlns="http://schemas.openxmlformats.org/spreadsheetml/2006/main">
  <externalBook xmlns:r="http://schemas.openxmlformats.org/officeDocument/2006/relationships" r:id="rId1">
    <sheetNames>
      <sheetName val="计划书封面"/>
      <sheetName val="封皮"/>
      <sheetName val="封面"/>
      <sheetName val="编制说明"/>
      <sheetName val="总表"/>
      <sheetName val="建筑工程预算表"/>
      <sheetName val="申请表（正面）"/>
      <sheetName val="资料承诺书（背面）"/>
      <sheetName val="管材价格"/>
      <sheetName val="机电设备及安装工程预算表"/>
      <sheetName val="金属结构及安装工程预算表"/>
      <sheetName val="单价汇总"/>
      <sheetName val="单价分析表"/>
      <sheetName val="其它"/>
      <sheetName val="材料预算价7"/>
      <sheetName val="配合比8"/>
      <sheetName val="Sheet1"/>
      <sheetName val="台时"/>
      <sheetName val="单价表"/>
      <sheetName val="土方"/>
      <sheetName val="浆砌石"/>
      <sheetName val="砼"/>
      <sheetName val="运费"/>
      <sheetName val="人工"/>
      <sheetName val="费率9"/>
      <sheetName val="Sheet3"/>
      <sheetName val="Sheet2"/>
      <sheetName val="附表4单价"/>
      <sheetName val="基础参数值"/>
      <sheetName val="人工工资"/>
      <sheetName val="材料调差"/>
      <sheetName val="人工单价"/>
      <sheetName val="附表3机械台班计算表"/>
      <sheetName val="附表2材料价格计算表"/>
      <sheetName val="附表1人工单价计算表"/>
      <sheetName val="附表7砂浆配比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附表2材料价格表"/>
      <sheetName val="附表3机械台班"/>
      <sheetName val="附表5直接工程费单价表"/>
      <sheetName val="表3工程施工费表"/>
      <sheetName val="附表2"/>
      <sheetName val="表6不可预见费南 "/>
      <sheetName val="表5-2工程监理费南"/>
      <sheetName val="表3工程施工费南 "/>
      <sheetName val="表5-3竣工验收费南 "/>
      <sheetName val="表5其他费用南 "/>
      <sheetName val="表5-1前期工作费南"/>
      <sheetName val="表4设备费南 "/>
      <sheetName val="表5-4业主管理费南 "/>
      <sheetName val="表2预算总表 南"/>
      <sheetName val="次要材料预算价格"/>
      <sheetName val="附表4单价"/>
      <sheetName val="数据字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120.xml><?xml version="1.0" encoding="utf-8"?>
<externalLink xmlns="http://schemas.openxmlformats.org/spreadsheetml/2006/main">
  <externalBook xmlns:r="http://schemas.openxmlformats.org/officeDocument/2006/relationships" r:id="rId1">
    <sheetNames>
      <sheetName val="新定额单价"/>
      <sheetName val="台时"/>
      <sheetName val="配合比"/>
      <sheetName val="工程量汇总表7"/>
      <sheetName val="材料分析"/>
      <sheetName val="材料预算价"/>
      <sheetName val="基础材料表"/>
      <sheetName val="总估算"/>
      <sheetName val="暖泉渠"/>
      <sheetName val="唐徕渠"/>
      <sheetName val="独立费用"/>
      <sheetName val="机电"/>
      <sheetName val="监理费用"/>
      <sheetName val="设计费"/>
      <sheetName val="单价汇总表"/>
      <sheetName val="单位估价"/>
      <sheetName val="附表1人工单价表"/>
      <sheetName val="表5-3竣工"/>
      <sheetName val="单价分析表"/>
      <sheetName val="人工工资"/>
      <sheetName val="基础参数值"/>
      <sheetName val="5"/>
      <sheetName val="材料调差"/>
      <sheetName val="人工单价"/>
      <sheetName val="附表 3台班单价"/>
      <sheetName val="附表 2－1 材料价格"/>
      <sheetName val="附4工程费单价表"/>
      <sheetName val="附表 1 人工单价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1.xml><?xml version="1.0" encoding="utf-8"?>
<externalLink xmlns="http://schemas.openxmlformats.org/spreadsheetml/2006/main">
  <externalBook xmlns:r="http://schemas.openxmlformats.org/officeDocument/2006/relationships" r:id="rId1">
    <sheetNames>
      <sheetName val="表1总预算及分年"/>
      <sheetName val="表2预算明细"/>
      <sheetName val="工程施工费"/>
      <sheetName val="斗渠-1"/>
      <sheetName val="斗渠-2"/>
      <sheetName val="斗渠-3"/>
      <sheetName val="斗渠-4"/>
      <sheetName val="斗渠-5"/>
      <sheetName val="斗渠-6"/>
      <sheetName val="斗渠-7"/>
      <sheetName val="七队斗渠"/>
      <sheetName val="八队斗渠"/>
      <sheetName val="镇朔渠"/>
      <sheetName val="道路"/>
      <sheetName val="沟道"/>
      <sheetName val="土地平整"/>
      <sheetName val="表4-1设备费"/>
      <sheetName val="表5其他 "/>
      <sheetName val="表5-1前期"/>
      <sheetName val="表5-2监理"/>
      <sheetName val="表5-3验收 "/>
      <sheetName val="表5-4拆迁 "/>
      <sheetName val="表5-5业主 "/>
      <sheetName val="表6不可预见"/>
      <sheetName val="表7分月用款计划南 "/>
      <sheetName val="附表1 人"/>
      <sheetName val="附表2-1次材"/>
      <sheetName val="附表2-2主材运杂费"/>
      <sheetName val="附表2主材"/>
      <sheetName val="附表3机台费"/>
      <sheetName val="附表6砼砂浆"/>
      <sheetName val="附表4单价"/>
      <sheetName val="Sheet2"/>
      <sheetName val="Sheet1"/>
      <sheetName val="Sheet3"/>
      <sheetName val="砼、砂浆半成品预算表"/>
      <sheetName val="二级代码"/>
      <sheetName val="附表2"/>
      <sheetName val="附表4砼、沙浆费计算表"/>
      <sheetName val="单价分析表"/>
      <sheetName val="人工工资"/>
      <sheetName val="基础参数值"/>
      <sheetName val="新定额单价"/>
      <sheetName val="表5-2工程监理费南"/>
      <sheetName val="附表2-1主材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</sheetDataSet>
  </externalBook>
</externalLink>
</file>

<file path=xl/externalLinks/externalLink122.xml><?xml version="1.0" encoding="utf-8"?>
<externalLink xmlns="http://schemas.openxmlformats.org/spreadsheetml/2006/main">
  <externalBook xmlns:r="http://schemas.openxmlformats.org/officeDocument/2006/relationships" r:id="rId1">
    <sheetNames>
      <sheetName val="汇总"/>
      <sheetName val="分表"/>
      <sheetName val="设备"/>
      <sheetName val="工程单价"/>
      <sheetName val="主材价表"/>
      <sheetName val="砼配比"/>
      <sheetName val="材料用量"/>
      <sheetName val="材价汇"/>
      <sheetName val="机械"/>
      <sheetName val="单价汇总"/>
      <sheetName val="机械汇总"/>
      <sheetName val="人工单价"/>
      <sheetName val="机总"/>
      <sheetName val="报价汇总表"/>
      <sheetName val="分项工程量报价表"/>
      <sheetName val="主要材料用量表"/>
      <sheetName val="主要材料预算表"/>
      <sheetName val="单价汇总表"/>
      <sheetName val="单价表"/>
      <sheetName val="砼、砂浆半成品预算表"/>
      <sheetName val="附表2"/>
      <sheetName val="附表4砼、沙浆费计算表"/>
      <sheetName val="新定额单价"/>
      <sheetName val="单位估价"/>
      <sheetName val="附表2-1主材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</sheetDataSet>
  </externalBook>
</externalLink>
</file>

<file path=xl/externalLinks/externalLink123.xml><?xml version="1.0" encoding="utf-8"?>
<externalLink xmlns="http://schemas.openxmlformats.org/spreadsheetml/2006/main">
  <externalBook xmlns:r="http://schemas.openxmlformats.org/officeDocument/2006/relationships" r:id="rId1">
    <sheetNames>
      <sheetName val="建设内容汇总表"/>
      <sheetName val="区域分布汇总表"/>
      <sheetName val="贷款资金提取表"/>
      <sheetName val="投资估算汇总表"/>
      <sheetName val="贷款使用类别汇总表"/>
      <sheetName val="各单位贷款资金分配表"/>
      <sheetName val="土建采购分包"/>
      <sheetName val="设备及材料分包"/>
      <sheetName val="咨询服务及培训计划"/>
      <sheetName val="成本表"/>
      <sheetName val="农垦成本表"/>
      <sheetName val="红寺堡成本表"/>
      <sheetName val="同心成本表"/>
      <sheetName val="盐池成本表"/>
      <sheetName val="损益表"/>
      <sheetName val="农垦损益表"/>
      <sheetName val="红寺堡损益表"/>
      <sheetName val="同心损益表"/>
      <sheetName val="盐池损益表"/>
      <sheetName val="现金流量表"/>
      <sheetName val="资金运用表"/>
      <sheetName val="投资表"/>
      <sheetName val="表5-2监理费"/>
      <sheetName val="附表1人工单价表"/>
      <sheetName val="表5-3竣工"/>
      <sheetName val="表3工程施工费表"/>
      <sheetName val="新定额单价"/>
      <sheetName val="数据字典"/>
      <sheetName val="单价宁夏新"/>
      <sheetName val="定额"/>
      <sheetName val="费率"/>
      <sheetName val="附表3"/>
      <sheetName val="附表2-1主材"/>
      <sheetName val="表6不可预见"/>
      <sheetName val="附表3机械"/>
      <sheetName val="附表3机械台班计算表"/>
      <sheetName val="附表2材料价格计算表"/>
      <sheetName val="附表1人工单价计算表"/>
      <sheetName val="附表7砂浆配比表"/>
      <sheetName val="取费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24.xml><?xml version="1.0" encoding="utf-8"?>
<externalLink xmlns="http://schemas.openxmlformats.org/spreadsheetml/2006/main">
  <externalBook xmlns:r="http://schemas.openxmlformats.org/officeDocument/2006/relationships" r:id="rId1">
    <sheetNames>
      <sheetName val="数据字典"/>
      <sheetName val="#REF"/>
      <sheetName val="定额"/>
      <sheetName val="DE"/>
      <sheetName val="单价宁夏新"/>
      <sheetName val="材料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5.xml><?xml version="1.0" encoding="utf-8"?>
<externalLink xmlns="http://schemas.openxmlformats.org/spreadsheetml/2006/main">
  <externalBook xmlns:r="http://schemas.openxmlformats.org/officeDocument/2006/relationships" r:id="rId1">
    <sheetNames>
      <sheetName val="表1"/>
      <sheetName val="表2"/>
      <sheetName val="斗渠-1"/>
      <sheetName val="斗渠-2"/>
      <sheetName val="斗渠-3"/>
      <sheetName val="斗渠-4"/>
      <sheetName val="斗渠-5"/>
      <sheetName val="斗渠-6"/>
      <sheetName val="斗渠-7"/>
      <sheetName val="七队斗渠"/>
      <sheetName val="八队斗渠"/>
      <sheetName val="镇朔渠"/>
      <sheetName val="道路"/>
      <sheetName val="沟道"/>
      <sheetName val="土地平整"/>
      <sheetName val="表3"/>
      <sheetName val="表3-1"/>
      <sheetName val="1"/>
      <sheetName val="2"/>
      <sheetName val="3"/>
      <sheetName val="4"/>
      <sheetName val="5"/>
      <sheetName val="6"/>
      <sheetName val="7"/>
      <sheetName val="8"/>
      <sheetName val="9"/>
      <sheetName val="10林带"/>
      <sheetName val="11预制板"/>
      <sheetName val="Sheet2"/>
      <sheetName val="增加后的施工费"/>
      <sheetName val="表4"/>
      <sheetName val="表5"/>
      <sheetName val="表5-1前期"/>
      <sheetName val="表5-2监理"/>
      <sheetName val="表5-3验收 "/>
      <sheetName val="表5-4拆迁 "/>
      <sheetName val="表5-5业主 "/>
      <sheetName val="表5-1"/>
      <sheetName val="表6"/>
      <sheetName val="表7"/>
      <sheetName val="附表1"/>
      <sheetName val="附表2"/>
      <sheetName val="附表2-1"/>
      <sheetName val="附3"/>
      <sheetName val="附表4"/>
      <sheetName val="Sheet1"/>
      <sheetName val="附表5"/>
      <sheetName val="附表6"/>
      <sheetName val="Sheet3"/>
      <sheetName val="Sheet4"/>
      <sheetName val="Sheet5"/>
      <sheetName val="Sheet6"/>
      <sheetName val="新定额单价"/>
      <sheetName val="材料调差"/>
      <sheetName val="人工单价"/>
      <sheetName val="附4工程费单价表"/>
      <sheetName val="材料费"/>
      <sheetName val="附表3机械台班计算表"/>
      <sheetName val="附表7砂浆配比表"/>
      <sheetName val="附表6砼配比表"/>
      <sheetName val="附表4直接工程费单价表"/>
      <sheetName val="砼、砂浆半成品预算表"/>
      <sheetName val="附表4工程费单价表"/>
      <sheetName val="附表2 材料价格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26.xml><?xml version="1.0" encoding="utf-8"?>
<externalLink xmlns="http://schemas.openxmlformats.org/spreadsheetml/2006/main">
  <externalBook xmlns:r="http://schemas.openxmlformats.org/officeDocument/2006/relationships" r:id="rId1">
    <sheetNames>
      <sheetName val="附表 2－1 材料价格"/>
      <sheetName val="国民经济效益费用流量表（全部投资）"/>
      <sheetName val="附表4直接工程费单价表"/>
      <sheetName val="单价宁夏新"/>
      <sheetName val="材料费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127.xml><?xml version="1.0" encoding="utf-8"?>
<externalLink xmlns="http://schemas.openxmlformats.org/spreadsheetml/2006/main">
  <externalBook xmlns:r="http://schemas.openxmlformats.org/officeDocument/2006/relationships" r:id="rId1">
    <sheetNames>
      <sheetName val="现金流量表（全部投资）"/>
      <sheetName val="现金流量表（自有资金）"/>
      <sheetName val="损益表"/>
      <sheetName val="资金来源与运用表"/>
      <sheetName val="资产负债表"/>
      <sheetName val="财务外汇平衡表"/>
      <sheetName val="国民经济效益费用流量表（全部投资）"/>
      <sheetName val="国民经济效益费用流量表（国内投资）"/>
      <sheetName val="经济外汇流量表"/>
      <sheetName val="固定资产投资估算表"/>
      <sheetName val="流动资金估算表"/>
      <sheetName val="投资计划与资金筹措表"/>
      <sheetName val="主要产出物和投入使用价格依据表"/>
      <sheetName val="单位产品生产成本估算表"/>
      <sheetName val="固定资产折旧费估算表"/>
      <sheetName val="无形及递延资产摊销估算表"/>
      <sheetName val="总成本费用估算表"/>
      <sheetName val="产品销售收入和税金及附加估算表"/>
      <sheetName val="借款还本付息计算表"/>
      <sheetName val="出口(替代进口)产品国内资源流量表"/>
      <sheetName val="国民经济评价投资调整计算表"/>
      <sheetName val="国民经济评价销售收入调整计算表"/>
      <sheetName val="国民经济评价经营费用调整计算表"/>
      <sheetName val="jbb"/>
      <sheetName val="Sheet1"/>
      <sheetName val="Sheet2"/>
      <sheetName val="Sheet3"/>
      <sheetName val="定额"/>
      <sheetName val="机械汇总"/>
      <sheetName val="材价汇"/>
      <sheetName val="表2预算汇总表"/>
      <sheetName val="表3-1直接费预算表达式1"/>
      <sheetName val="表3-8"/>
      <sheetName val="05-2新定额单价"/>
      <sheetName val="单价分析"/>
      <sheetName val="材料费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128.xml><?xml version="1.0" encoding="utf-8"?>
<externalLink xmlns="http://schemas.openxmlformats.org/spreadsheetml/2006/main">
  <externalBook xmlns:r="http://schemas.openxmlformats.org/officeDocument/2006/relationships" r:id="rId1">
    <sheetNames>
      <sheetName val="附表2-1主要材料价格计算表"/>
      <sheetName val="表1总预算及分年南"/>
      <sheetName val="表2预算总表 南"/>
      <sheetName val="表3工程施工费南 "/>
      <sheetName val="表3-1直接费南"/>
      <sheetName val="表3-1-1直接工程费南"/>
      <sheetName val="表3-2间接费南"/>
      <sheetName val="表4设备费南 "/>
      <sheetName val="表5其他费用南 "/>
      <sheetName val="表5-1前期工作费南"/>
      <sheetName val="表5-2工程监理费南"/>
      <sheetName val="表5-3竣工验收费南 "/>
      <sheetName val="表5-4业主管理费南 "/>
      <sheetName val="表6不可预见费南 "/>
      <sheetName val="表7分月用款计划南 "/>
      <sheetName val="附表1 人工单价表"/>
      <sheetName val="附表2 材料价格表"/>
      <sheetName val="附表3机械台班使用费"/>
      <sheetName val="附表3-1补充机械定额"/>
      <sheetName val="附表4风、水、电计算表"/>
      <sheetName val="附表4直接工程费单价表"/>
      <sheetName val="附表5砼、沙浆费计算表"/>
      <sheetName val="工程量"/>
      <sheetName val="单价表"/>
      <sheetName val="表3工程施工费表"/>
      <sheetName val="国民经济效益费用流量表（全部投资）"/>
      <sheetName val="现金流量表"/>
      <sheetName val="成本表"/>
      <sheetName val="损益表"/>
      <sheetName val="资金运用表"/>
      <sheetName val="附4工程费单价表"/>
      <sheetName val="附表3机械台班计算表"/>
      <sheetName val="附表 2－1 材料价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29.xml><?xml version="1.0" encoding="utf-8"?>
<externalLink xmlns="http://schemas.openxmlformats.org/spreadsheetml/2006/main">
  <externalBook xmlns:r="http://schemas.openxmlformats.org/officeDocument/2006/relationships" r:id="rId1">
    <sheetNames>
      <sheetName val="附表4砼、沙浆费计算表"/>
      <sheetName val="表6不可预见费南 "/>
      <sheetName val="表5-2工程监理费南"/>
      <sheetName val="表3工程施工费南 "/>
      <sheetName val="表5-3竣工验收费南 "/>
      <sheetName val="表5其他费用南 "/>
      <sheetName val="表5-1前期工作费南"/>
      <sheetName val="表4设备费南 "/>
      <sheetName val="表5-4业主管理费南 "/>
      <sheetName val="表2预算总表 南"/>
      <sheetName val="附表2"/>
      <sheetName val="费率"/>
      <sheetName val="附表3"/>
      <sheetName val="附表3机械台班计算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eqpmad2"/>
      <sheetName val="附表2材料价格表"/>
      <sheetName val="附表3机械台班"/>
      <sheetName val="附表5直接工程费单价表"/>
      <sheetName val="表2总预算"/>
      <sheetName val="表3工程施工费表"/>
      <sheetName val="表4设备购置费"/>
      <sheetName val="定额"/>
      <sheetName val="材料表"/>
      <sheetName val="砼、砂浆半成品预算表"/>
      <sheetName val="附表2"/>
      <sheetName val="附表4单价"/>
      <sheetName val="二级代码"/>
      <sheetName val="5"/>
      <sheetName val="SW-TEO"/>
      <sheetName val="数据字典"/>
      <sheetName val="表6不可预见费南 "/>
      <sheetName val="表5-2工程监理费南"/>
      <sheetName val="表3工程施工费南 "/>
      <sheetName val="表5-3竣工验收费南 "/>
      <sheetName val="表5其他费用南 "/>
      <sheetName val="表5-1前期工作费南"/>
      <sheetName val="表4设备费南 "/>
      <sheetName val="表5-4业主管理费南 "/>
      <sheetName val="表2预算总表 南"/>
      <sheetName val="附表4直接工程费单价表"/>
      <sheetName val="附表2材料价格计算表"/>
      <sheetName val="表3工程施工费用"/>
      <sheetName val="新定额单价"/>
      <sheetName val="单位估价"/>
      <sheetName val="Open"/>
      <sheetName val="#REF!"/>
      <sheetName val="附表2 材料价格表"/>
      <sheetName val="单价计算"/>
      <sheetName val="表1"/>
      <sheetName val="DE"/>
      <sheetName val="Main"/>
      <sheetName val="Sheet2"/>
      <sheetName val="汇总到屯"/>
      <sheetName val="汇总表"/>
      <sheetName val="次要材料预算价格"/>
      <sheetName val="费率"/>
      <sheetName val="附表3"/>
      <sheetName val="SMCTSSP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30.xml><?xml version="1.0" encoding="utf-8"?>
<externalLink xmlns="http://schemas.openxmlformats.org/spreadsheetml/2006/main">
  <externalBook xmlns:r="http://schemas.openxmlformats.org/officeDocument/2006/relationships" r:id="rId1">
    <sheetNames>
      <sheetName val="分年度预算"/>
      <sheetName val="总预算"/>
      <sheetName val="工程施工费"/>
      <sheetName val="直接费"/>
      <sheetName val="人工费 "/>
      <sheetName val="材料费"/>
      <sheetName val="机械费"/>
      <sheetName val="其他直接费"/>
      <sheetName val="现场经费"/>
      <sheetName val="间接费"/>
      <sheetName val="设备购置"/>
      <sheetName val="前期"/>
      <sheetName val="竣工"/>
      <sheetName val="业主"/>
      <sheetName val="不可预见费"/>
      <sheetName val="季度分月用款表"/>
      <sheetName val="Sheet1"/>
      <sheetName val="人工单价计算表"/>
      <sheetName val="单价分析表（1）"/>
      <sheetName val="单价分析表(2)"/>
      <sheetName val="单价分析表 (3)"/>
      <sheetName val="工程量表"/>
      <sheetName val="预算材料价格表"/>
      <sheetName val="工程施工费 "/>
      <sheetName val="材料价格表"/>
      <sheetName val="机械定额"/>
      <sheetName val="二级代码"/>
      <sheetName val="费率"/>
      <sheetName val="附表3"/>
      <sheetName val="材料调差"/>
      <sheetName val="人工单价"/>
      <sheetName val="附表2人工预算单价"/>
      <sheetName val="单位估价"/>
      <sheetName val="表4-1设备费"/>
      <sheetName val="国民经济效益费用流量表（全部投资）"/>
      <sheetName val="附表4砼、沙浆费计算表"/>
      <sheetName val="附表2"/>
      <sheetName val="新定额单价"/>
      <sheetName val="单价宁夏新"/>
      <sheetName val="表6不可预见费南 "/>
      <sheetName val="表5-2工程监理费南"/>
      <sheetName val="表3工程施工费南 "/>
      <sheetName val="表5-3竣工验收费南 "/>
      <sheetName val="表5其他费用南 "/>
      <sheetName val="表5-1前期工作费南"/>
      <sheetName val="表4设备费南 "/>
      <sheetName val="表5-4业主管理费南 "/>
      <sheetName val="表2预算总表 南"/>
      <sheetName val="单价表"/>
      <sheetName val="附表3机械台班计算表"/>
      <sheetName val="附表2材料价格计算表"/>
      <sheetName val="附表1人工单价计算表"/>
      <sheetName val="附表7砂浆配比表"/>
      <sheetName val="附表1人工单价表"/>
      <sheetName val="表5-3竣工"/>
      <sheetName val="单价分析表"/>
      <sheetName val="人工工资"/>
      <sheetName val="基础参数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31.xml><?xml version="1.0" encoding="utf-8"?>
<externalLink xmlns="http://schemas.openxmlformats.org/spreadsheetml/2006/main">
  <externalBook xmlns:r="http://schemas.openxmlformats.org/officeDocument/2006/relationships" r:id="rId1">
    <sheetNames>
      <sheetName val="单位估价"/>
      <sheetName val="表6不可预见费南 "/>
      <sheetName val="表5-2工程监理费南"/>
      <sheetName val="表3工程施工费南 "/>
      <sheetName val="表5-3竣工验收费南 "/>
      <sheetName val="表5其他费用南 "/>
      <sheetName val="表5-1前期工作费南"/>
      <sheetName val="表4设备费南 "/>
      <sheetName val="表5-4业主管理费南 "/>
      <sheetName val="表2预算总表 南"/>
      <sheetName val="附表4砼、沙浆费计算表"/>
      <sheetName val="二级代码"/>
      <sheetName val="附表4单价"/>
      <sheetName val="材料调差"/>
      <sheetName val="人工单价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2.xml><?xml version="1.0" encoding="utf-8"?>
<externalLink xmlns="http://schemas.openxmlformats.org/spreadsheetml/2006/main">
  <externalBook xmlns:r="http://schemas.openxmlformats.org/officeDocument/2006/relationships" r:id="rId1">
    <sheetNames>
      <sheetName val="1"/>
      <sheetName val="2"/>
      <sheetName val="3"/>
      <sheetName val="3-1"/>
      <sheetName val="3-1-1"/>
      <sheetName val="3-2"/>
      <sheetName val="4"/>
      <sheetName val="5"/>
      <sheetName val="5-1"/>
      <sheetName val="5-2"/>
      <sheetName val="5-3"/>
      <sheetName val="5-4"/>
      <sheetName val="6"/>
      <sheetName val="7"/>
      <sheetName val="附表1"/>
      <sheetName val="附表2"/>
      <sheetName val="附表2-1"/>
      <sheetName val="附表3"/>
      <sheetName val="砼4"/>
      <sheetName val="附表5"/>
      <sheetName val="附表6"/>
      <sheetName val="附表7风水电"/>
      <sheetName val="单价合计"/>
      <sheetName val="附表8(工程量汇总)"/>
      <sheetName val="单位估价"/>
      <sheetName val="Sheet1"/>
      <sheetName val="二级代码"/>
      <sheetName val="附表4砼、沙浆费计算表"/>
      <sheetName val="表5-2工程监理费南"/>
      <sheetName val="附表2 材料价格表"/>
      <sheetName val="附表4直接工程费单价表"/>
      <sheetName val="材料调差"/>
      <sheetName val="人工单价"/>
      <sheetName val="表4-1设备费"/>
      <sheetName val="砼、砂浆半成品预算表"/>
      <sheetName val="设备"/>
      <sheetName val="单价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3.xml><?xml version="1.0" encoding="utf-8"?>
<externalLink xmlns="http://schemas.openxmlformats.org/spreadsheetml/2006/main">
  <externalBook xmlns:r="http://schemas.openxmlformats.org/officeDocument/2006/relationships" r:id="rId1">
    <sheetNames>
      <sheetName val="汇总"/>
      <sheetName val="分表"/>
      <sheetName val="设备"/>
      <sheetName val="工程单价"/>
      <sheetName val="主材价表"/>
      <sheetName val="砼配比"/>
      <sheetName val="材料用量"/>
      <sheetName val="材价汇"/>
      <sheetName val="机械"/>
      <sheetName val="单价汇总"/>
      <sheetName val="机械汇总"/>
      <sheetName val="人工单价"/>
      <sheetName val="机总"/>
      <sheetName val="报价汇总表"/>
      <sheetName val="分项工程量报价表"/>
      <sheetName val="主要材料用量表"/>
      <sheetName val="主要材料预算表"/>
      <sheetName val="单价汇总表"/>
      <sheetName val="附表2"/>
      <sheetName val="单位估价"/>
      <sheetName val="附表2人工预算单价"/>
      <sheetName val="附表4单价"/>
      <sheetName val="砼、砂浆半成品预算表"/>
      <sheetName val="二级代码"/>
      <sheetName val="材料预算价"/>
      <sheetName val="台班单价"/>
      <sheetName val="配合比"/>
      <sheetName val="附表2-1主材"/>
      <sheetName val="eqpmad2"/>
      <sheetName val="国民经济效益费用流量表（全部投资）"/>
      <sheetName val="附表1人工单价表"/>
      <sheetName val="附表4砼、沙浆费计算表"/>
      <sheetName val="新定额单价"/>
      <sheetName val="附表4工程费单价表"/>
      <sheetName val="附表2 材料价格表"/>
      <sheetName val="附表 2－1 材料价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34.xml><?xml version="1.0" encoding="utf-8"?>
<externalLink xmlns="http://schemas.openxmlformats.org/spreadsheetml/2006/main">
  <externalBook xmlns:r="http://schemas.openxmlformats.org/officeDocument/2006/relationships" r:id="rId1">
    <sheetNames>
      <sheetName val="总报价表"/>
      <sheetName val="编制说明"/>
      <sheetName val="工程项目总价表"/>
      <sheetName val="分组工程量清单报价表"/>
      <sheetName val="单价汇总表"/>
      <sheetName val="计日工项目计价表"/>
      <sheetName val="工程单价费（税）率汇总表"/>
      <sheetName val="电、风、水、砂石基础单价"/>
      <sheetName val="新定额单价"/>
      <sheetName val="材料预算价"/>
      <sheetName val="工程单价计算表"/>
      <sheetName val="Sheet1"/>
      <sheetName val="Sheet7"/>
      <sheetName val="工程量汇总表"/>
      <sheetName val="配合比"/>
      <sheetName val="台时"/>
      <sheetName val="独立费用"/>
      <sheetName val="监理费用"/>
      <sheetName val="设计费"/>
      <sheetName val="材料分析"/>
      <sheetName val="取费表"/>
      <sheetName val="基础材料表"/>
      <sheetName val="管材价格"/>
      <sheetName val="附表2"/>
      <sheetName val="申请表（正面）"/>
      <sheetName val="机械定额"/>
      <sheetName val="单位估价"/>
      <sheetName val="单价表"/>
      <sheetName val="附表2-1主材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</sheetDataSet>
  </externalBook>
</externalLink>
</file>

<file path=xl/externalLinks/externalLink135.xml><?xml version="1.0" encoding="utf-8"?>
<externalLink xmlns="http://schemas.openxmlformats.org/spreadsheetml/2006/main">
  <externalBook xmlns:r="http://schemas.openxmlformats.org/officeDocument/2006/relationships" r:id="rId1">
    <sheetNames>
      <sheetName val="附表2"/>
      <sheetName val="砼、砂浆半成品预算表"/>
      <sheetName val="附表4砼、沙浆费计算表"/>
      <sheetName val="直接工程费"/>
      <sheetName val="机械定额"/>
      <sheetName val="单价分析"/>
      <sheetName val="单位估价"/>
      <sheetName val="附表2-1主材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6.xml><?xml version="1.0" encoding="utf-8"?>
<externalLink xmlns="http://schemas.openxmlformats.org/spreadsheetml/2006/main">
  <externalBook xmlns:r="http://schemas.openxmlformats.org/officeDocument/2006/relationships" r:id="rId1">
    <sheetNames>
      <sheetName val="汇总"/>
      <sheetName val="分表"/>
      <sheetName val="设备"/>
      <sheetName val="工程单价"/>
      <sheetName val="主材价表"/>
      <sheetName val="砼配比"/>
      <sheetName val="材料用量"/>
      <sheetName val="材价汇"/>
      <sheetName val="机械"/>
      <sheetName val="单价汇总"/>
      <sheetName val="机械汇总"/>
      <sheetName val="人工单价"/>
      <sheetName val="机总"/>
      <sheetName val="报价汇总表"/>
      <sheetName val="分项工程量报价表"/>
      <sheetName val="主要材料用量表"/>
      <sheetName val="主要材料预算表"/>
      <sheetName val="单价汇总表"/>
      <sheetName val="直接工程费"/>
      <sheetName val="机械定额"/>
      <sheetName val="附表3机械"/>
      <sheetName val="单价分析表"/>
      <sheetName val="人工工资"/>
      <sheetName val="基础参数值"/>
      <sheetName val="单价宁夏新"/>
      <sheetName val="定额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37.xml><?xml version="1.0" encoding="utf-8"?>
<externalLink xmlns="http://schemas.openxmlformats.org/spreadsheetml/2006/main">
  <externalBook xmlns:r="http://schemas.openxmlformats.org/officeDocument/2006/relationships" r:id="rId1">
    <sheetNames>
      <sheetName val="设备"/>
      <sheetName val="二级代码"/>
      <sheetName val="附表4直接工程费单价表"/>
      <sheetName val="附表 3台班单价"/>
      <sheetName val="附表 2－1 材料价格"/>
      <sheetName val="附表 1 人工单价"/>
      <sheetName val="单价分析表"/>
      <sheetName val="人工工资"/>
      <sheetName val="基础参数值"/>
      <sheetName val="单价宁夏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138.xml><?xml version="1.0" encoding="utf-8"?>
<externalLink xmlns="http://schemas.openxmlformats.org/spreadsheetml/2006/main">
  <externalBook xmlns:r="http://schemas.openxmlformats.org/officeDocument/2006/relationships" r:id="rId1">
    <sheetNames>
      <sheetName val="降价系数"/>
      <sheetName val="道总"/>
      <sheetName val="道路 (2)"/>
      <sheetName val="总表"/>
      <sheetName val="分表"/>
      <sheetName val="结算潘"/>
      <sheetName val="结算封面潘"/>
      <sheetName val="材料预算价"/>
      <sheetName val="结算李"/>
      <sheetName val="结算封面李"/>
      <sheetName val="单价表总"/>
      <sheetName val="6"/>
      <sheetName val="7"/>
      <sheetName val="8"/>
      <sheetName val="总统"/>
      <sheetName val="配合比"/>
      <sheetName val="单价汇总"/>
      <sheetName val="沙化土地治理工程总概算表"/>
      <sheetName val="分部工程概算表"/>
      <sheetName val="独立费用概算表"/>
      <sheetName val="材料预算价格汇总表"/>
      <sheetName val="进入工程单价材料计算价格表(材料库)"/>
      <sheetName val="附表2人工预算单价"/>
      <sheetName val="Sheet1"/>
      <sheetName val="单价表"/>
      <sheetName val="单位估价"/>
      <sheetName val="二级代码"/>
      <sheetName val="表3工程施工费表"/>
      <sheetName val="附表4直接工程费单价表"/>
      <sheetName val="表5-3竣工"/>
      <sheetName val="单价宁夏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39.xml><?xml version="1.0" encoding="utf-8"?>
<externalLink xmlns="http://schemas.openxmlformats.org/spreadsheetml/2006/main">
  <externalBook xmlns:r="http://schemas.openxmlformats.org/officeDocument/2006/relationships" r:id="rId1">
    <sheetNames>
      <sheetName val="总概算表 "/>
      <sheetName val="分部工程概算"/>
      <sheetName val="水土保持补偿费"/>
      <sheetName val="监理费计算表"/>
      <sheetName val="单价汇总"/>
      <sheetName val="材料价格"/>
      <sheetName val="机"/>
      <sheetName val="单价"/>
      <sheetName val="附表2人工预算单价"/>
      <sheetName val="附表 2－1 材料价格"/>
      <sheetName val="附表1人工单价表"/>
      <sheetName val="表5-3竣工"/>
      <sheetName val="附表4砼、沙浆费计算表"/>
      <sheetName val="单价分析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附表2"/>
      <sheetName val="附表4单价"/>
      <sheetName val="eqpmad2"/>
      <sheetName val="SW-TEO"/>
      <sheetName val="附表4直接工程费单价表"/>
      <sheetName val="数据字典"/>
      <sheetName val="附表2材料价格表"/>
      <sheetName val="附表3机械台班"/>
      <sheetName val="附表5直接工程费单价表"/>
      <sheetName val="表3工程施工费表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0.xml><?xml version="1.0" encoding="utf-8"?>
<externalLink xmlns="http://schemas.openxmlformats.org/spreadsheetml/2006/main">
  <externalBook xmlns:r="http://schemas.openxmlformats.org/officeDocument/2006/relationships" r:id="rId1">
    <sheetNames>
      <sheetName val="表1总预算"/>
      <sheetName val="表2预算"/>
      <sheetName val="表3-1施工费渠灌"/>
      <sheetName val="3-2施工费滴灌"/>
      <sheetName val="表4-1设备渠灌"/>
      <sheetName val="表4-2设备滴灌"/>
      <sheetName val="表5其他 "/>
      <sheetName val="表5-1前期"/>
      <sheetName val="表5-2监理"/>
      <sheetName val="表5-3验收 "/>
      <sheetName val="表5-4业主 "/>
      <sheetName val="表6不可预见"/>
      <sheetName val="表7分月用款计划南 "/>
      <sheetName val="附表1 人"/>
      <sheetName val="附表2 材"/>
      <sheetName val="附表2-1主材"/>
      <sheetName val="附表3机"/>
      <sheetName val="附表3-1补机"/>
      <sheetName val="附表4单价"/>
      <sheetName val="附表5风水电"/>
      <sheetName val="附表6砼、沙浆费计算表"/>
      <sheetName val="机械定额"/>
      <sheetName val="材料费"/>
      <sheetName val="二级代码"/>
      <sheetName val="附表2人工预算单价"/>
      <sheetName val="新定额单价"/>
      <sheetName val="国民经济效益费用流量表（全部投资）"/>
      <sheetName val="附表1人工单价表"/>
      <sheetName val="附表4砼、沙浆费计算表"/>
      <sheetName val="附4工程费单价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</sheetDataSet>
  </externalBook>
</externalLink>
</file>

<file path=xl/externalLinks/externalLink141.xml><?xml version="1.0" encoding="utf-8"?>
<externalLink xmlns="http://schemas.openxmlformats.org/spreadsheetml/2006/main">
  <externalBook xmlns:r="http://schemas.openxmlformats.org/officeDocument/2006/relationships" r:id="rId1">
    <sheetNames>
      <sheetName val="总概算核"/>
      <sheetName val="建筑概算"/>
      <sheetName val="建筑概算 (3)"/>
      <sheetName val="其他费用"/>
      <sheetName val="单价汇总"/>
      <sheetName val="材料单价汇总"/>
      <sheetName val="台时费汇总"/>
      <sheetName val="PVC-U"/>
      <sheetName val="单价分析"/>
      <sheetName val="人工、费率表"/>
      <sheetName val="混凝土沙浆单价"/>
      <sheetName val="资金分配"/>
      <sheetName val="建筑概算 (2)"/>
      <sheetName val="附表2人工预算单价"/>
      <sheetName val="表6不可预见费南 "/>
      <sheetName val="表5-2工程监理费南"/>
      <sheetName val="表3工程施工费南 "/>
      <sheetName val="表5-3竣工验收费南 "/>
      <sheetName val="表5其他费用南 "/>
      <sheetName val="表5-1前期工作费南"/>
      <sheetName val="表4设备费南 "/>
      <sheetName val="表5-4业主管理费南 "/>
      <sheetName val="表2预算总表 南"/>
      <sheetName val="基础参数值"/>
      <sheetName val="人工工资"/>
      <sheetName val="附4工程费单价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142.xml><?xml version="1.0" encoding="utf-8"?>
<externalLink xmlns="http://schemas.openxmlformats.org/spreadsheetml/2006/main">
  <externalBook xmlns:r="http://schemas.openxmlformats.org/officeDocument/2006/relationships" r:id="rId1">
    <sheetNames>
      <sheetName val="表1总预算及分年度预算表"/>
      <sheetName val="表2总预算"/>
      <sheetName val="Sheet1"/>
      <sheetName val="表3工程施工费表"/>
      <sheetName val="表3-1直接费"/>
      <sheetName val="表3-1-1直接工程费"/>
      <sheetName val="附8工程量表"/>
      <sheetName val="表3-2间接费"/>
      <sheetName val="表4设备购置费"/>
      <sheetName val="表5其他费用"/>
      <sheetName val="表5-1前期工作费"/>
      <sheetName val="表5-2监理费"/>
      <sheetName val="表5-3竣工"/>
      <sheetName val="表5-4拆迁"/>
      <sheetName val="表5-5业主"/>
      <sheetName val="表6不可预见"/>
      <sheetName val="表7季度分月用款计划表"/>
      <sheetName val="附表1人工单价表"/>
      <sheetName val="附表2材料价格表"/>
      <sheetName val="附表3机械台班"/>
      <sheetName val="附表4砼、沙浆费计算表"/>
      <sheetName val="附表5直接工程费单价表"/>
      <sheetName val="附表6主要材料用量汇总表"/>
      <sheetName val="单价表"/>
      <sheetName val="单价分析表"/>
      <sheetName val="人工工资"/>
      <sheetName val="基础参数值"/>
      <sheetName val="附表2-1主材"/>
      <sheetName val="费率"/>
      <sheetName val="附表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43.xml><?xml version="1.0" encoding="utf-8"?>
<externalLink xmlns="http://schemas.openxmlformats.org/spreadsheetml/2006/main">
  <externalBook xmlns:r="http://schemas.openxmlformats.org/officeDocument/2006/relationships" r:id="rId1">
    <sheetNames>
      <sheetName val="表1总预算及分年度预算表"/>
      <sheetName val="表2总预算"/>
      <sheetName val="表3工程施工费表"/>
      <sheetName val="表3-1直接费"/>
      <sheetName val="表7季度分月用款计划表"/>
      <sheetName val="附表2材料价格表"/>
      <sheetName val="附表3机械台班"/>
      <sheetName val="表3-2间接费"/>
      <sheetName val="表3-1-1直接工程费"/>
      <sheetName val="附表5直接工程费单价表"/>
      <sheetName val="附8工程量表"/>
      <sheetName val="表4设备购置费"/>
      <sheetName val="表5其他费用"/>
      <sheetName val="表5-1前期工作费"/>
      <sheetName val="表5-2监理费"/>
      <sheetName val="表5-3竣工"/>
      <sheetName val="表5-4拆迁"/>
      <sheetName val="表5-5业主"/>
      <sheetName val="表6不可预见"/>
      <sheetName val="附表1人工单价表"/>
      <sheetName val="附表4砼、沙浆费计算表"/>
      <sheetName val="附表7主要材料用量汇总表"/>
      <sheetName val="单价表"/>
      <sheetName val="费率"/>
      <sheetName val="附表3"/>
      <sheetName val="新定额单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44.xml><?xml version="1.0" encoding="utf-8"?>
<externalLink xmlns="http://schemas.openxmlformats.org/spreadsheetml/2006/main">
  <externalBook xmlns:r="http://schemas.openxmlformats.org/officeDocument/2006/relationships" r:id="rId1">
    <sheetNames>
      <sheetName val="4.2报价汇总表"/>
      <sheetName val="4.3工程量清单"/>
      <sheetName val="5.6单价分析表"/>
      <sheetName val="5.1人工费计算表"/>
      <sheetName val="5.2主要材料预算单价"/>
      <sheetName val="5.3砂浆配合比表"/>
      <sheetName val="5.4施工机械台班费"/>
      <sheetName val="砼、砂浆半成品预算表"/>
      <sheetName val="5.5单价汇总表"/>
      <sheetName val="5.7总价工程"/>
      <sheetName val="5.8分组工程组成表"/>
      <sheetName val="材料预算表"/>
      <sheetName val="机械台班费计算表"/>
      <sheetName val="5.13资金流"/>
      <sheetName val="降价系数"/>
      <sheetName val="工程量汇总"/>
      <sheetName val="王单价"/>
      <sheetName val="临时工程单价汇总表"/>
      <sheetName val="取费"/>
      <sheetName val="土建单价测试表"/>
      <sheetName val="综合单价测试表"/>
      <sheetName val="主材定价"/>
      <sheetName val="风水电价"/>
      <sheetName val="SW-TEO"/>
      <sheetName val="附表4直接工程费单价表"/>
      <sheetName val="附表2材料价格计算表"/>
      <sheetName val="表3工程施工费用"/>
      <sheetName val="附表2人工预算单价"/>
      <sheetName val="材料调差"/>
      <sheetName val="人工单价"/>
      <sheetName val="附表4砼、沙浆费计算表"/>
      <sheetName val="eqpmad2"/>
      <sheetName val="单位估价"/>
      <sheetName val="前期"/>
      <sheetName val="业主"/>
      <sheetName val="附表4工程费单价表"/>
      <sheetName val="附表2 材料价格表"/>
      <sheetName val="单价表"/>
      <sheetName val="材料费"/>
      <sheetName val="定额"/>
      <sheetName val="机械定额"/>
      <sheetName val="设备"/>
      <sheetName val="数据字典"/>
      <sheetName val="机械汇总"/>
      <sheetName val="材价汇"/>
      <sheetName val="表2预算汇总表"/>
      <sheetName val="表3-1直接费预算表达式1"/>
      <sheetName val="汇总"/>
      <sheetName val="表3-8"/>
      <sheetName val="直接工程费"/>
      <sheetName val="#REF"/>
      <sheetName val="新定额单价"/>
      <sheetName val="二级代码"/>
      <sheetName val="G.1R-Shou COP Gf"/>
      <sheetName val="Toolbox"/>
      <sheetName val="表6不可预见费南 "/>
      <sheetName val="表5-2工程监理费南"/>
      <sheetName val="表3工程施工费南 "/>
      <sheetName val="表5-3竣工验收费南 "/>
      <sheetName val="表5其他费用南 "/>
      <sheetName val="表5-1前期工作费南"/>
      <sheetName val="表4设备费南 "/>
      <sheetName val="表5-4业主管理费南 "/>
      <sheetName val="表2预算总表 南"/>
      <sheetName val="表4-1设备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145.xml><?xml version="1.0" encoding="utf-8"?>
<externalLink xmlns="http://schemas.openxmlformats.org/spreadsheetml/2006/main">
  <externalBook xmlns:r="http://schemas.openxmlformats.org/officeDocument/2006/relationships" r:id="rId1">
    <sheetNames>
      <sheetName val="建设内容汇总表"/>
      <sheetName val="区域分布汇总表"/>
      <sheetName val="贷款资金提取表"/>
      <sheetName val="投资估算汇总表"/>
      <sheetName val="贷款使用类别汇总表"/>
      <sheetName val="各单位贷款资金分配表"/>
      <sheetName val="土建采购分包"/>
      <sheetName val="设备及材料分包"/>
      <sheetName val="咨询服务及培训计划"/>
      <sheetName val="成本表"/>
      <sheetName val="农垦成本表"/>
      <sheetName val="红寺堡成本表"/>
      <sheetName val="同心成本表"/>
      <sheetName val="盐池成本表"/>
      <sheetName val="损益表"/>
      <sheetName val="农垦损益表"/>
      <sheetName val="红寺堡损益表"/>
      <sheetName val="同心损益表"/>
      <sheetName val="盐池损益表"/>
      <sheetName val="现金流量表"/>
      <sheetName val="资金运用表"/>
      <sheetName val="投资表"/>
      <sheetName val="表5-2监理费"/>
      <sheetName val="附表1人工单价表"/>
      <sheetName val="表5-3竣工"/>
      <sheetName val="表3工程施工费表"/>
      <sheetName val="新定额单价"/>
      <sheetName val="单位估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46.xml><?xml version="1.0" encoding="utf-8"?>
<externalLink xmlns="http://schemas.openxmlformats.org/spreadsheetml/2006/main">
  <externalBook xmlns:r="http://schemas.openxmlformats.org/officeDocument/2006/relationships" r:id="rId1">
    <sheetNames>
      <sheetName val="数据字典"/>
      <sheetName val="#REF"/>
      <sheetName val="附表1人工单价表"/>
      <sheetName val="表5-3竣工"/>
      <sheetName val="新定额单价"/>
      <sheetName val="单位估价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147.xml><?xml version="1.0" encoding="utf-8"?>
<externalLink xmlns="http://schemas.openxmlformats.org/spreadsheetml/2006/main">
  <externalBook xmlns:r="http://schemas.openxmlformats.org/officeDocument/2006/relationships" r:id="rId1">
    <sheetNames>
      <sheetName val="附表2-1主要材料价格计算表"/>
      <sheetName val="表1总预算及分年南"/>
      <sheetName val="表2预算总表 南"/>
      <sheetName val="表3工程施工费南 "/>
      <sheetName val="表3-1直接费南"/>
      <sheetName val="表3-1-1直接工程费南"/>
      <sheetName val="表3-2间接费南"/>
      <sheetName val="表4设备费南 "/>
      <sheetName val="表5其他费用南 "/>
      <sheetName val="表5-1前期工作费南"/>
      <sheetName val="表5-2工程监理费南"/>
      <sheetName val="表5-3竣工验收费南 "/>
      <sheetName val="表5-4业主管理费南 "/>
      <sheetName val="表6不可预见费南 "/>
      <sheetName val="表7分月用款计划南 "/>
      <sheetName val="附表1 人工单价表"/>
      <sheetName val="附表2 材料价格表"/>
      <sheetName val="附表3机械台班使用费"/>
      <sheetName val="附表3-1补充机械定额"/>
      <sheetName val="附表4风、水、电计算表"/>
      <sheetName val="附表4直接工程费单价表"/>
      <sheetName val="附表5砼、沙浆费计算表"/>
      <sheetName val="工程量"/>
      <sheetName val="单价表"/>
      <sheetName val="表3工程施工费表"/>
      <sheetName val="附表1人工单价表"/>
      <sheetName val="表5-3竣工"/>
      <sheetName val="定额"/>
      <sheetName val="单位估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48.xml><?xml version="1.0" encoding="utf-8"?>
<externalLink xmlns="http://schemas.openxmlformats.org/spreadsheetml/2006/main">
  <externalBook xmlns:r="http://schemas.openxmlformats.org/officeDocument/2006/relationships" r:id="rId1">
    <sheetNames>
      <sheetName val="总概算"/>
      <sheetName val="概算表"/>
      <sheetName val="机电设备"/>
      <sheetName val="管材及建筑物数量统计表"/>
      <sheetName val="PVC管材价格"/>
      <sheetName val="单价汇总表"/>
      <sheetName val="材料预算价"/>
      <sheetName val="配合比"/>
      <sheetName val="台时"/>
      <sheetName val="新定额单价"/>
      <sheetName val="建筑工程概算表"/>
      <sheetName val="基础材料表"/>
      <sheetName val="独立费用"/>
      <sheetName val="监理费用"/>
      <sheetName val="设计费"/>
      <sheetName val="工程量汇总表7"/>
      <sheetName val="材料分析"/>
      <sheetName val="技术咨询费（审）"/>
      <sheetName val="监理费（审）"/>
      <sheetName val="金属结构"/>
      <sheetName val="附表4砼、沙浆费计算表"/>
      <sheetName val="表3工程施工费表"/>
      <sheetName val="定额"/>
      <sheetName val="数据字典"/>
      <sheetName val="单位估价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149.xml><?xml version="1.0" encoding="utf-8"?>
<externalLink xmlns="http://schemas.openxmlformats.org/spreadsheetml/2006/main">
  <externalBook xmlns:r="http://schemas.openxmlformats.org/officeDocument/2006/relationships" r:id="rId1">
    <sheetNames>
      <sheetName val="总概算表"/>
      <sheetName val="建筑工程概算表"/>
      <sheetName val="建筑工程估算表"/>
      <sheetName val="机电设备及安装工程  (2)"/>
      <sheetName val="机电设备及安装工程 "/>
      <sheetName val="金属结构设备及安装工程"/>
      <sheetName val="临时工程概算表"/>
      <sheetName val="独立费用计算表"/>
      <sheetName val="征地估算表"/>
      <sheetName val="单价汇总表"/>
      <sheetName val="环境保护费"/>
      <sheetName val="工程单价计算分析表"/>
      <sheetName val="材料预算价"/>
      <sheetName val="配合比"/>
      <sheetName val="台时"/>
      <sheetName val="新定额单价 (2)"/>
      <sheetName val="取费表 (2)"/>
      <sheetName val="工程占地补偿费"/>
      <sheetName val="Sheet1"/>
      <sheetName val="工程单价计算表"/>
      <sheetName val="Sheet7"/>
      <sheetName val="工程量汇总表"/>
      <sheetName val="新定额单价"/>
      <sheetName val="独立费用"/>
      <sheetName val="监理费用"/>
      <sheetName val="设计费"/>
      <sheetName val="材料分析"/>
      <sheetName val="取费表"/>
      <sheetName val="Sheet2"/>
      <sheetName val="基础材料表"/>
      <sheetName val="Sheet3"/>
      <sheetName val="管材价格"/>
      <sheetName val="国民经济效益费用流量表（全部投资）"/>
      <sheetName val="单价分析表"/>
      <sheetName val="人工工资"/>
      <sheetName val="基础参数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POWER ASSUMPTIONS"/>
      <sheetName val="附表2"/>
      <sheetName val="数据字典"/>
      <sheetName val="附表2材料价格表"/>
      <sheetName val="附表3机械台班"/>
      <sheetName val="eqpmad2"/>
      <sheetName val="附表5直接工程费单价表"/>
      <sheetName val="表3工程施工费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50.xml><?xml version="1.0" encoding="utf-8"?>
<externalLink xmlns="http://schemas.openxmlformats.org/spreadsheetml/2006/main">
  <externalBook xmlns:r="http://schemas.openxmlformats.org/officeDocument/2006/relationships" r:id="rId1">
    <sheetNames>
      <sheetName val="1"/>
      <sheetName val="2"/>
      <sheetName val="3"/>
      <sheetName val="3-1"/>
      <sheetName val="3-1-1"/>
      <sheetName val="3-2"/>
      <sheetName val="4"/>
      <sheetName val="5"/>
      <sheetName val="5-1"/>
      <sheetName val="5-2"/>
      <sheetName val="5-3"/>
      <sheetName val="5-4"/>
      <sheetName val="6"/>
      <sheetName val="7"/>
      <sheetName val="附表1"/>
      <sheetName val="附表2"/>
      <sheetName val="附表2-1"/>
      <sheetName val="附表3"/>
      <sheetName val="砼4"/>
      <sheetName val="附表5"/>
      <sheetName val="附表6"/>
      <sheetName val="附表7风水电"/>
      <sheetName val="单价合计"/>
      <sheetName val="附表8(工程量汇总)"/>
      <sheetName val="单位估价"/>
      <sheetName val="Sheet1"/>
      <sheetName val="定额"/>
      <sheetName val="国民经济效益费用流量表（全部投资）"/>
      <sheetName val="单价分析表"/>
      <sheetName val="人工工资"/>
      <sheetName val="基础参数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51.xml><?xml version="1.0" encoding="utf-8"?>
<externalLink xmlns="http://schemas.openxmlformats.org/spreadsheetml/2006/main">
  <externalBook xmlns:r="http://schemas.openxmlformats.org/officeDocument/2006/relationships" r:id="rId1">
    <sheetNames>
      <sheetName val="附表2-1主要材料价格计算表"/>
      <sheetName val="表1总预算及分年南"/>
      <sheetName val="表2预算总表 南"/>
      <sheetName val="表3工程施工费南 "/>
      <sheetName val="表3-1直接费南"/>
      <sheetName val="表3-1-1直接工程费南"/>
      <sheetName val="表3-2间接费南"/>
      <sheetName val="表4设备费南 "/>
      <sheetName val="表5其他费用南 "/>
      <sheetName val="表5-1前期工作费南"/>
      <sheetName val="表5-2工程监理费南"/>
      <sheetName val="表5-3竣工验收费南 "/>
      <sheetName val="表5-4业主管理费南 "/>
      <sheetName val="表6不可预见费南 "/>
      <sheetName val="表7分月用款计划南 "/>
      <sheetName val="附表1 人工单价表"/>
      <sheetName val="附表2 材料价格表"/>
      <sheetName val="附表3机械台班使用费"/>
      <sheetName val="附表3-1补充机械定额"/>
      <sheetName val="附表4风、水、电计算表"/>
      <sheetName val="附表4直接工程费单价表"/>
      <sheetName val="附表5砼、沙浆费计算表"/>
      <sheetName val="工程量"/>
      <sheetName val="附表4单价"/>
      <sheetName val="国民经济效益费用流量表（全部投资）"/>
      <sheetName val="单位估价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152.xml><?xml version="1.0" encoding="utf-8"?>
<externalLink xmlns="http://schemas.openxmlformats.org/spreadsheetml/2006/main">
  <externalBook xmlns:r="http://schemas.openxmlformats.org/officeDocument/2006/relationships" r:id="rId1">
    <sheetNames>
      <sheetName val="机械定额"/>
      <sheetName val="材料费"/>
      <sheetName val="附表1人工单价表"/>
      <sheetName val="表5-3竣工"/>
      <sheetName val="附表2-1主材"/>
      <sheetName val="附表3机械台班计算表"/>
      <sheetName val="附表7砂浆配比表"/>
      <sheetName val="附表6砼配比表"/>
      <sheetName val="附表4砼、沙浆费计算表"/>
      <sheetName val="二级代码"/>
      <sheetName val="#REF"/>
      <sheetName val="材料调差"/>
      <sheetName val="人工单价"/>
      <sheetName val="附表4单价"/>
      <sheetName val="5"/>
      <sheetName val="附表 2－1 材料价格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53.xml><?xml version="1.0" encoding="utf-8"?>
<externalLink xmlns="http://schemas.openxmlformats.org/spreadsheetml/2006/main">
  <externalBook xmlns:r="http://schemas.openxmlformats.org/officeDocument/2006/relationships" r:id="rId1">
    <sheetNames>
      <sheetName val="附表2"/>
      <sheetName val="附表4单价"/>
    </sheetNames>
    <sheetDataSet>
      <sheetData sheetId="0" refreshError="1"/>
      <sheetData sheetId="1" refreshError="1"/>
    </sheetDataSet>
  </externalBook>
</externalLink>
</file>

<file path=xl/externalLinks/externalLink154.xml><?xml version="1.0" encoding="utf-8"?>
<externalLink xmlns="http://schemas.openxmlformats.org/spreadsheetml/2006/main">
  <externalBook xmlns:r="http://schemas.openxmlformats.org/officeDocument/2006/relationships" r:id="rId1">
    <sheetNames>
      <sheetName val="附表2材料价格表"/>
      <sheetName val="附表3机械台班"/>
      <sheetName val="附表5直接工程费单价表"/>
      <sheetName val="表3工程施工费表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55.xml><?xml version="1.0" encoding="utf-8"?>
<externalLink xmlns="http://schemas.openxmlformats.org/spreadsheetml/2006/main">
  <externalBook xmlns:r="http://schemas.openxmlformats.org/officeDocument/2006/relationships" r:id="rId1">
    <sheetNames>
      <sheetName val="附表2"/>
      <sheetName val="附表4单价"/>
    </sheetNames>
    <sheetDataSet>
      <sheetData sheetId="0" refreshError="1"/>
      <sheetData sheetId="1" refreshError="1"/>
    </sheetDataSet>
  </externalBook>
</externalLink>
</file>

<file path=xl/externalLinks/externalLink156.xml><?xml version="1.0" encoding="utf-8"?>
<externalLink xmlns="http://schemas.openxmlformats.org/spreadsheetml/2006/main">
  <externalBook xmlns:r="http://schemas.openxmlformats.org/officeDocument/2006/relationships" r:id="rId1">
    <sheetNames>
      <sheetName val="5"/>
    </sheetNames>
    <sheetDataSet>
      <sheetData sheetId="0" refreshError="1"/>
    </sheetDataSet>
  </externalBook>
</externalLink>
</file>

<file path=xl/externalLinks/externalLink157.xml><?xml version="1.0" encoding="utf-8"?>
<externalLink xmlns="http://schemas.openxmlformats.org/spreadsheetml/2006/main">
  <externalBook xmlns:r="http://schemas.openxmlformats.org/officeDocument/2006/relationships" r:id="rId1">
    <sheetNames>
      <sheetName val="管材价格"/>
      <sheetName val="管材价格2"/>
      <sheetName val="机电及设备"/>
      <sheetName val="特性表"/>
      <sheetName val="投资和任务情况表"/>
      <sheetName val="效益表"/>
      <sheetName val="概算总表"/>
      <sheetName val="土地平整"/>
      <sheetName val="土壤改良"/>
      <sheetName val="其他"/>
      <sheetName val="科"/>
      <sheetName val="比例"/>
      <sheetName val="渠道"/>
      <sheetName val="单价汇总"/>
      <sheetName val="沟道"/>
      <sheetName val="暗管"/>
      <sheetName val="强排泵站"/>
      <sheetName val="滴灌工程"/>
      <sheetName val="机电设备"/>
      <sheetName val="路"/>
      <sheetName val="林"/>
      <sheetName val="测水桥"/>
      <sheetName val="斗农口"/>
      <sheetName val="生产桥"/>
      <sheetName val="涵"/>
      <sheetName val="节制闸"/>
      <sheetName val="跌水"/>
      <sheetName val="渡槽"/>
      <sheetName val="沟道建筑物"/>
      <sheetName val="人工工资"/>
      <sheetName val="1"/>
      <sheetName val="3"/>
      <sheetName val="4"/>
      <sheetName val="8"/>
      <sheetName val="10"/>
      <sheetName val="9"/>
      <sheetName val="11"/>
      <sheetName val="暗管单价"/>
      <sheetName val="配合比"/>
      <sheetName val="机械汇总"/>
      <sheetName val="材料预算价"/>
      <sheetName val="基础参数"/>
      <sheetName val="费率表"/>
      <sheetName val="设计费"/>
      <sheetName val="监理费"/>
      <sheetName val="建管"/>
      <sheetName val="Sheet1"/>
    </sheetNames>
    <definedNames>
      <definedName name="hj" sheetId="18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58.xml><?xml version="1.0" encoding="utf-8"?>
<externalLink xmlns="http://schemas.openxmlformats.org/spreadsheetml/2006/main">
  <externalBook xmlns:r="http://schemas.openxmlformats.org/officeDocument/2006/relationships" r:id="rId1">
    <sheetNames>
      <sheetName val="数据字典"/>
    </sheetNames>
    <sheetDataSet>
      <sheetData sheetId="0" refreshError="1"/>
    </sheetDataSet>
  </externalBook>
</externalLink>
</file>

<file path=xl/externalLinks/externalLink159.xml><?xml version="1.0" encoding="utf-8"?>
<externalLink xmlns="http://schemas.openxmlformats.org/spreadsheetml/2006/main">
  <externalBook xmlns:r="http://schemas.openxmlformats.org/officeDocument/2006/relationships" r:id="rId1">
    <sheetNames>
      <sheetName val="表1项目总预算及分年度预算表"/>
      <sheetName val="表2预算汇总表"/>
      <sheetName val="表3-1直接费预算表达式1"/>
      <sheetName val="表3-1-1直接工程费预算表"/>
      <sheetName val="表3工程施工费预算表"/>
      <sheetName val="单位工程量"/>
      <sheetName val="表3工程施工费用"/>
      <sheetName val="表3-1"/>
      <sheetName val="表3-2"/>
      <sheetName val="表3-3"/>
      <sheetName val="表3-4"/>
      <sheetName val="表3-5"/>
      <sheetName val="表3-6"/>
      <sheetName val="表3-7"/>
      <sheetName val="表3-8"/>
      <sheetName val="表3-9"/>
      <sheetName val="表3-10"/>
      <sheetName val="表4设备购置费"/>
      <sheetName val="表3-2间接费预算表"/>
      <sheetName val="表5其它费用预算表"/>
      <sheetName val="表5-1前期工作费"/>
      <sheetName val="表5-2工程监理费"/>
      <sheetName val="表5-3竣工验收费"/>
      <sheetName val="表5-4业主管理费"/>
      <sheetName val="表6不可预见费"/>
      <sheetName val="表7分月用款计划"/>
      <sheetName val="附表1人工单价计算表"/>
      <sheetName val="附表2材料价格计算表"/>
      <sheetName val="附表2-1主要材料价格计算表"/>
      <sheetName val="附表2-2风水电"/>
      <sheetName val="附表3机械台班计算表"/>
      <sheetName val="附表3-1补充机械台班"/>
      <sheetName val="附表4直接工程费单价表"/>
      <sheetName val="附表5主材用量汇总表"/>
      <sheetName val="附表6砼配比表"/>
      <sheetName val="附表7砂浆配比表"/>
      <sheetName val="Sheet1"/>
      <sheetName val="Sheet2"/>
      <sheetName val="Sheet3"/>
      <sheetName val="数据字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Financ. Overview"/>
      <sheetName val="Toolbox"/>
      <sheetName val="附表2 材料价格表"/>
      <sheetName val="附表4直接工程费单价表"/>
      <sheetName val="eqpmad2"/>
      <sheetName val="5"/>
      <sheetName val="SW-TEO"/>
      <sheetName val="定额"/>
      <sheetName val="数据字典"/>
      <sheetName val="#REF"/>
      <sheetName val="附表2"/>
      <sheetName val="附表4单价"/>
      <sheetName val="附表2材料价格计算表"/>
      <sheetName val="表3工程施工费用"/>
      <sheetName val="机械汇总"/>
      <sheetName val="材价汇"/>
      <sheetName val="表2预算汇总表"/>
      <sheetName val="表3-1直接费预算表达式1"/>
      <sheetName val="汇总"/>
      <sheetName val="表3-8"/>
      <sheetName val="新定额单价"/>
      <sheetName val="附表2材料价格表"/>
      <sheetName val="附表3机械台班"/>
      <sheetName val="附表5直接工程费单价表"/>
      <sheetName val="表2总预算"/>
      <sheetName val="表3工程施工费表"/>
      <sheetName val="表4设备购置费"/>
      <sheetName val="Main"/>
      <sheetName val="附表4工程费单价表"/>
      <sheetName val="附表7砂浆配比表"/>
      <sheetName val="Sheet2"/>
      <sheetName val="#REF!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60.xml><?xml version="1.0" encoding="utf-8"?>
<externalLink xmlns="http://schemas.openxmlformats.org/spreadsheetml/2006/main">
  <externalBook xmlns:r="http://schemas.openxmlformats.org/officeDocument/2006/relationships" r:id="rId1">
    <sheetNames>
      <sheetName val="表1项目总预算及分年度预算表"/>
      <sheetName val="表2预算汇总表"/>
      <sheetName val="表3-1直接费预算表达式1"/>
      <sheetName val="表3-1-1直接工程费预算表"/>
      <sheetName val="表3工程施工费预算表"/>
      <sheetName val="单位工程量"/>
      <sheetName val="表3工程施工费用"/>
      <sheetName val="表3-1"/>
      <sheetName val="表3-2"/>
      <sheetName val="表3-3"/>
      <sheetName val="表3-4"/>
      <sheetName val="表3-5"/>
      <sheetName val="表3-6"/>
      <sheetName val="表3-7"/>
      <sheetName val="表3-8"/>
      <sheetName val="表3-9"/>
      <sheetName val="表3-10"/>
      <sheetName val="表4设备购置费"/>
      <sheetName val="表3-2间接费预算表"/>
      <sheetName val="表5其它费用预算表"/>
      <sheetName val="表5-1前期工作费"/>
      <sheetName val="表5-2工程监理费"/>
      <sheetName val="表5-3竣工验收费"/>
      <sheetName val="表5-4业主管理费"/>
      <sheetName val="表6不可预见费"/>
      <sheetName val="表7分月用款计划"/>
      <sheetName val="附表1人工单价计算表"/>
      <sheetName val="附表2材料价格计算表"/>
      <sheetName val="附表2-1主要材料价格计算表"/>
      <sheetName val="附表2-2风水电"/>
      <sheetName val="附表3机械台班计算表"/>
      <sheetName val="附表3-1补充机械台班"/>
      <sheetName val="附表4直接工程费单价表"/>
      <sheetName val="附表5主材用量汇总表"/>
      <sheetName val="附表6砼配比表"/>
      <sheetName val="附表7砂浆配比表"/>
      <sheetName val="Sheet1"/>
      <sheetName val="Sheet2"/>
      <sheetName val="Sheet3"/>
      <sheetName val="Op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61.xml><?xml version="1.0" encoding="utf-8"?>
<externalLink xmlns="http://schemas.openxmlformats.org/spreadsheetml/2006/main">
  <externalBook xmlns:r="http://schemas.openxmlformats.org/officeDocument/2006/relationships" r:id="rId1">
    <sheetNames>
      <sheetName val="定额"/>
      <sheetName val="材料表"/>
      <sheetName val="Open"/>
      <sheetName val="附表4直接工程费单价表"/>
      <sheetName val="附表2材料价格计算表"/>
      <sheetName val="表3工程施工费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62.xml><?xml version="1.0" encoding="utf-8"?>
<externalLink xmlns="http://schemas.openxmlformats.org/spreadsheetml/2006/main">
  <externalBook xmlns:r="http://schemas.openxmlformats.org/officeDocument/2006/relationships" r:id="rId1">
    <sheetNames>
      <sheetName val="定额"/>
      <sheetName val="材料表"/>
      <sheetName val="Toolbox"/>
      <sheetName val="G.1R-Shou COP Gf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3.xml><?xml version="1.0" encoding="utf-8"?>
<externalLink xmlns="http://schemas.openxmlformats.org/spreadsheetml/2006/main">
  <externalBook xmlns:r="http://schemas.openxmlformats.org/officeDocument/2006/relationships" r:id="rId1">
    <sheetNames>
      <sheetName val="费用总表"/>
      <sheetName val="新汇总表"/>
      <sheetName val="定额"/>
      <sheetName val="其他费"/>
      <sheetName val="材料表"/>
      <sheetName val="运输"/>
      <sheetName val="设计费"/>
      <sheetName val="勘测费"/>
      <sheetName val="编制说明"/>
      <sheetName val="基础挖方"/>
      <sheetName val="金具计算"/>
      <sheetName val="Open"/>
      <sheetName val="附表4直接工程费单价表"/>
      <sheetName val="附表2材料价格计算表"/>
      <sheetName val="表3工程施工费用"/>
      <sheetName val="设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4.xml><?xml version="1.0" encoding="utf-8"?>
<externalLink xmlns="http://schemas.openxmlformats.org/spreadsheetml/2006/main">
  <externalBook xmlns:r="http://schemas.openxmlformats.org/officeDocument/2006/relationships" r:id="rId1">
    <sheetNames>
      <sheetName val="POWER ASSUMPTIONS"/>
      <sheetName val="现金流量表"/>
      <sheetName val="成本表"/>
      <sheetName val="损益表"/>
      <sheetName val="资金运用表"/>
      <sheetName val="Toolbox"/>
      <sheetName val="定额"/>
      <sheetName val="材料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5.xml><?xml version="1.0" encoding="utf-8"?>
<externalLink xmlns="http://schemas.openxmlformats.org/spreadsheetml/2006/main">
  <externalBook xmlns:r="http://schemas.openxmlformats.org/officeDocument/2006/relationships" r:id="rId1">
    <sheetNames>
      <sheetName val="POWER ASSUMPTIONS"/>
      <sheetName val="G.1R-Shou COP Gf"/>
      <sheetName val="Toolbox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66.xml><?xml version="1.0" encoding="utf-8"?>
<externalLink xmlns="http://schemas.openxmlformats.org/spreadsheetml/2006/main">
  <externalBook xmlns:r="http://schemas.openxmlformats.org/officeDocument/2006/relationships" r:id="rId1">
    <sheetNames>
      <sheetName val="#REF"/>
      <sheetName val="Toolbox"/>
      <sheetName val="POWER ASSUMPTION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67.xml><?xml version="1.0" encoding="utf-8"?>
<externalLink xmlns="http://schemas.openxmlformats.org/spreadsheetml/2006/main">
  <externalBook xmlns:r="http://schemas.openxmlformats.org/officeDocument/2006/relationships" r:id="rId1">
    <sheetNames>
      <sheetName val="#REF"/>
      <sheetName val="定额"/>
      <sheetName val="次要材料预算价格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68.xml><?xml version="1.0" encoding="utf-8"?>
<externalLink xmlns="http://schemas.openxmlformats.org/spreadsheetml/2006/main">
  <externalBook xmlns:r="http://schemas.openxmlformats.org/officeDocument/2006/relationships" r:id="rId1">
    <sheetNames>
      <sheetName val="定额"/>
      <sheetName val="总表"/>
      <sheetName val="汇总表"/>
      <sheetName val="工程量计算"/>
      <sheetName val="Toolbo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9.xml><?xml version="1.0" encoding="utf-8"?>
<externalLink xmlns="http://schemas.openxmlformats.org/spreadsheetml/2006/main">
  <externalBook xmlns:r="http://schemas.openxmlformats.org/officeDocument/2006/relationships" r:id="rId1">
    <sheetNames>
      <sheetName val="附表4工程费单价表"/>
      <sheetName val="附表2 材料价格表"/>
      <sheetName val="表6不可预见费南 "/>
      <sheetName val="表5-2工程监理费南"/>
      <sheetName val="表3工程施工费南 "/>
      <sheetName val="表5-3竣工验收费南 "/>
      <sheetName val="表5其他费用南 "/>
      <sheetName val="表5-1前期工作费南"/>
      <sheetName val="表4设备费南 "/>
      <sheetName val="表5-4业主管理费南 "/>
      <sheetName val="表2预算总表 南"/>
      <sheetName val="定额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定额"/>
      <sheetName val="总表"/>
      <sheetName val="汇总表"/>
      <sheetName val="工程量计算"/>
      <sheetName val="Toolbox"/>
      <sheetName val="附表1人工单价表"/>
      <sheetName val="表5-3竣工"/>
      <sheetName val="#REF"/>
      <sheetName val="附表4直接工程费单价表"/>
      <sheetName val="附表2材料价格计算表"/>
      <sheetName val="表3工程施工费用"/>
      <sheetName val="附表2"/>
      <sheetName val="附表4单价"/>
      <sheetName val="5"/>
      <sheetName val="二级代码"/>
      <sheetName val="G.1R-Shou COP Gf"/>
      <sheetName val="渠道断面设计"/>
      <sheetName val="Sheet2"/>
      <sheetName val="表6不可预见费南 "/>
      <sheetName val="表5-2工程监理费南"/>
      <sheetName val="表3工程施工费南 "/>
      <sheetName val="表5-3竣工验收费南 "/>
      <sheetName val="表5其他费用南 "/>
      <sheetName val="表5-1前期工作费南"/>
      <sheetName val="表4设备费南 "/>
      <sheetName val="表5-4业主管理费南 "/>
      <sheetName val="表2预算总表 南"/>
      <sheetName val="附表3机械台班计算表"/>
      <sheetName val="附表7砂浆配比表"/>
      <sheetName val="附表6砼配比表"/>
      <sheetName val="附表2材料价格表"/>
      <sheetName val="附表3机械台班"/>
      <sheetName val="附表5直接工程费单价表"/>
      <sheetName val="表3工程施工费表"/>
      <sheetName val="数据字典"/>
      <sheetName val="eqpmad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70.xml><?xml version="1.0" encoding="utf-8"?>
<externalLink xmlns="http://schemas.openxmlformats.org/spreadsheetml/2006/main">
  <externalBook xmlns:r="http://schemas.openxmlformats.org/officeDocument/2006/relationships" r:id="rId1">
    <sheetNames>
      <sheetName val="直接工程费"/>
      <sheetName val="#REF"/>
      <sheetName val="表6不可预见费南 "/>
      <sheetName val="表5-2工程监理费南"/>
      <sheetName val="表3工程施工费南 "/>
      <sheetName val="表5-3竣工验收费南 "/>
      <sheetName val="表5其他费用南 "/>
      <sheetName val="表5-1前期工作费南"/>
      <sheetName val="表4设备费南 "/>
      <sheetName val="表5-4业主管理费南 "/>
      <sheetName val="表2预算总表 南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1.xml><?xml version="1.0" encoding="utf-8"?>
<externalLink xmlns="http://schemas.openxmlformats.org/spreadsheetml/2006/main">
  <externalBook xmlns:r="http://schemas.openxmlformats.org/officeDocument/2006/relationships" r:id="rId1">
    <sheetNames>
      <sheetName val="附表4工程费单价表"/>
      <sheetName val="附表2 材料价格表"/>
      <sheetName val="附表3机械"/>
      <sheetName val="附表2材料"/>
      <sheetName val="附表1人工"/>
      <sheetName val="附表6砼配"/>
      <sheetName val="直接工程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2.xml><?xml version="1.0" encoding="utf-8"?>
<externalLink xmlns="http://schemas.openxmlformats.org/spreadsheetml/2006/main">
  <externalBook xmlns:r="http://schemas.openxmlformats.org/officeDocument/2006/relationships" r:id="rId1">
    <sheetNames>
      <sheetName val="表3工程施工费表"/>
      <sheetName val="附表3机械"/>
      <sheetName val="附表2材料"/>
      <sheetName val="附表1人工"/>
      <sheetName val="附表6砼配"/>
      <sheetName val="附表4工程费单价表"/>
      <sheetName val="附表2 材料价格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3.xml><?xml version="1.0" encoding="utf-8"?>
<externalLink xmlns="http://schemas.openxmlformats.org/spreadsheetml/2006/main">
  <externalBook xmlns:r="http://schemas.openxmlformats.org/officeDocument/2006/relationships" r:id="rId1">
    <sheetNames>
      <sheetName val="汇总"/>
      <sheetName val="分表"/>
      <sheetName val="工程单价"/>
      <sheetName val="材价汇"/>
      <sheetName val="主材价表"/>
      <sheetName val="砼配比"/>
      <sheetName val="机械"/>
      <sheetName val="机械汇总"/>
      <sheetName val="人工单价"/>
      <sheetName val="报价汇总表"/>
      <sheetName val="分项工程量报价表"/>
      <sheetName val="机总"/>
      <sheetName val="主要材料用量表"/>
      <sheetName val="主要材料预算表"/>
      <sheetName val="单价汇总表"/>
      <sheetName val="附表3机械台班计算表"/>
      <sheetName val="表3-1直接费预算表达式1"/>
      <sheetName val="表3-6"/>
      <sheetName val="表2预算汇总表"/>
      <sheetName val="附表4直接工程费单价表"/>
      <sheetName val="单位工程量"/>
      <sheetName val="表3-3"/>
      <sheetName val="表3-2"/>
      <sheetName val="附表2-1主要材料价格计算表"/>
      <sheetName val="表3-5"/>
      <sheetName val="表3工程施工费用"/>
      <sheetName val="表1项目总预算及分年度预算表"/>
      <sheetName val="表3-1-1直接工程费预算表"/>
      <sheetName val="表3-7"/>
      <sheetName val="附表2材料价格计算表"/>
      <sheetName val="表3工程施工费预算表"/>
      <sheetName val="表3-4"/>
      <sheetName val="附表6砼配比表"/>
      <sheetName val="表3-1"/>
      <sheetName val="表3-8"/>
      <sheetName val="表3-9"/>
      <sheetName val="表3-10"/>
      <sheetName val="表4设备购置费"/>
      <sheetName val="表3-2间接费预算表"/>
      <sheetName val="附表4工程费单价表"/>
      <sheetName val="附表2 材料价格表"/>
      <sheetName val="直接工程费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74.xml><?xml version="1.0" encoding="utf-8"?>
<externalLink xmlns="http://schemas.openxmlformats.org/spreadsheetml/2006/main">
  <externalBook xmlns:r="http://schemas.openxmlformats.org/officeDocument/2006/relationships" r:id="rId1">
    <sheetNames>
      <sheetName val="机械汇总"/>
      <sheetName val="材价汇"/>
      <sheetName val="表2预算汇总表"/>
      <sheetName val="表3-1直接费预算表达式1"/>
      <sheetName val="表3-8"/>
      <sheetName val="05-2新定额单价"/>
      <sheetName val="附表3机械"/>
      <sheetName val="附表2材料"/>
      <sheetName val="附表1人工"/>
      <sheetName val="附表6砼配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5.xml><?xml version="1.0" encoding="utf-8"?>
<externalLink xmlns="http://schemas.openxmlformats.org/spreadsheetml/2006/main">
  <externalBook xmlns:r="http://schemas.openxmlformats.org/officeDocument/2006/relationships" r:id="rId1">
    <sheetNames>
      <sheetName val="总预算及分年度预算表"/>
      <sheetName val="总预算"/>
      <sheetName val="工程施工费"/>
      <sheetName val="直接费"/>
      <sheetName val="其他直接费"/>
      <sheetName val="现场经费"/>
      <sheetName val="间接费"/>
      <sheetName val="设备购置"/>
      <sheetName val="前期"/>
      <sheetName val="竣工"/>
      <sheetName val="业主"/>
      <sheetName val="拆迁补偿费"/>
      <sheetName val="不可预见"/>
      <sheetName val="项目季度分月用款计划表"/>
      <sheetName val="材料价格表"/>
      <sheetName val="砼、沙浆费计算表"/>
      <sheetName val="机械台班"/>
      <sheetName val="单价表1"/>
      <sheetName val="工程量表"/>
      <sheetName val="人工单价"/>
      <sheetName val="单价表"/>
      <sheetName val="材料费"/>
      <sheetName val="单位估价"/>
      <sheetName val="表3工程施工费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76.xml><?xml version="1.0" encoding="utf-8"?>
<externalLink xmlns="http://schemas.openxmlformats.org/spreadsheetml/2006/main">
  <externalBook xmlns:r="http://schemas.openxmlformats.org/officeDocument/2006/relationships" r:id="rId1">
    <sheetNames>
      <sheetName val="附表3机械台班计算表"/>
      <sheetName val="附表7砂浆配比表"/>
      <sheetName val="附表6砼配比表"/>
      <sheetName val="材料费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77.xml><?xml version="1.0" encoding="utf-8"?>
<externalLink xmlns="http://schemas.openxmlformats.org/spreadsheetml/2006/main">
  <externalBook xmlns:r="http://schemas.openxmlformats.org/officeDocument/2006/relationships" r:id="rId1">
    <sheetNames>
      <sheetName val="材料调差"/>
      <sheetName val="人工单价"/>
      <sheetName val="附表1人工单价表"/>
      <sheetName val="表5-3竣工"/>
      <sheetName val="单价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78.xml><?xml version="1.0" encoding="utf-8"?>
<externalLink xmlns="http://schemas.openxmlformats.org/spreadsheetml/2006/main">
  <externalBook xmlns:r="http://schemas.openxmlformats.org/officeDocument/2006/relationships" r:id="rId1">
    <sheetNames>
      <sheetName val="年度计划表"/>
      <sheetName val="总预算"/>
      <sheetName val="工程施工费"/>
      <sheetName val="直接费"/>
      <sheetName val="人工费"/>
      <sheetName val="材料费"/>
      <sheetName val="机械费"/>
      <sheetName val="其他直接费"/>
      <sheetName val="现场经费"/>
      <sheetName val="间接费"/>
      <sheetName val="拆迁补偿"/>
      <sheetName val="前期工作费"/>
      <sheetName val="竣工验收费"/>
      <sheetName val="不可预见费"/>
      <sheetName val="业主管理费"/>
      <sheetName val="分月计划表"/>
      <sheetName val="设备购置费"/>
      <sheetName val="人工单价"/>
      <sheetName val="主材价格"/>
      <sheetName val="机械调差 "/>
      <sheetName val="单位估价"/>
      <sheetName val="单价表"/>
      <sheetName val="新定额单价"/>
      <sheetName val="附表2-1主材"/>
      <sheetName val="附表3机械台班计算表"/>
      <sheetName val="附表7砂浆配比表"/>
      <sheetName val="附表6砼配比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79.xml><?xml version="1.0" encoding="utf-8"?>
<externalLink xmlns="http://schemas.openxmlformats.org/spreadsheetml/2006/main">
  <externalBook xmlns:r="http://schemas.openxmlformats.org/officeDocument/2006/relationships" r:id="rId1">
    <sheetNames>
      <sheetName val="单位估价"/>
      <sheetName val="单价宁夏新"/>
      <sheetName val="材料调差"/>
      <sheetName val="人工单价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附表4直接工程费单价表"/>
      <sheetName val="附表2 材料价格表"/>
      <sheetName val="估算表-干沟、支干沟"/>
      <sheetName val="估算表 -支沟治理"/>
      <sheetName val="设备"/>
      <sheetName val="附表2"/>
      <sheetName val="POWER 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0.xml><?xml version="1.0" encoding="utf-8"?>
<externalLink xmlns="http://schemas.openxmlformats.org/spreadsheetml/2006/main">
  <externalBook xmlns:r="http://schemas.openxmlformats.org/officeDocument/2006/relationships" r:id="rId1">
    <sheetNames>
      <sheetName val="附表1人工单价表"/>
      <sheetName val="表5-3竣工"/>
      <sheetName val="单位估价"/>
      <sheetName val="单价宁夏新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81.xml><?xml version="1.0" encoding="utf-8"?>
<externalLink xmlns="http://schemas.openxmlformats.org/spreadsheetml/2006/main">
  <externalBook xmlns:r="http://schemas.openxmlformats.org/officeDocument/2006/relationships" r:id="rId1">
    <sheetNames>
      <sheetName val="附表1人工单价表"/>
      <sheetName val="表5-3竣工"/>
      <sheetName val="二级代码"/>
      <sheetName val="单位估价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82.xml><?xml version="1.0" encoding="utf-8"?>
<externalLink xmlns="http://schemas.openxmlformats.org/spreadsheetml/2006/main">
  <externalBook xmlns:r="http://schemas.openxmlformats.org/officeDocument/2006/relationships" r:id="rId1">
    <sheetNames>
      <sheetName val="新定额单价"/>
      <sheetName val="机械定额"/>
      <sheetName val="人工工资"/>
      <sheetName val="基础参数值"/>
      <sheetName val="单价分析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3.xml><?xml version="1.0" encoding="utf-8"?>
<externalLink xmlns="http://schemas.openxmlformats.org/spreadsheetml/2006/main">
  <externalBook xmlns:r="http://schemas.openxmlformats.org/officeDocument/2006/relationships" r:id="rId1">
    <sheetNames>
      <sheetName val="机械定额"/>
      <sheetName val="国民经济效益费用流量表（全部投资）"/>
      <sheetName val="附表1人工单价表"/>
      <sheetName val="表5-3竣工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84.xml><?xml version="1.0" encoding="utf-8"?>
<externalLink xmlns="http://schemas.openxmlformats.org/spreadsheetml/2006/main">
  <externalBook xmlns:r="http://schemas.openxmlformats.org/officeDocument/2006/relationships" r:id="rId1">
    <sheetNames>
      <sheetName val="降价系数"/>
      <sheetName val="道总"/>
      <sheetName val="道路 (2)"/>
      <sheetName val="总表"/>
      <sheetName val="分表"/>
      <sheetName val="结算潘"/>
      <sheetName val="结算封面潘"/>
      <sheetName val="材料预算价"/>
      <sheetName val="结算李"/>
      <sheetName val="结算封面李"/>
      <sheetName val="单价表总"/>
      <sheetName val="6"/>
      <sheetName val="7"/>
      <sheetName val="8"/>
      <sheetName val="总统"/>
      <sheetName val="配合比"/>
      <sheetName val="单价汇总"/>
      <sheetName val="沙化土地治理工程总概算表"/>
      <sheetName val="分部工程概算表"/>
      <sheetName val="独立费用概算表"/>
      <sheetName val="材料预算价格汇总表"/>
      <sheetName val="进入工程单价材料计算价格表(材料库)"/>
      <sheetName val="附表2人工预算单价"/>
      <sheetName val="Sheet1"/>
      <sheetName val="单价表"/>
      <sheetName val="二级代码"/>
      <sheetName val="人工"/>
      <sheetName val="税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85.xml><?xml version="1.0" encoding="utf-8"?>
<externalLink xmlns="http://schemas.openxmlformats.org/spreadsheetml/2006/main">
  <externalBook xmlns:r="http://schemas.openxmlformats.org/officeDocument/2006/relationships" r:id="rId1">
    <sheetNames>
      <sheetName val="机械定额"/>
      <sheetName val="附表4砼、沙浆费计算表"/>
      <sheetName val="新定额单价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86.xml><?xml version="1.0" encoding="utf-8"?>
<externalLink xmlns="http://schemas.openxmlformats.org/spreadsheetml/2006/main">
  <externalBook xmlns:r="http://schemas.openxmlformats.org/officeDocument/2006/relationships" r:id="rId1">
    <sheetNames>
      <sheetName val="降价系数"/>
      <sheetName val="道总"/>
      <sheetName val="道路 (2)"/>
      <sheetName val="总表"/>
      <sheetName val="分表"/>
      <sheetName val="结算潘"/>
      <sheetName val="结算封面潘"/>
      <sheetName val="材料预算价"/>
      <sheetName val="结算李"/>
      <sheetName val="结算封面李"/>
      <sheetName val="单价表总"/>
      <sheetName val="6"/>
      <sheetName val="7"/>
      <sheetName val="8"/>
      <sheetName val="总统"/>
      <sheetName val="配合比"/>
      <sheetName val="单价汇总"/>
      <sheetName val="沙化土地治理工程总概算表"/>
      <sheetName val="分部工程概算表"/>
      <sheetName val="独立费用概算表"/>
      <sheetName val="材料预算价格汇总表"/>
      <sheetName val="进入工程单价材料计算价格表(材料库)"/>
      <sheetName val="附表2人工预算单价"/>
      <sheetName val="Sheet1"/>
      <sheetName val="单价表"/>
      <sheetName val="二级代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87.xml><?xml version="1.0" encoding="utf-8"?>
<externalLink xmlns="http://schemas.openxmlformats.org/spreadsheetml/2006/main">
  <externalBook xmlns:r="http://schemas.openxmlformats.org/officeDocument/2006/relationships" r:id="rId1">
    <sheetNames>
      <sheetName val="概算总表"/>
      <sheetName val="Sheet3"/>
      <sheetName val="总表"/>
      <sheetName val="概算表"/>
      <sheetName val="单价表"/>
      <sheetName val="台班费"/>
      <sheetName val="主要台班"/>
      <sheetName val="台班汇总"/>
      <sheetName val="配合比"/>
      <sheetName val="单价分析表"/>
      <sheetName val="单位估价"/>
      <sheetName val="机械定额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88.xml><?xml version="1.0" encoding="utf-8"?>
<externalLink xmlns="http://schemas.openxmlformats.org/spreadsheetml/2006/main">
  <externalBook xmlns:r="http://schemas.openxmlformats.org/officeDocument/2006/relationships" r:id="rId1">
    <sheetNames>
      <sheetName val="附表4砼、沙浆费计算表"/>
      <sheetName val="单位估价"/>
      <sheetName val="附表2人工预算单价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89.xml><?xml version="1.0" encoding="utf-8"?>
<externalLink xmlns="http://schemas.openxmlformats.org/spreadsheetml/2006/main">
  <externalBook xmlns:r="http://schemas.openxmlformats.org/officeDocument/2006/relationships" r:id="rId1">
    <sheetNames>
      <sheetName val="4.2报价汇总表"/>
      <sheetName val="4.3工程量清单"/>
      <sheetName val="5.6单价分析表"/>
      <sheetName val="5.1人工费计算表"/>
      <sheetName val="5.2主要材料预算单价"/>
      <sheetName val="5.3砂浆配合比表"/>
      <sheetName val="5.4施工机械台班费"/>
      <sheetName val="砼、砂浆半成品预算表"/>
      <sheetName val="5.5单价汇总表"/>
      <sheetName val="5.7总价工程"/>
      <sheetName val="5.8分组工程组成表"/>
      <sheetName val="材料预算表"/>
      <sheetName val="机械台班费计算表"/>
      <sheetName val="5.13资金流"/>
      <sheetName val="降价系数"/>
      <sheetName val="工程量汇总"/>
      <sheetName val="王单价"/>
      <sheetName val="临时工程单价汇总表"/>
      <sheetName val="取费"/>
      <sheetName val="土建单价测试表"/>
      <sheetName val="综合单价测试表"/>
      <sheetName val="主材定价"/>
      <sheetName val="风水电价"/>
      <sheetName val="SW-TEO"/>
      <sheetName val="附表4直接工程费单价表"/>
      <sheetName val="附表2材料价格计算表"/>
      <sheetName val="表3工程施工费用"/>
      <sheetName val="附表2人工预算单价"/>
      <sheetName val="材料调差"/>
      <sheetName val="人工单价"/>
      <sheetName val="附表4砼、沙浆费计算表"/>
      <sheetName val="eqpmad2"/>
      <sheetName val="单位估价"/>
      <sheetName val="前期"/>
      <sheetName val="业主"/>
      <sheetName val="附表4工程费单价表"/>
      <sheetName val="附表2 材料价格表"/>
      <sheetName val="新定额单价"/>
      <sheetName val="单价表"/>
      <sheetName val="材料费"/>
      <sheetName val="定额"/>
      <sheetName val="机械定额"/>
      <sheetName val="设备"/>
      <sheetName val="数据字典"/>
      <sheetName val="机械汇总"/>
      <sheetName val="材价汇"/>
      <sheetName val="表2预算汇总表"/>
      <sheetName val="表3-1直接费预算表达式1"/>
      <sheetName val="汇总"/>
      <sheetName val="表3-8"/>
      <sheetName val="直接工程费"/>
      <sheetName val="#REF"/>
      <sheetName val="二级代码"/>
      <sheetName val="附表 3台班单价"/>
      <sheetName val="附表 2－1 材料价格"/>
      <sheetName val="附表 1 人工单价"/>
      <sheetName val="附表2"/>
      <sheetName val="Open"/>
      <sheetName val="G.1R-Shou COP Gf"/>
      <sheetName val="Toolbox"/>
      <sheetName val="5"/>
      <sheetName val="表6不可预见费南 "/>
      <sheetName val="表5-2工程监理费南"/>
      <sheetName val="表3工程施工费南 "/>
      <sheetName val="表5-3竣工验收费南 "/>
      <sheetName val="表5其他费用南 "/>
      <sheetName val="表5-1前期工作费南"/>
      <sheetName val="表4设备费南 "/>
      <sheetName val="表5-4业主管理费南 "/>
      <sheetName val="表2预算总表 南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Financ. Overview"/>
      <sheetName val="Toolbox"/>
      <sheetName val="附表2 材料价格表"/>
      <sheetName val="附表4直接工程费单价表"/>
      <sheetName val="eqpmad2"/>
      <sheetName val="5"/>
      <sheetName val="SW-TEO"/>
      <sheetName val="定额"/>
      <sheetName val="数据字典"/>
      <sheetName val="#REF"/>
      <sheetName val="附表2"/>
      <sheetName val="附表4单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90.xml><?xml version="1.0" encoding="utf-8"?>
<externalLink xmlns="http://schemas.openxmlformats.org/spreadsheetml/2006/main">
  <externalBook xmlns:r="http://schemas.openxmlformats.org/officeDocument/2006/relationships" r:id="rId1">
    <sheetNames>
      <sheetName val="附表2"/>
      <sheetName val="现金流量表"/>
      <sheetName val="成本表"/>
      <sheetName val="损益表"/>
      <sheetName val="资金运用表"/>
      <sheetName val="附表4砼、沙浆费计算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91.xml><?xml version="1.0" encoding="utf-8"?>
<externalLink xmlns="http://schemas.openxmlformats.org/spreadsheetml/2006/main">
  <externalBook xmlns:r="http://schemas.openxmlformats.org/officeDocument/2006/relationships" r:id="rId1">
    <sheetNames>
      <sheetName val="新定额单价"/>
      <sheetName val="附表4砼、沙浆费计算表"/>
    </sheetNames>
    <sheetDataSet>
      <sheetData sheetId="0" refreshError="1"/>
      <sheetData sheetId="1" refreshError="1"/>
    </sheetDataSet>
  </externalBook>
</externalLink>
</file>

<file path=xl/externalLinks/externalLink192.xml><?xml version="1.0" encoding="utf-8"?>
<externalLink xmlns="http://schemas.openxmlformats.org/spreadsheetml/2006/main">
  <externalBook xmlns:r="http://schemas.openxmlformats.org/officeDocument/2006/relationships" r:id="rId1">
    <sheetNames>
      <sheetName val="台时"/>
      <sheetName val="配合比"/>
      <sheetName val="材料分析"/>
      <sheetName val="基础材料表"/>
      <sheetName val="材料预算价"/>
      <sheetName val="工程量汇总表"/>
      <sheetName val="自筹"/>
      <sheetName val="总估算"/>
      <sheetName val="机电"/>
      <sheetName val="估算"/>
      <sheetName val="单体建筑物工程量"/>
      <sheetName val="临时"/>
      <sheetName val="占地"/>
      <sheetName val="监理费用"/>
      <sheetName val="独立费用"/>
      <sheetName val="设计费"/>
      <sheetName val="单价汇总表"/>
      <sheetName val="新定额单价"/>
      <sheetName val="单位估价"/>
      <sheetName val="砼、砂浆半成品预算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93.xml><?xml version="1.0" encoding="utf-8"?>
<externalLink xmlns="http://schemas.openxmlformats.org/spreadsheetml/2006/main">
  <externalBook xmlns:r="http://schemas.openxmlformats.org/officeDocument/2006/relationships" r:id="rId1">
    <sheetNames>
      <sheetName val="汇总"/>
      <sheetName val="分表"/>
      <sheetName val="设备"/>
      <sheetName val="工程单价"/>
      <sheetName val="主材价表"/>
      <sheetName val="砼配比"/>
      <sheetName val="材料用量"/>
      <sheetName val="材价汇"/>
      <sheetName val="机械"/>
      <sheetName val="单价汇总"/>
      <sheetName val="机械汇总"/>
      <sheetName val="人工单价"/>
      <sheetName val="机总"/>
      <sheetName val="报价汇总表"/>
      <sheetName val="分项工程量报价表"/>
      <sheetName val="主要材料用量表"/>
      <sheetName val="主要材料预算表"/>
      <sheetName val="单价汇总表"/>
      <sheetName val="现金流量表"/>
      <sheetName val="成本表"/>
      <sheetName val="损益表"/>
      <sheetName val="资金运用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94.xml><?xml version="1.0" encoding="utf-8"?>
<externalLink xmlns="http://schemas.openxmlformats.org/spreadsheetml/2006/main">
  <externalBook xmlns:r="http://schemas.openxmlformats.org/officeDocument/2006/relationships" r:id="rId1">
    <sheetNames>
      <sheetName val="台时"/>
      <sheetName val="配合比"/>
      <sheetName val="材料预算价"/>
      <sheetName val="新定额单价"/>
      <sheetName val="总概算"/>
      <sheetName val="概算表"/>
      <sheetName val="分项工程量清单报价表"/>
      <sheetName val="投标汇总表"/>
      <sheetName val="金属结构报价表"/>
      <sheetName val="安装表"/>
      <sheetName val="单价汇总表"/>
      <sheetName val="Sheet5"/>
      <sheetName val="工程量汇总表"/>
      <sheetName val="独立费用"/>
      <sheetName val="监理费用"/>
      <sheetName val="设计费"/>
      <sheetName val="材料分析"/>
      <sheetName val="取费表"/>
      <sheetName val="PCP管价"/>
      <sheetName val="基础材料表"/>
      <sheetName val="管材价格"/>
      <sheetName val="附表4砼、沙浆费计算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95.xml><?xml version="1.0" encoding="utf-8"?>
<externalLink xmlns="http://schemas.openxmlformats.org/spreadsheetml/2006/main">
  <externalBook xmlns:r="http://schemas.openxmlformats.org/officeDocument/2006/relationships" r:id="rId1">
    <sheetNames>
      <sheetName val="一标段标底汇总表"/>
      <sheetName val="一标段标底计算表 "/>
      <sheetName val="二标段标底汇总表"/>
      <sheetName val="二标段标底计算表"/>
      <sheetName val="三标段标底汇总表 "/>
      <sheetName val="三标段标底计算表"/>
      <sheetName val="四标段标底汇总表 "/>
      <sheetName val="四标段标底计算表"/>
      <sheetName val="五标段标底汇总表"/>
      <sheetName val="五标段标底计算表"/>
      <sheetName val="六标段标底汇总表"/>
      <sheetName val="六标段标底计算表"/>
      <sheetName val="七标段标底汇总表 "/>
      <sheetName val="七标段标底计算表 "/>
      <sheetName val="八标段标底汇总表 "/>
      <sheetName val="八标段标底计算表 "/>
      <sheetName val="九标段标底汇总表 "/>
      <sheetName val="九标段标底计算表"/>
      <sheetName val="工程费单价汇总表"/>
      <sheetName val="机械台班费单价汇总表"/>
      <sheetName val="附表4单价"/>
      <sheetName val="附表1 人"/>
      <sheetName val="附表2"/>
      <sheetName val="附表2-1主材"/>
      <sheetName val="附表3机"/>
      <sheetName val="附表6砼砂浆"/>
      <sheetName val="Sheet1"/>
      <sheetName val="单位估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96.xml><?xml version="1.0" encoding="utf-8"?>
<externalLink xmlns="http://schemas.openxmlformats.org/spreadsheetml/2006/main">
  <externalBook xmlns:r="http://schemas.openxmlformats.org/officeDocument/2006/relationships" r:id="rId1">
    <sheetNames>
      <sheetName val="附表3机械"/>
      <sheetName val="附表2材料"/>
      <sheetName val="附表1人工"/>
      <sheetName val="附表6砼配"/>
      <sheetName val="表1总预算"/>
      <sheetName val="表2汇总表"/>
      <sheetName val="工程量统计表"/>
      <sheetName val="主材用量计算透视表"/>
      <sheetName val="表3工程施工"/>
      <sheetName val="同一主材用量透视表"/>
      <sheetName val="移民滴灌"/>
      <sheetName val="管件"/>
      <sheetName val="表3-1同一"/>
      <sheetName val="同二主材透视表"/>
      <sheetName val="表3-2同二"/>
      <sheetName val="同三主材透视"/>
      <sheetName val="表3-3同三"/>
      <sheetName val="花豹湾主材透视"/>
      <sheetName val="表3-4花豹湾"/>
      <sheetName val="清水河以北主材透视"/>
      <sheetName val="表3-5清水河北"/>
      <sheetName val="表4设备"/>
      <sheetName val="表5其它费用"/>
      <sheetName val="表5-1前期"/>
      <sheetName val="表5-2工程监理"/>
      <sheetName val="表5-3竣工"/>
      <sheetName val="表5-4业主管理"/>
      <sheetName val="表6不可预见"/>
      <sheetName val="表7分月用款"/>
      <sheetName val="附表2-1主材"/>
      <sheetName val="附表2-2风水电"/>
      <sheetName val="附表3-1补充机械台班"/>
      <sheetName val="附表4综合单价表"/>
      <sheetName val="附表5主材用量汇总表"/>
      <sheetName val="表5-1同一支主材"/>
      <sheetName val="表5-2同二主材"/>
      <sheetName val="表5-3同三主材"/>
      <sheetName val="表5-4花豹湾主材"/>
      <sheetName val="表5-5清水河以北主材表"/>
      <sheetName val="附表7砂浆"/>
      <sheetName val="附表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97.xml><?xml version="1.0" encoding="utf-8"?>
<externalLink xmlns="http://schemas.openxmlformats.org/spreadsheetml/2006/main">
  <externalBook xmlns:r="http://schemas.openxmlformats.org/officeDocument/2006/relationships" r:id="rId1">
    <sheetNames>
      <sheetName val="附表3机械台班计算表"/>
      <sheetName val="附表7砂浆配比表"/>
      <sheetName val="附表6砼配比表"/>
      <sheetName val="表1项目总预算及分年度预算表"/>
      <sheetName val="表2预算汇总表"/>
      <sheetName val="表3工程施工费用"/>
      <sheetName val="附表2材料价格计算表"/>
      <sheetName val="附表2-1主要材料价格计算表"/>
      <sheetName val="表4设备购置费"/>
      <sheetName val="表5其它费用预算表"/>
      <sheetName val="表5-1前期工作费"/>
      <sheetName val="表5-2工程监理费"/>
      <sheetName val="表5-3竣工验收费"/>
      <sheetName val="表5-4业主管理费"/>
      <sheetName val="表6不可预见费"/>
      <sheetName val="表7分月用款计划"/>
      <sheetName val="附表1人工单价计算表"/>
      <sheetName val="附表2-2风水电"/>
      <sheetName val="附表3-1补充机械台班"/>
      <sheetName val="附表4直接工程费单价表"/>
      <sheetName val="附表5主材用量汇总表"/>
      <sheetName val="设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98.xml><?xml version="1.0" encoding="utf-8"?>
<externalLink xmlns="http://schemas.openxmlformats.org/spreadsheetml/2006/main">
  <externalBook xmlns:r="http://schemas.openxmlformats.org/officeDocument/2006/relationships" r:id="rId1">
    <sheetNames>
      <sheetName val="台时"/>
      <sheetName val="配合比"/>
      <sheetName val="工程量汇总表7"/>
      <sheetName val="材料分析"/>
      <sheetName val="材料预算价"/>
      <sheetName val="基础材料表"/>
      <sheetName val="总估算"/>
      <sheetName val="暖泉渠"/>
      <sheetName val="唐徕渠"/>
      <sheetName val="独立费用"/>
      <sheetName val="机电"/>
      <sheetName val="监理费用"/>
      <sheetName val="设计费"/>
      <sheetName val="单价汇总表"/>
      <sheetName val="新定额单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9.xml><?xml version="1.0" encoding="utf-8"?>
<externalLink xmlns="http://schemas.openxmlformats.org/spreadsheetml/2006/main">
  <externalBook xmlns:r="http://schemas.openxmlformats.org/officeDocument/2006/relationships" r:id="rId1">
    <sheetNames>
      <sheetName val="数据字典"/>
      <sheetName val="附表2"/>
      <sheetName val="附表4单价"/>
      <sheetName val="三标段标底计算表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独立费用"/>
      <sheetName val="总概算表（方案一）"/>
      <sheetName val="建筑工程概算（方案一）"/>
      <sheetName val="临时工程（方案一）"/>
      <sheetName val="独立费用 (2)"/>
      <sheetName val="总概算表（方案二）"/>
      <sheetName val="建筑工程概算（方案二）"/>
      <sheetName val="临时工程（方案二）"/>
      <sheetName val="独立费用 (3)"/>
      <sheetName val="总概算表（方案三）"/>
      <sheetName val="建筑工程概算（方案三）"/>
      <sheetName val="临时工程（方案三）"/>
      <sheetName val="独立费用 (4)"/>
      <sheetName val="总概算表（方案四）"/>
      <sheetName val="建筑工程概算（方案四）"/>
      <sheetName val="临时工程（方案四）"/>
      <sheetName val="占地概算"/>
      <sheetName val="水保概算"/>
      <sheetName val="环境保护概算"/>
      <sheetName val="机电设备及安装工程"/>
      <sheetName val="金属结构及安装"/>
      <sheetName val="单价汇总"/>
      <sheetName val="主要材料预算价"/>
      <sheetName val="次要材料预算价格"/>
      <sheetName val="台时"/>
      <sheetName val="工程量汇总"/>
      <sheetName val="人工预算单价计算表"/>
      <sheetName val="配合比"/>
      <sheetName val="单价"/>
      <sheetName val="格宾网垫及格栅石笼计算表"/>
      <sheetName val="设计费"/>
      <sheetName val="材料分析"/>
      <sheetName val="Sheet1"/>
      <sheetName val="工程部分总概算表"/>
      <sheetName val="G.1R-Shou COP Gf"/>
      <sheetName val="单价表"/>
      <sheetName val="台班表"/>
      <sheetName val="砼配合比"/>
      <sheetName val="材料汇总"/>
      <sheetName val="工程量汇总表"/>
      <sheetName val="材料预算价"/>
      <sheetName val="辅助1"/>
      <sheetName val="辅助2"/>
      <sheetName val="辅助3"/>
      <sheetName val="汇报单价"/>
      <sheetName val="PVC管价"/>
      <sheetName val="玻璃钢管价"/>
      <sheetName val="概算审定表"/>
      <sheetName val="总表(入户少)"/>
      <sheetName val="总表"/>
      <sheetName val="建筑工程表 "/>
      <sheetName val="安装工程表"/>
      <sheetName val="监理费用"/>
      <sheetName val="其他费用"/>
      <sheetName val="临时工程"/>
      <sheetName val="基础价取费表"/>
      <sheetName val="工资及经常费"/>
      <sheetName val="新定额单价"/>
      <sheetName val="亩均投资"/>
      <sheetName val="总概算"/>
      <sheetName val="水利投资（不包括道路及生态工程）"/>
      <sheetName val="概算表"/>
      <sheetName val="安装表"/>
      <sheetName val="自动化总表"/>
      <sheetName val="自动化投资"/>
      <sheetName val="单价汇总表"/>
      <sheetName val="取费表"/>
      <sheetName val="基础材料表"/>
      <sheetName val="管材价格"/>
      <sheetName val="PVC管"/>
      <sheetName val="勘设费"/>
      <sheetName val="监理费"/>
      <sheetName val="其他费"/>
      <sheetName val="总概算核"/>
      <sheetName val="建筑概算核"/>
      <sheetName val="临时核"/>
      <sheetName val="独立"/>
      <sheetName val="占地"/>
      <sheetName val="建筑单价汇总"/>
      <sheetName val="主要材料汇总"/>
      <sheetName val="次要材料汇总"/>
      <sheetName val="施工机械台时汇总"/>
      <sheetName val="工程量"/>
      <sheetName val="材料量"/>
      <sheetName val="材料预算价格表"/>
      <sheetName val="砼配合"/>
      <sheetName val="砼单价"/>
      <sheetName val="钢筋"/>
      <sheetName val="砌石"/>
      <sheetName val="土石方"/>
      <sheetName val="植物"/>
      <sheetName val="取费"/>
      <sheetName val="eqpmad2"/>
      <sheetName val="附表2材料价格表"/>
      <sheetName val="附表3机械台班"/>
      <sheetName val="附表5直接工程费单价表"/>
      <sheetName val="表2总预算"/>
      <sheetName val="表3工程施工费表"/>
      <sheetName val="表4设备购置费"/>
      <sheetName val="定额"/>
      <sheetName val="材料表"/>
      <sheetName val="砼、砂浆半成品预算表"/>
      <sheetName val="附表2"/>
      <sheetName val="附表4单价"/>
      <sheetName val="二级代码"/>
      <sheetName val="5"/>
      <sheetName val="SW-TEO"/>
      <sheetName val="总估算"/>
      <sheetName val="建筑估算"/>
      <sheetName val="机电"/>
      <sheetName val="金结"/>
      <sheetName val="临时及独立费用"/>
      <sheetName val="材料预算价格汇总表"/>
      <sheetName val="独立费用计算表"/>
      <sheetName val="能耗分析表"/>
      <sheetName val="基础单价表"/>
      <sheetName val="总"/>
      <sheetName val="建筑"/>
      <sheetName val="金属"/>
      <sheetName val="临时"/>
      <sheetName val="建单汇"/>
      <sheetName val="施机台"/>
      <sheetName val="主材汇"/>
      <sheetName val="次材汇"/>
      <sheetName val="材料"/>
      <sheetName val="材料单价分析"/>
      <sheetName val="POWER ASSUMPTIONS"/>
      <sheetName val="Open"/>
      <sheetName val="数据字典"/>
      <sheetName val="表6不可预见费南 "/>
      <sheetName val="表5-2工程监理费南"/>
      <sheetName val="表3工程施工费南 "/>
      <sheetName val="表5-3竣工验收费南 "/>
      <sheetName val="表5其他费用南 "/>
      <sheetName val="表5-1前期工作费南"/>
      <sheetName val="表4设备费南 "/>
      <sheetName val="表5-4业主管理费南 "/>
      <sheetName val="表2预算总表 南"/>
      <sheetName val="附表4直接工程费单价表"/>
      <sheetName val="附表2材料价格计算表"/>
      <sheetName val="表3工程施工费用"/>
      <sheetName val="建筑估算核"/>
      <sheetName val="机电核"/>
      <sheetName val="自筹"/>
      <sheetName val="估算"/>
      <sheetName val="单体建筑物工程量"/>
      <sheetName val="Main"/>
      <sheetName val="附表4工程费单价表"/>
      <sheetName val="附表2 材料价格表"/>
      <sheetName val="附表 3台班单价"/>
      <sheetName val="附表 2－1 材料价格"/>
      <sheetName val="附表 1 人工单价"/>
      <sheetName val="表1项目总预算及分年度预算表"/>
      <sheetName val="表2预算汇总表"/>
      <sheetName val="表3-1直接费预算表达式1"/>
      <sheetName val="表3-1-1直接工程费预算表"/>
      <sheetName val="表3工程施工费预算表"/>
      <sheetName val="单位工程量"/>
      <sheetName val="表3-1"/>
      <sheetName val="表3-2"/>
      <sheetName val="表3-3"/>
      <sheetName val="表3-4"/>
      <sheetName val="表3-5"/>
      <sheetName val="表3-6"/>
      <sheetName val="表3-7"/>
      <sheetName val="表3-8"/>
      <sheetName val="表3-9"/>
      <sheetName val="表3-10"/>
      <sheetName val="表3-2间接费预算表"/>
      <sheetName val="表5其它费用预算表"/>
      <sheetName val="表5-1前期工作费"/>
      <sheetName val="表5-2工程监理费"/>
      <sheetName val="表5-3竣工验收费"/>
      <sheetName val="表5-4业主管理费"/>
      <sheetName val="表6不可预见费"/>
      <sheetName val="表7分月用款计划"/>
      <sheetName val="附表1人工单价计算表"/>
      <sheetName val="附表2-1主要材料价格计算表"/>
      <sheetName val="附表2-2风水电"/>
      <sheetName val="附表3机械台班计算表"/>
      <sheetName val="附表3-1补充机械台班"/>
      <sheetName val="附表5主材用量汇总表"/>
      <sheetName val="附表6砼配比表"/>
      <sheetName val="附表7砂浆配比表"/>
      <sheetName val="Sheet2"/>
      <sheetName val="Sheet3"/>
      <sheetName val="目录"/>
      <sheetName val="自动化概算投资"/>
      <sheetName val="斗渠-1"/>
      <sheetName val="斗渠-2"/>
      <sheetName val="斗渠-3"/>
      <sheetName val="斗渠-4"/>
      <sheetName val="斗渠-5"/>
      <sheetName val="斗渠-6"/>
      <sheetName val="斗渠-7"/>
      <sheetName val="七队斗渠"/>
      <sheetName val="八队斗渠"/>
      <sheetName val="镇朔渠"/>
      <sheetName val="道路"/>
      <sheetName val="沟道"/>
      <sheetName val="土地平整"/>
      <sheetName val="1"/>
      <sheetName val="2"/>
      <sheetName val="3"/>
      <sheetName val="4"/>
      <sheetName val="6"/>
      <sheetName val="7"/>
      <sheetName val="8"/>
      <sheetName val="9"/>
      <sheetName val="10林带"/>
      <sheetName val="11预制板"/>
      <sheetName val="增加后的施工费"/>
      <sheetName val="表5-1前期"/>
      <sheetName val="表5-2监理"/>
      <sheetName val="表5-3验收 "/>
      <sheetName val="表5-4拆迁 "/>
      <sheetName val="表5-5业主 "/>
      <sheetName val="表5-1"/>
      <sheetName val="表6"/>
      <sheetName val="11总预算及分年度汇总"/>
      <sheetName val="12预算总表"/>
      <sheetName val="13施工费预算表"/>
      <sheetName val="14施工费"/>
      <sheetName val="一标（建筑）"/>
      <sheetName val="一标（机电）"/>
      <sheetName val="二标（建筑）"/>
      <sheetName val="二标（机电）"/>
      <sheetName val="五标"/>
      <sheetName val="四标"/>
      <sheetName val="三标"/>
      <sheetName val="26机电设备安装"/>
      <sheetName val="金属结构安装"/>
      <sheetName val="不可预见费"/>
      <sheetName val="分月"/>
      <sheetName val="人工"/>
      <sheetName val="主材"/>
      <sheetName val="主材运费"/>
      <sheetName val="次材"/>
      <sheetName val="台班"/>
      <sheetName val="单价分析表"/>
      <sheetName val="PVC-U管材安装"/>
      <sheetName val="PVC-U管材"/>
      <sheetName val="Sheet4"/>
      <sheetName val="Sheet5"/>
      <sheetName val="Sheet6"/>
      <sheetName val="#REF!"/>
      <sheetName val="进度计划"/>
      <sheetName val="预算汇总"/>
      <sheetName val="施工费汇总表"/>
      <sheetName val="金贵"/>
      <sheetName val="设备费"/>
      <sheetName val="不可预见"/>
      <sheetName val="季度分月"/>
      <sheetName val="桥涵"/>
      <sheetName val="节制闸"/>
      <sheetName val="斗农田口"/>
      <sheetName val="沟渠"/>
      <sheetName val="人工费"/>
      <sheetName val="机械台班"/>
      <sheetName val="单价分析"/>
      <sheetName val="FSD"/>
      <sheetName val="措施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定额"/>
      <sheetName val="总表"/>
      <sheetName val="汇总表"/>
      <sheetName val="工程量计算"/>
      <sheetName val="单位估价"/>
      <sheetName val="Main"/>
      <sheetName val="附表4工程费单价表"/>
      <sheetName val="附表2 材料价格表"/>
      <sheetName val="Financ. Overview"/>
      <sheetName val="Toolbox"/>
      <sheetName val="附表4直接工程费单价表"/>
      <sheetName val="附表2"/>
      <sheetName val="附表4单价"/>
      <sheetName val="eqpmad2"/>
      <sheetName val="数据字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00.xml><?xml version="1.0" encoding="utf-8"?>
<externalLink xmlns="http://schemas.openxmlformats.org/spreadsheetml/2006/main">
  <externalBook xmlns:r="http://schemas.openxmlformats.org/officeDocument/2006/relationships" r:id="rId1">
    <sheetNames>
      <sheetName val="附表2-1主要材料价格计算表"/>
      <sheetName val="表1总预算及分年南"/>
      <sheetName val="表2预算总表 南"/>
      <sheetName val="表3工程施工费南 "/>
      <sheetName val="表3-1直接费南"/>
      <sheetName val="表3-1-1直接工程费南"/>
      <sheetName val="表3-2间接费南"/>
      <sheetName val="表4设备费南 "/>
      <sheetName val="表5其他费用南 "/>
      <sheetName val="表5-1前期工作费南"/>
      <sheetName val="表5-2工程监理费南"/>
      <sheetName val="表5-3竣工验收费南 "/>
      <sheetName val="表5-4业主管理费南 "/>
      <sheetName val="表6不可预见费南 "/>
      <sheetName val="表7分月用款计划南 "/>
      <sheetName val="附表1 人工单价表"/>
      <sheetName val="附表2 材料价格表"/>
      <sheetName val="附表3机械台班使用费"/>
      <sheetName val="附表3-1补充机械定额"/>
      <sheetName val="附表4风、水、电计算表"/>
      <sheetName val="附表4直接工程费单价表"/>
      <sheetName val="附表5砼、沙浆费计算表"/>
      <sheetName val="工程量"/>
      <sheetName val="单价表"/>
      <sheetName val="附表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01.xml><?xml version="1.0" encoding="utf-8"?>
<externalLink xmlns="http://schemas.openxmlformats.org/spreadsheetml/2006/main">
  <externalBook xmlns:r="http://schemas.openxmlformats.org/officeDocument/2006/relationships" r:id="rId1">
    <sheetNames>
      <sheetName val="总概算"/>
      <sheetName val="概算表"/>
      <sheetName val="机电设备"/>
      <sheetName val="管材及建筑物数量统计表"/>
      <sheetName val="PVC管材价格"/>
      <sheetName val="单价汇总表"/>
      <sheetName val="材料预算价"/>
      <sheetName val="配合比"/>
      <sheetName val="台时"/>
      <sheetName val="新定额单价"/>
      <sheetName val="建筑工程概算表"/>
      <sheetName val="基础材料表"/>
      <sheetName val="独立费用"/>
      <sheetName val="监理费用"/>
      <sheetName val="设计费"/>
      <sheetName val="工程量汇总表7"/>
      <sheetName val="材料分析"/>
      <sheetName val="技术咨询费（审）"/>
      <sheetName val="监理费（审）"/>
      <sheetName val="金属结构"/>
      <sheetName val="附表4砼、沙浆费计算表"/>
      <sheetName val="定额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2.xml><?xml version="1.0" encoding="utf-8"?>
<externalLink xmlns="http://schemas.openxmlformats.org/spreadsheetml/2006/main">
  <externalBook xmlns:r="http://schemas.openxmlformats.org/officeDocument/2006/relationships" r:id="rId1">
    <sheetNames>
      <sheetName val="表1总预算"/>
      <sheetName val="表2预算"/>
      <sheetName val="表3-1施工费渠灌"/>
      <sheetName val="3-2施工费滴灌"/>
      <sheetName val="表4-1设备渠灌"/>
      <sheetName val="表4-2设备滴灌"/>
      <sheetName val="表5其他 "/>
      <sheetName val="表5-1前期"/>
      <sheetName val="表5-2监理"/>
      <sheetName val="表5-3验收 "/>
      <sheetName val="表5-4业主 "/>
      <sheetName val="表6不可预见"/>
      <sheetName val="表7分月用款计划南 "/>
      <sheetName val="附表1 人"/>
      <sheetName val="附表2 材"/>
      <sheetName val="附表2-1主材"/>
      <sheetName val="附表3机"/>
      <sheetName val="附表3-1补机"/>
      <sheetName val="附表4单价"/>
      <sheetName val="附表5风水电"/>
      <sheetName val="附表6砼、沙浆费计算表"/>
      <sheetName val="机械定额"/>
      <sheetName val="表5-2工程监理费南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03.xml><?xml version="1.0" encoding="utf-8"?>
<externalLink xmlns="http://schemas.openxmlformats.org/spreadsheetml/2006/main">
  <externalBook xmlns:r="http://schemas.openxmlformats.org/officeDocument/2006/relationships" r:id="rId1">
    <sheetNames>
      <sheetName val="计划书封面"/>
      <sheetName val="封皮"/>
      <sheetName val="封面"/>
      <sheetName val="编制说明"/>
      <sheetName val="总表"/>
      <sheetName val="建筑工程预算表"/>
      <sheetName val="申请表（正面）"/>
      <sheetName val="资料承诺书（背面）"/>
      <sheetName val="管材价格"/>
      <sheetName val="机电设备及安装工程预算表"/>
      <sheetName val="金属结构及安装工程预算表"/>
      <sheetName val="单价汇总"/>
      <sheetName val="单价分析表"/>
      <sheetName val="其它"/>
      <sheetName val="材料预算价7"/>
      <sheetName val="配合比8"/>
      <sheetName val="Sheet1"/>
      <sheetName val="台时"/>
      <sheetName val="单价表"/>
      <sheetName val="土方"/>
      <sheetName val="浆砌石"/>
      <sheetName val="砼"/>
      <sheetName val="运费"/>
      <sheetName val="人工"/>
      <sheetName val="费率9"/>
      <sheetName val="Sheet3"/>
      <sheetName val="Sheet2"/>
      <sheetName val="数据字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04.xml><?xml version="1.0" encoding="utf-8"?>
<externalLink xmlns="http://schemas.openxmlformats.org/spreadsheetml/2006/main">
  <externalBook xmlns:r="http://schemas.openxmlformats.org/officeDocument/2006/relationships" r:id="rId1">
    <sheetNames>
      <sheetName val="一标段标底汇总表"/>
      <sheetName val="一标段标底计算表 "/>
      <sheetName val="二标段标底汇总表"/>
      <sheetName val="二标段标底计算表"/>
      <sheetName val="三标段标底汇总表 "/>
      <sheetName val="三标段标底计算表"/>
      <sheetName val="四标段标底汇总表 "/>
      <sheetName val="四标段标底计算表"/>
      <sheetName val="五标段标底汇总表"/>
      <sheetName val="五标段标底计算表"/>
      <sheetName val="六标段标底汇总表"/>
      <sheetName val="六标段标底计算表"/>
      <sheetName val="七标段标底汇总表 "/>
      <sheetName val="七标段标底计算表 "/>
      <sheetName val="八标段标底汇总表 "/>
      <sheetName val="八标段标底计算表 "/>
      <sheetName val="九标段标底汇总表 "/>
      <sheetName val="九标段标底计算表"/>
      <sheetName val="工程费单价汇总表"/>
      <sheetName val="机械台班费单价汇总表"/>
      <sheetName val="附表4单价"/>
      <sheetName val="附表1 人"/>
      <sheetName val="附表2"/>
      <sheetName val="附表2-1主材"/>
      <sheetName val="附表3机"/>
      <sheetName val="附表6砼砂浆"/>
      <sheetName val="Sheet1"/>
      <sheetName val="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05.xml><?xml version="1.0" encoding="utf-8"?>
<externalLink xmlns="http://schemas.openxmlformats.org/spreadsheetml/2006/main">
  <externalBook xmlns:r="http://schemas.openxmlformats.org/officeDocument/2006/relationships" r:id="rId1">
    <sheetNames>
      <sheetName val="总报价表"/>
      <sheetName val="编制说明"/>
      <sheetName val="工程项目总价表"/>
      <sheetName val="分组工程量清单报价表"/>
      <sheetName val="单价汇总表"/>
      <sheetName val="计日工项目计价表"/>
      <sheetName val="工程单价费（税）率汇总表"/>
      <sheetName val="电、风、水、砂石基础单价"/>
      <sheetName val="新定额单价"/>
      <sheetName val="材料预算价"/>
      <sheetName val="工程单价计算表"/>
      <sheetName val="Sheet1"/>
      <sheetName val="Sheet7"/>
      <sheetName val="工程量汇总表"/>
      <sheetName val="配合比"/>
      <sheetName val="台时"/>
      <sheetName val="独立费用"/>
      <sheetName val="监理费用"/>
      <sheetName val="设计费"/>
      <sheetName val="材料分析"/>
      <sheetName val="取费表"/>
      <sheetName val="基础材料表"/>
      <sheetName val="管材价格"/>
      <sheetName val="附4工程费单价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06.xml><?xml version="1.0" encoding="utf-8"?>
<externalLink xmlns="http://schemas.openxmlformats.org/spreadsheetml/2006/main">
  <externalBook xmlns:r="http://schemas.openxmlformats.org/officeDocument/2006/relationships" r:id="rId1">
    <sheetNames>
      <sheetName val="封面"/>
      <sheetName val="编制说明"/>
      <sheetName val="（二标段）控制价汇总表"/>
      <sheetName val="主体工程控制价计算表"/>
      <sheetName val="渠道建筑物控制价计算表"/>
      <sheetName val="沟道建筑物控制价计算表"/>
      <sheetName val="机电设备"/>
      <sheetName val="望远单价汇总表"/>
      <sheetName val="单价汇总表"/>
      <sheetName val="工程单价费（税）率汇总表"/>
      <sheetName val="材料分析表"/>
      <sheetName val="望远材料分析表"/>
      <sheetName val="配合比表"/>
      <sheetName val="总台班"/>
      <sheetName val="机械台时费计算表"/>
      <sheetName val="单价计算表"/>
      <sheetName val="建筑工程单价计算表"/>
      <sheetName val="小型常用工程取费表"/>
      <sheetName val="望远单价计算表"/>
      <sheetName val="定额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07.xml><?xml version="1.0" encoding="utf-8"?>
<externalLink xmlns="http://schemas.openxmlformats.org/spreadsheetml/2006/main">
  <externalBook xmlns:r="http://schemas.openxmlformats.org/officeDocument/2006/relationships" r:id="rId1">
    <sheetNames>
      <sheetName val="POWER ASSUMPTIONS"/>
      <sheetName val="附表4直接工程费单价表"/>
    </sheetNames>
    <sheetDataSet>
      <sheetData sheetId="0" refreshError="1"/>
      <sheetData sheetId="1" refreshError="1"/>
    </sheetDataSet>
  </externalBook>
</externalLink>
</file>

<file path=xl/externalLinks/externalLink208.xml><?xml version="1.0" encoding="utf-8"?>
<externalLink xmlns="http://schemas.openxmlformats.org/spreadsheetml/2006/main">
  <externalBook xmlns:r="http://schemas.openxmlformats.org/officeDocument/2006/relationships" r:id="rId1">
    <sheetNames>
      <sheetName val="表6不可预见费南 "/>
      <sheetName val="表5-2工程监理费南"/>
      <sheetName val="表3工程施工费南 "/>
      <sheetName val="表5-3竣工验收费南 "/>
      <sheetName val="表5其他费用南 "/>
      <sheetName val="表5-1前期工作费南"/>
      <sheetName val="表4设备费南 "/>
      <sheetName val="表5-4业主管理费南 "/>
      <sheetName val="表2预算总表 南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09.xml><?xml version="1.0" encoding="utf-8"?>
<externalLink xmlns="http://schemas.openxmlformats.org/spreadsheetml/2006/main">
  <externalBook xmlns:r="http://schemas.openxmlformats.org/officeDocument/2006/relationships" r:id="rId1">
    <sheetNames>
      <sheetName val="附表3机械"/>
      <sheetName val="附表2材料"/>
      <sheetName val="附表1人工"/>
      <sheetName val="附表6砼配"/>
      <sheetName val="表3工程施工费表"/>
      <sheetName val="新定额单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定额"/>
      <sheetName val="总表"/>
      <sheetName val="汇总表"/>
      <sheetName val="工程量计算"/>
      <sheetName val="Toolbox"/>
      <sheetName val="附表1人工单价表"/>
      <sheetName val="表5-3竣工"/>
      <sheetName val="#REF"/>
      <sheetName val="附表4直接工程费单价表"/>
      <sheetName val="附表2材料价格计算表"/>
      <sheetName val="表3工程施工费用"/>
      <sheetName val="附表2"/>
      <sheetName val="附表4单价"/>
      <sheetName val="附表2 材料价格表"/>
      <sheetName val="设备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10.xml><?xml version="1.0" encoding="utf-8"?>
<externalLink xmlns="http://schemas.openxmlformats.org/spreadsheetml/2006/main">
  <externalBook xmlns:r="http://schemas.openxmlformats.org/officeDocument/2006/relationships" r:id="rId1">
    <sheetNames>
      <sheetName val="附表3机械台班计算表"/>
      <sheetName val="附表7砂浆配比表"/>
      <sheetName val="附表6砼配比表"/>
      <sheetName val="单位估价"/>
      <sheetName val="附表4单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1.xml><?xml version="1.0" encoding="utf-8"?>
<externalLink xmlns="http://schemas.openxmlformats.org/spreadsheetml/2006/main">
  <externalBook xmlns:r="http://schemas.openxmlformats.org/officeDocument/2006/relationships" r:id="rId1">
    <sheetNames>
      <sheetName val="附表3机械台班计算表"/>
      <sheetName val="附表7砂浆配比表"/>
      <sheetName val="附表6砼配比表"/>
      <sheetName val="申请表（正面）"/>
    </sheetNames>
    <definedNames>
      <definedName name="宝丰" refersTo="=#NAME?" sheetId="3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12.xml><?xml version="1.0" encoding="utf-8"?>
<externalLink xmlns="http://schemas.openxmlformats.org/spreadsheetml/2006/main">
  <externalBook xmlns:r="http://schemas.openxmlformats.org/officeDocument/2006/relationships" r:id="rId1">
    <sheetNames>
      <sheetName val="附表2人工预算单价"/>
      <sheetName val="附表2"/>
    </sheetNames>
    <sheetDataSet>
      <sheetData sheetId="0" refreshError="1"/>
      <sheetData sheetId="1" refreshError="1"/>
    </sheetDataSet>
  </externalBook>
</externalLink>
</file>

<file path=xl/externalLinks/externalLink213.xml><?xml version="1.0" encoding="utf-8"?>
<externalLink xmlns="http://schemas.openxmlformats.org/spreadsheetml/2006/main">
  <externalBook xmlns:r="http://schemas.openxmlformats.org/officeDocument/2006/relationships" r:id="rId1">
    <sheetNames>
      <sheetName val="单价汇总表 (2)"/>
      <sheetName val="管材价格"/>
      <sheetName val="控制价计算表（二标段）"/>
      <sheetName val="暗管单体建筑物控制价计算表"/>
      <sheetName val="自筹部分"/>
      <sheetName val="望远单价汇总表"/>
      <sheetName val="单价汇总表"/>
      <sheetName val="材料预算价格分析表"/>
      <sheetName val="望远材料分析表"/>
      <sheetName val="配合比表"/>
      <sheetName val="机械台时费汇总表"/>
      <sheetName val="暗管单价"/>
      <sheetName val="施工机械台时计算表"/>
      <sheetName val="单价计算表"/>
      <sheetName val="工程单价计算表"/>
      <sheetName val="小型常用工程取费表"/>
      <sheetName val="望远单价计算表"/>
    </sheetNames>
    <definedNames>
      <definedName name="Module.Prix_SMC" refersTo="='单价汇总表 (2)'!#REF!" sheetId="7"/>
      <definedName name="Prix_SMC" refersTo="='单价汇总表 (2)'!#REF!" sheetId="7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14.xml><?xml version="1.0" encoding="utf-8"?>
<externalLink xmlns="http://schemas.openxmlformats.org/spreadsheetml/2006/main">
  <externalBook xmlns:r="http://schemas.openxmlformats.org/officeDocument/2006/relationships" r:id="rId1">
    <sheetNames>
      <sheetName val="耕地现状面积汇总表"/>
      <sheetName val="暗管排水数据计算表"/>
      <sheetName val="砂石生产路数据汇总表"/>
      <sheetName val="客土回填措施数据汇总表"/>
      <sheetName val="耕地质量提升及土地平整措施"/>
      <sheetName val="农渠维修改造砌护工程"/>
      <sheetName val="工程量汇总"/>
      <sheetName val="效益分析表"/>
      <sheetName val="土地平整工程量汇总"/>
      <sheetName val="机电设备及安装"/>
      <sheetName val="Sheet2"/>
      <sheetName val="项目区地类统计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2">
          <cell r="F32">
            <v>100560</v>
          </cell>
        </row>
      </sheetData>
      <sheetData sheetId="1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封皮 (2)"/>
      <sheetName val="封皮 ()"/>
      <sheetName val="00000ppy"/>
      <sheetName val="表5-2工程监理费南"/>
      <sheetName val="定额"/>
      <sheetName val="附表2"/>
      <sheetName val="附表4单价"/>
      <sheetName val="附表4直接工程费单价表"/>
      <sheetName val="附表2 材料价格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效益评价"/>
      <sheetName val="分标方案"/>
      <sheetName val="标段投资"/>
      <sheetName val="标底汇总总表 "/>
      <sheetName val="一标段标底汇总表"/>
      <sheetName val="1-1标滴灌管"/>
      <sheetName val="1-2、过滤器设备"/>
      <sheetName val="1-3、设备安装"/>
      <sheetName val="二标段标底汇总表 "/>
      <sheetName val="2标段"/>
      <sheetName val="三标段标底汇总表 "/>
      <sheetName val="3标段"/>
      <sheetName val="四标段标底汇总表 "/>
      <sheetName val="4-1标段"/>
      <sheetName val="4-2标段"/>
      <sheetName val="五标段标底汇总表"/>
      <sheetName val="5标段"/>
      <sheetName val="六标段标底汇总表 "/>
      <sheetName val="6标段"/>
      <sheetName val="表7分月用款计划南 "/>
      <sheetName val="附表1 人"/>
      <sheetName val="Sheet3"/>
      <sheetName val="Sheet2"/>
      <sheetName val="附表2主材"/>
      <sheetName val="附表2-2主材运杂费"/>
      <sheetName val="附表3机台费"/>
      <sheetName val="附表4单价"/>
      <sheetName val="附表5砼砂浆"/>
      <sheetName val="表1总预算及分年"/>
      <sheetName val="表2预算总表"/>
      <sheetName val="表3施工费"/>
      <sheetName val="单重"/>
      <sheetName val="附表2-1次材"/>
      <sheetName val="表4设备"/>
      <sheetName val="表5其他 "/>
      <sheetName val="表6不可预见"/>
      <sheetName val="附表5主要材料用量"/>
      <sheetName val="Sheet1"/>
      <sheetName val="附表2 材料价格表"/>
      <sheetName val="附表4直接工程费单价表"/>
      <sheetName val="附表2"/>
      <sheetName val="Financ. Overview"/>
      <sheetName val="Toolbo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封皮 (2)"/>
      <sheetName val="封皮 ()"/>
      <sheetName val="00000ppy"/>
      <sheetName val="表5-2工程监理费南"/>
      <sheetName val="Financ. Overview"/>
      <sheetName val="Toolbo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材价汇"/>
      <sheetName val="汇总"/>
      <sheetName val="表3-8"/>
      <sheetName val="机械汇总"/>
      <sheetName val="表3-1直接费预算表达式1"/>
      <sheetName val="表2预算汇总表"/>
      <sheetName val="附表3机械"/>
      <sheetName val="定额"/>
      <sheetName val="Financ. Overview"/>
      <sheetName val="Toolbo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5"/>
      <sheetName val="附表2"/>
      <sheetName val="附表4单价"/>
      <sheetName val="#REF!"/>
      <sheetName val="附表2材料价格表"/>
      <sheetName val="附表3机械台班"/>
      <sheetName val="附表5直接工程费单价表"/>
      <sheetName val="表3工程施工费表"/>
      <sheetName val="附表2-1主材"/>
      <sheetName val="G.1R-Shou COP Gf"/>
      <sheetName val="定额"/>
      <sheetName val="Financ. Overview"/>
      <sheetName val="Toolbox"/>
      <sheetName val="附表4直接工程费单价表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1"/>
      <sheetName val="2"/>
      <sheetName val="3 "/>
      <sheetName val="3(1)"/>
      <sheetName val="4"/>
      <sheetName val="5"/>
      <sheetName val="Sheet1."/>
      <sheetName val="Sheet1"/>
      <sheetName val="6.1"/>
      <sheetName val="7"/>
      <sheetName val="8"/>
      <sheetName val="10"/>
      <sheetName val="11"/>
      <sheetName val="12"/>
      <sheetName val="13"/>
      <sheetName val="14"/>
      <sheetName val="16"/>
      <sheetName val="17"/>
      <sheetName val="18"/>
      <sheetName val="19"/>
      <sheetName val="15.."/>
      <sheetName val="20"/>
      <sheetName val="21"/>
      <sheetName val="22"/>
      <sheetName val="22 (2)"/>
      <sheetName val="23"/>
      <sheetName val="23 (2)."/>
      <sheetName val="24."/>
      <sheetName val="24 (2)"/>
      <sheetName val="25"/>
      <sheetName val="26"/>
      <sheetName val="27"/>
      <sheetName val="28"/>
      <sheetName val="29"/>
      <sheetName val="30."/>
      <sheetName val="31."/>
      <sheetName val="37"/>
      <sheetName val="38"/>
      <sheetName val="39"/>
      <sheetName val="41"/>
      <sheetName val="42"/>
      <sheetName val="43"/>
      <sheetName val="46"/>
      <sheetName val="47"/>
      <sheetName val="48"/>
      <sheetName val="49"/>
      <sheetName val="53."/>
      <sheetName val="54"/>
      <sheetName val="54 (2)."/>
      <sheetName val="55."/>
      <sheetName val="56"/>
      <sheetName val="57"/>
      <sheetName val="58."/>
      <sheetName val="60"/>
      <sheetName val="61"/>
      <sheetName val="23 (2)"/>
      <sheetName val="3"/>
      <sheetName val="6"/>
      <sheetName val="基"/>
      <sheetName val="15"/>
      <sheetName val="21."/>
      <sheetName val="33."/>
      <sheetName val="闸"/>
      <sheetName val="桥"/>
      <sheetName val="渠"/>
      <sheetName val="45"/>
      <sheetName val="55"/>
      <sheetName val="80"/>
      <sheetName val="82"/>
      <sheetName val="83"/>
      <sheetName val="84"/>
      <sheetName val="85"/>
      <sheetName val="19."/>
      <sheetName val="20."/>
      <sheetName val="22."/>
      <sheetName val="23."/>
      <sheetName val="35."/>
      <sheetName val="36."/>
      <sheetName val="42 (2)"/>
      <sheetName val="44"/>
      <sheetName val="48."/>
      <sheetName val="45."/>
      <sheetName val="3 (3)"/>
      <sheetName val="9"/>
      <sheetName val="砼运"/>
      <sheetName val="砼拌制"/>
      <sheetName val="砼垂运."/>
      <sheetName val="人夯填"/>
      <sheetName val="人填."/>
      <sheetName val="人挖土渠"/>
      <sheetName val="挖掘土"/>
      <sheetName val="推土10m"/>
      <sheetName val="推土30m"/>
      <sheetName val="挖运4km"/>
      <sheetName val="挖运2km"/>
      <sheetName val="羊足碾压"/>
      <sheetName val="戈壁"/>
      <sheetName val="风积沙"/>
      <sheetName val="干砌坡"/>
      <sheetName val="浆砌坡"/>
      <sheetName val="浆曲."/>
      <sheetName val="运预制块"/>
      <sheetName val="预制块"/>
      <sheetName val="预制块运200m."/>
      <sheetName val="预制块砌"/>
      <sheetName val="水闸"/>
      <sheetName val="垫层"/>
      <sheetName val="渠封顶板"/>
      <sheetName val="渡槽"/>
      <sheetName val="挡土墙"/>
      <sheetName val="预盖板"/>
      <sheetName val="预无压管"/>
      <sheetName val="钢筋"/>
      <sheetName val="砼桩"/>
      <sheetName val="苯板"/>
      <sheetName val="聚"/>
      <sheetName val="苯板保温"/>
      <sheetName val="膜"/>
      <sheetName val="土工膜"/>
      <sheetName val="橡胶止水"/>
      <sheetName val="螺."/>
      <sheetName val="平门"/>
      <sheetName val="埋件"/>
      <sheetName val="65."/>
      <sheetName val="挖运2km."/>
      <sheetName val="沙垫层"/>
      <sheetName val="封顶板"/>
      <sheetName val="渡槽."/>
      <sheetName val="预盖板."/>
      <sheetName val="3(2)"/>
      <sheetName val="3(3)"/>
      <sheetName val="经常费"/>
      <sheetName val="运费"/>
      <sheetName val="材预价"/>
      <sheetName val="风水电"/>
      <sheetName val="砼"/>
      <sheetName val="台班"/>
      <sheetName val="基."/>
      <sheetName val="搅拌机"/>
      <sheetName val="回填土"/>
      <sheetName val="人挖"/>
      <sheetName val="推土10"/>
      <sheetName val="挖掘机"/>
      <sheetName val="挖掘自卸"/>
      <sheetName val="挖晒砂"/>
      <sheetName val="筛运砂"/>
      <sheetName val="反滤"/>
      <sheetName val="砼挡土墙二"/>
      <sheetName val="砼挡土墙三"/>
      <sheetName val="闸墩"/>
      <sheetName val="溢流堰"/>
      <sheetName val="胸墙"/>
      <sheetName val="桥墩"/>
      <sheetName val="闸底板"/>
      <sheetName val="闸垫层"/>
      <sheetName val="预制砼板"/>
      <sheetName val="运预制板"/>
      <sheetName val="概钢筋制安"/>
      <sheetName val="浆砌墙"/>
      <sheetName val="抛石"/>
      <sheetName val="钢筋笼"/>
      <sheetName val="聚胺脂"/>
      <sheetName val="汇总表"/>
      <sheetName val="螺杆1t"/>
      <sheetName val="平门3t"/>
      <sheetName val="螺杆2t"/>
      <sheetName val="平门10t"/>
      <sheetName val="栏污栅"/>
      <sheetName val="栅槽"/>
      <sheetName val="0.3膜"/>
      <sheetName val="0.5膜 "/>
      <sheetName val="防浪墙"/>
      <sheetName val="搅拌机 (2)"/>
      <sheetName val="钢筋制安"/>
      <sheetName val="橡胶."/>
      <sheetName val="高压闭孔板"/>
      <sheetName val="运卵石"/>
      <sheetName val="人捡石"/>
      <sheetName val="预砼板"/>
      <sheetName val="运砼板"/>
      <sheetName val="预制砼块"/>
      <sheetName val="苯板(平铺)"/>
      <sheetName val="羊脚碾."/>
      <sheetName val="铲运机300m."/>
      <sheetName val="推土50m."/>
      <sheetName val="推土40m."/>
      <sheetName val="推土20m."/>
      <sheetName val="自卸车运6km."/>
      <sheetName val="自卸车运30km."/>
      <sheetName val="坝体压实2Km"/>
      <sheetName val="坝体压实0.5Km"/>
      <sheetName val="砾石护坡"/>
      <sheetName val="碎石垫层."/>
      <sheetName val="戈壁."/>
      <sheetName val="干砌."/>
      <sheetName val="浆拆."/>
      <sheetName val="砂垫层."/>
      <sheetName val="土工膜."/>
      <sheetName val="土工布."/>
      <sheetName val="砼面板"/>
      <sheetName val="护坡砼"/>
      <sheetName val="砼阻滑墙"/>
      <sheetName val="护坡砼."/>
      <sheetName val="碎石垫层"/>
      <sheetName val="沥青路面"/>
      <sheetName val="编织袋围堰."/>
      <sheetName val="BW胶."/>
      <sheetName val="弧门."/>
      <sheetName val="卷扬机"/>
      <sheetName val="00000ppy"/>
      <sheetName val="数据字典"/>
      <sheetName val="定额"/>
      <sheetName val="附表4直接工程费单价表"/>
      <sheetName val="Financ. Overview"/>
      <sheetName val="Toolbox"/>
      <sheetName val="表6不可预见"/>
      <sheetName val="表3工程施工费表"/>
      <sheetName val="#REF!"/>
      <sheetName val="附表2"/>
      <sheetName val="附表4单价"/>
      <sheetName val="材料表"/>
      <sheetName val="附表2材料价格计算表"/>
      <sheetName val="表3工程施工费用"/>
      <sheetName val="表5-2工程监理费南"/>
      <sheetName val="单价宁夏新"/>
      <sheetName val="直接工程费"/>
      <sheetName val="表4-1设备费"/>
      <sheetName val="阿卡尔djb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附表2-1主要材料价格计算表"/>
      <sheetName val="表1总预算及分年南"/>
      <sheetName val="表2预算总表 南"/>
      <sheetName val="表3工程施工费南 "/>
      <sheetName val="表3-1直接费南"/>
      <sheetName val="表3-1-1直接工程费南"/>
      <sheetName val="表3-2间接费南"/>
      <sheetName val="表4设备费南 "/>
      <sheetName val="表5其他费用南 "/>
      <sheetName val="表5-1前期工作费南"/>
      <sheetName val="表5-2工程监理费南"/>
      <sheetName val="表5-3竣工验收费南 "/>
      <sheetName val="表5-4业主管理费南 "/>
      <sheetName val="表6不可预见费南 "/>
      <sheetName val="表7分月用款计划南 "/>
      <sheetName val="附表1 人工单价表"/>
      <sheetName val="附表2 材料价格表"/>
      <sheetName val="附表3机械台班使用费"/>
      <sheetName val="附表3-1补充机械定额"/>
      <sheetName val="附表4风、水、电计算表"/>
      <sheetName val="附表4直接工程费单价表"/>
      <sheetName val="附表5砼、沙浆费计算表"/>
      <sheetName val="工程量"/>
      <sheetName val="5"/>
      <sheetName val="#REF"/>
      <sheetName val="00000ppy"/>
      <sheetName val="配合比"/>
      <sheetName val="Sheet3"/>
      <sheetName val="主材"/>
      <sheetName val="次材"/>
      <sheetName val="台班"/>
      <sheetName val="单价分析表"/>
      <sheetName val="人工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1"/>
      <sheetName val="2"/>
      <sheetName val="3 "/>
      <sheetName val="3(1)"/>
      <sheetName val="4"/>
      <sheetName val="5"/>
      <sheetName val="Sheet1."/>
      <sheetName val="Sheet1"/>
      <sheetName val="6.1"/>
      <sheetName val="7"/>
      <sheetName val="8"/>
      <sheetName val="10"/>
      <sheetName val="11"/>
      <sheetName val="12"/>
      <sheetName val="13"/>
      <sheetName val="14"/>
      <sheetName val="16"/>
      <sheetName val="17"/>
      <sheetName val="18"/>
      <sheetName val="19"/>
      <sheetName val="15.."/>
      <sheetName val="20"/>
      <sheetName val="21"/>
      <sheetName val="22"/>
      <sheetName val="22 (2)"/>
      <sheetName val="23"/>
      <sheetName val="23 (2)."/>
      <sheetName val="24."/>
      <sheetName val="24 (2)"/>
      <sheetName val="25"/>
      <sheetName val="26"/>
      <sheetName val="27"/>
      <sheetName val="28"/>
      <sheetName val="29"/>
      <sheetName val="30."/>
      <sheetName val="31."/>
      <sheetName val="37"/>
      <sheetName val="38"/>
      <sheetName val="39"/>
      <sheetName val="41"/>
      <sheetName val="42"/>
      <sheetName val="43"/>
      <sheetName val="46"/>
      <sheetName val="47"/>
      <sheetName val="48"/>
      <sheetName val="49"/>
      <sheetName val="53."/>
      <sheetName val="54"/>
      <sheetName val="54 (2)."/>
      <sheetName val="55."/>
      <sheetName val="56"/>
      <sheetName val="57"/>
      <sheetName val="58."/>
      <sheetName val="60"/>
      <sheetName val="61"/>
      <sheetName val="23 (2)"/>
      <sheetName val="3"/>
      <sheetName val="6"/>
      <sheetName val="基"/>
      <sheetName val="15"/>
      <sheetName val="21."/>
      <sheetName val="33."/>
      <sheetName val="闸"/>
      <sheetName val="桥"/>
      <sheetName val="渠"/>
      <sheetName val="45"/>
      <sheetName val="55"/>
      <sheetName val="80"/>
      <sheetName val="82"/>
      <sheetName val="83"/>
      <sheetName val="84"/>
      <sheetName val="85"/>
      <sheetName val="19."/>
      <sheetName val="20."/>
      <sheetName val="22."/>
      <sheetName val="23."/>
      <sheetName val="35."/>
      <sheetName val="36."/>
      <sheetName val="42 (2)"/>
      <sheetName val="44"/>
      <sheetName val="48."/>
      <sheetName val="45."/>
      <sheetName val="3 (3)"/>
      <sheetName val="9"/>
      <sheetName val="砼运"/>
      <sheetName val="砼拌制"/>
      <sheetName val="砼垂运."/>
      <sheetName val="人夯填"/>
      <sheetName val="人填."/>
      <sheetName val="人挖土渠"/>
      <sheetName val="挖掘土"/>
      <sheetName val="推土10m"/>
      <sheetName val="推土30m"/>
      <sheetName val="挖运4km"/>
      <sheetName val="挖运2km"/>
      <sheetName val="羊足碾压"/>
      <sheetName val="戈壁"/>
      <sheetName val="风积沙"/>
      <sheetName val="干砌坡"/>
      <sheetName val="浆砌坡"/>
      <sheetName val="浆曲."/>
      <sheetName val="运预制块"/>
      <sheetName val="预制块"/>
      <sheetName val="预制块运200m."/>
      <sheetName val="预制块砌"/>
      <sheetName val="水闸"/>
      <sheetName val="垫层"/>
      <sheetName val="渠封顶板"/>
      <sheetName val="渡槽"/>
      <sheetName val="挡土墙"/>
      <sheetName val="预盖板"/>
      <sheetName val="预无压管"/>
      <sheetName val="钢筋"/>
      <sheetName val="砼桩"/>
      <sheetName val="苯板"/>
      <sheetName val="聚"/>
      <sheetName val="苯板保温"/>
      <sheetName val="膜"/>
      <sheetName val="土工膜"/>
      <sheetName val="橡胶止水"/>
      <sheetName val="螺."/>
      <sheetName val="平门"/>
      <sheetName val="埋件"/>
      <sheetName val="65."/>
      <sheetName val="挖运2km."/>
      <sheetName val="沙垫层"/>
      <sheetName val="封顶板"/>
      <sheetName val="渡槽."/>
      <sheetName val="预盖板."/>
      <sheetName val="3(2)"/>
      <sheetName val="3(3)"/>
      <sheetName val="经常费"/>
      <sheetName val="运费"/>
      <sheetName val="材预价"/>
      <sheetName val="风水电"/>
      <sheetName val="砼"/>
      <sheetName val="台班"/>
      <sheetName val="基."/>
      <sheetName val="搅拌机"/>
      <sheetName val="回填土"/>
      <sheetName val="人挖"/>
      <sheetName val="推土10"/>
      <sheetName val="挖掘机"/>
      <sheetName val="挖掘自卸"/>
      <sheetName val="挖晒砂"/>
      <sheetName val="筛运砂"/>
      <sheetName val="反滤"/>
      <sheetName val="砼挡土墙二"/>
      <sheetName val="砼挡土墙三"/>
      <sheetName val="闸墩"/>
      <sheetName val="溢流堰"/>
      <sheetName val="胸墙"/>
      <sheetName val="桥墩"/>
      <sheetName val="闸底板"/>
      <sheetName val="闸垫层"/>
      <sheetName val="预制砼板"/>
      <sheetName val="运预制板"/>
      <sheetName val="概钢筋制安"/>
      <sheetName val="浆砌墙"/>
      <sheetName val="抛石"/>
      <sheetName val="钢筋笼"/>
      <sheetName val="聚胺脂"/>
      <sheetName val="汇总表"/>
      <sheetName val="螺杆1t"/>
      <sheetName val="平门3t"/>
      <sheetName val="螺杆2t"/>
      <sheetName val="平门10t"/>
      <sheetName val="栏污栅"/>
      <sheetName val="栅槽"/>
      <sheetName val="0.3膜"/>
      <sheetName val="0.5膜 "/>
      <sheetName val="防浪墙"/>
      <sheetName val="搅拌机 (2)"/>
      <sheetName val="钢筋制安"/>
      <sheetName val="橡胶."/>
      <sheetName val="高压闭孔板"/>
      <sheetName val="运卵石"/>
      <sheetName val="人捡石"/>
      <sheetName val="预砼板"/>
      <sheetName val="运砼板"/>
      <sheetName val="预制砼块"/>
      <sheetName val="苯板(平铺)"/>
      <sheetName val="羊脚碾."/>
      <sheetName val="铲运机300m."/>
      <sheetName val="推土50m."/>
      <sheetName val="推土40m."/>
      <sheetName val="推土20m."/>
      <sheetName val="自卸车运6km."/>
      <sheetName val="自卸车运30km."/>
      <sheetName val="坝体压实2Km"/>
      <sheetName val="坝体压实0.5Km"/>
      <sheetName val="砾石护坡"/>
      <sheetName val="碎石垫层."/>
      <sheetName val="戈壁."/>
      <sheetName val="干砌."/>
      <sheetName val="浆拆."/>
      <sheetName val="砂垫层."/>
      <sheetName val="土工膜."/>
      <sheetName val="土工布."/>
      <sheetName val="砼面板"/>
      <sheetName val="护坡砼"/>
      <sheetName val="砼阻滑墙"/>
      <sheetName val="护坡砼."/>
      <sheetName val="碎石垫层"/>
      <sheetName val="沥青路面"/>
      <sheetName val="编织袋围堰."/>
      <sheetName val="BW胶."/>
      <sheetName val="弧门."/>
      <sheetName val="卷扬机"/>
      <sheetName val="00000ppy"/>
      <sheetName val="定额"/>
      <sheetName val="附表3机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独立费用"/>
      <sheetName val="总概算表（方案一）"/>
      <sheetName val="建筑工程概算（方案一）"/>
      <sheetName val="临时工程（方案一）"/>
      <sheetName val="独立费用 (2)"/>
      <sheetName val="总概算表（方案二）"/>
      <sheetName val="建筑工程概算（方案二）"/>
      <sheetName val="临时工程（方案二）"/>
      <sheetName val="独立费用 (3)"/>
      <sheetName val="总概算表（方案三）"/>
      <sheetName val="建筑工程概算（方案三）"/>
      <sheetName val="临时工程（方案三）"/>
      <sheetName val="独立费用 (4)"/>
      <sheetName val="总概算表（方案四）"/>
      <sheetName val="建筑工程概算（方案四）"/>
      <sheetName val="临时工程（方案四）"/>
      <sheetName val="占地概算"/>
      <sheetName val="水保概算"/>
      <sheetName val="环境保护概算"/>
      <sheetName val="机电设备及安装工程"/>
      <sheetName val="金属结构及安装"/>
      <sheetName val="单价汇总"/>
      <sheetName val="主要材料预算价"/>
      <sheetName val="次要材料预算价格"/>
      <sheetName val="台时"/>
      <sheetName val="工程量汇总"/>
      <sheetName val="人工预算单价计算表"/>
      <sheetName val="配合比"/>
      <sheetName val="单价"/>
      <sheetName val="格宾网垫及格栅石笼计算表"/>
      <sheetName val="设计费"/>
      <sheetName val="材料分析"/>
      <sheetName val="Sheet1"/>
      <sheetName val="工程部分总概算表"/>
      <sheetName val="G.1R-Shou COP Gf"/>
      <sheetName val="单价表"/>
      <sheetName val="5"/>
      <sheetName val="Toolbox"/>
      <sheetName val="新定额单价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  <sheetName val="取费"/>
      <sheetName val="5"/>
      <sheetName val="附表2"/>
      <sheetName val="数据字典"/>
      <sheetName val="附表2 材料价格表"/>
      <sheetName val="附表4直接工程费单价表"/>
      <sheetName val="Main"/>
      <sheetName val="材料分析表"/>
      <sheetName val="新定额单价"/>
      <sheetName val="工程单价计算表"/>
      <sheetName val="附表4单价"/>
      <sheetName val="定额"/>
      <sheetName val="材料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Main"/>
      <sheetName val="5"/>
      <sheetName val="数据字典"/>
      <sheetName val="附表4直接工程费单价表"/>
      <sheetName val="附表2材料价格计算表"/>
      <sheetName val="表3工程施工费用"/>
      <sheetName val="eqpmad2"/>
      <sheetName val="机械汇总"/>
      <sheetName val="材价汇"/>
      <sheetName val="表2预算汇总表"/>
      <sheetName val="表3-1直接费预算表达式1"/>
      <sheetName val="表3-8"/>
      <sheetName val="定额"/>
      <sheetName val="材料表"/>
      <sheetName val="附表2 材料价格表"/>
      <sheetName val="#REF"/>
      <sheetName val="附表2"/>
      <sheetName val="附表4单价"/>
      <sheetName val="POWER ASSUMPTIONS"/>
      <sheetName val="二级代码"/>
      <sheetName val="直接工程费"/>
      <sheetName val="G.1R-Shou COP Gf"/>
      <sheetName val="附表2材料价格表"/>
      <sheetName val="附表3机械台班"/>
      <sheetName val="附表5直接工程费单价表"/>
      <sheetName val="表2总预算"/>
      <sheetName val="表3工程施工费表"/>
      <sheetName val="表4设备购置费"/>
      <sheetName val="配合比"/>
      <sheetName val="Sheet3"/>
      <sheetName val="主材"/>
      <sheetName val="次材"/>
      <sheetName val="台班"/>
      <sheetName val="单价分析表"/>
      <sheetName val="人工"/>
      <sheetName val="Financ. Overview"/>
      <sheetName val="Toolbox"/>
      <sheetName val="表6不可预见费南 "/>
      <sheetName val="表5-2工程监理费南"/>
      <sheetName val="表3工程施工费南 "/>
      <sheetName val="表5-3竣工验收费南 "/>
      <sheetName val="表5其他费用南 "/>
      <sheetName val="表5-1前期工作费南"/>
      <sheetName val="表4设备费南 "/>
      <sheetName val="表5-4业主管理费南 "/>
      <sheetName val="表2预算总表 南"/>
      <sheetName val="附表4工程费单价表"/>
      <sheetName val="新定额单价"/>
      <sheetName val="#REF!"/>
      <sheetName val="SW-TEO"/>
      <sheetName val="Open"/>
      <sheetName val="附表2-1主材"/>
      <sheetName val="P1012001"/>
      <sheetName val="前期"/>
      <sheetName val="业主"/>
      <sheetName val="机电设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Main"/>
      <sheetName val="5"/>
      <sheetName val="数据字典"/>
      <sheetName val="附表4直接工程费单价表"/>
      <sheetName val="附表2材料价格计算表"/>
      <sheetName val="表3工程施工费用"/>
      <sheetName val="eqpmad2"/>
      <sheetName val="机械汇总"/>
      <sheetName val="材价汇"/>
      <sheetName val="表2预算汇总表"/>
      <sheetName val="表3-1直接费预算表达式1"/>
      <sheetName val="表3-8"/>
      <sheetName val="定额"/>
      <sheetName val="材料表"/>
      <sheetName val="附表2 材料价格表"/>
      <sheetName val="#REF"/>
      <sheetName val="附表2"/>
      <sheetName val="附表4单价"/>
      <sheetName val="POWER ASSUMPTIONS"/>
      <sheetName val="00000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数据字典"/>
      <sheetName val="Financ. Overview"/>
      <sheetName val="Toolbox"/>
      <sheetName val="附表4砼、沙浆费计算表"/>
      <sheetName val="5"/>
      <sheetName val="附表4单价"/>
      <sheetName val="Main"/>
      <sheetName val="定额"/>
      <sheetName val="材料表"/>
      <sheetName val="00000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附表2-1主要材料价格计算表"/>
      <sheetName val="表1总预算及分年南"/>
      <sheetName val="表2预算总表 南"/>
      <sheetName val="表3工程施工费南 "/>
      <sheetName val="表3-1直接费南"/>
      <sheetName val="表3-1-1直接工程费南"/>
      <sheetName val="表3-2间接费南"/>
      <sheetName val="表4设备费南 "/>
      <sheetName val="表5其他费用南 "/>
      <sheetName val="表5-1前期工作费南"/>
      <sheetName val="表5-2工程监理费南"/>
      <sheetName val="表5-3竣工验收费南 "/>
      <sheetName val="表5-4业主管理费南 "/>
      <sheetName val="表6不可预见费南 "/>
      <sheetName val="表7分月用款计划南 "/>
      <sheetName val="附表1 人工单价表"/>
      <sheetName val="附表2 材料价格表"/>
      <sheetName val="附表3机械台班使用费"/>
      <sheetName val="附表3-1补充机械定额"/>
      <sheetName val="附表4风、水、电计算表"/>
      <sheetName val="附表4直接工程费单价表"/>
      <sheetName val="附表5砼、沙浆费计算表"/>
      <sheetName val="工程量"/>
      <sheetName val="5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工作证"/>
      <sheetName val="配置参数"/>
      <sheetName val="数据字典"/>
      <sheetName val="5"/>
      <sheetName val="配合比"/>
      <sheetName val="Sheet3"/>
      <sheetName val="主材"/>
      <sheetName val="次材"/>
      <sheetName val="单价分析表"/>
      <sheetName val="台班"/>
      <sheetName val="人工"/>
      <sheetName val="附表2材料价格表"/>
      <sheetName val="附表3机械台班"/>
      <sheetName val="附表5直接工程费单价表"/>
      <sheetName val="表3工程施工费表"/>
      <sheetName val="附表4单价"/>
      <sheetName val="Main"/>
      <sheetName val="表5-2工程监理费南"/>
      <sheetName val="附表4直接工程费单价表"/>
      <sheetName val="附表2材料价格计算表"/>
      <sheetName val="表3工程施工费用"/>
      <sheetName val="附表2人工预算单价"/>
      <sheetName val="定额"/>
      <sheetName val="附表3机械台班计算表"/>
      <sheetName val="附表7砂浆配比表"/>
      <sheetName val="附表6砼配比表"/>
      <sheetName val="估算表-干沟、支干沟"/>
      <sheetName val="估算表 -支沟治理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  <sheetName val="取费"/>
      <sheetName val="5"/>
      <sheetName val="Ma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数据字典"/>
      <sheetName val="5"/>
      <sheetName val="单位估价"/>
      <sheetName val="#REF"/>
      <sheetName val="Sheet2"/>
      <sheetName val="估算表-干沟、支干沟"/>
      <sheetName val="估算表 -支沟治理"/>
      <sheetName val="Main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表1项目总预算及分年度预算表"/>
      <sheetName val="表2预算汇总表"/>
      <sheetName val="表3-1直接费预算表达式1"/>
      <sheetName val="表3-1-1直接工程费预算表"/>
      <sheetName val="表3工程施工费预算表"/>
      <sheetName val="单位工程量"/>
      <sheetName val="表3工程施工费用"/>
      <sheetName val="表3-1"/>
      <sheetName val="表3-2"/>
      <sheetName val="表3-3"/>
      <sheetName val="表3-4"/>
      <sheetName val="表3-5"/>
      <sheetName val="表3-6"/>
      <sheetName val="表3-7"/>
      <sheetName val="表3-8"/>
      <sheetName val="表3-9"/>
      <sheetName val="表3-10"/>
      <sheetName val="表4设备购置费"/>
      <sheetName val="表3-2间接费预算表"/>
      <sheetName val="表5其它费用预算表"/>
      <sheetName val="表5-1前期工作费"/>
      <sheetName val="表5-2工程监理费"/>
      <sheetName val="表5-3竣工验收费"/>
      <sheetName val="表5-4业主管理费"/>
      <sheetName val="表6不可预见费"/>
      <sheetName val="表7分月用款计划"/>
      <sheetName val="附表1人工单价计算表"/>
      <sheetName val="附表2材料价格计算表"/>
      <sheetName val="附表2-1主要材料价格计算表"/>
      <sheetName val="附表2-2风水电"/>
      <sheetName val="附表3机械台班计算表"/>
      <sheetName val="附表3-1补充机械台班"/>
      <sheetName val="附表4直接工程费单价表"/>
      <sheetName val="附表5主材用量汇总表"/>
      <sheetName val="附表6砼配比表"/>
      <sheetName val="附表7砂浆配比表"/>
      <sheetName val="Sheet1"/>
      <sheetName val="Sheet2"/>
      <sheetName val="Sheet3"/>
      <sheetName val="数据字典"/>
      <sheetName val="表6不可预见"/>
      <sheetName val="表3工程施工费表"/>
      <sheetName val="定额"/>
      <sheetName val="材料表"/>
      <sheetName val="#REF"/>
      <sheetName val="机电设备"/>
      <sheetName val="Main"/>
      <sheetName val="5"/>
      <sheetName val="新定额单价"/>
      <sheetName val="配合比"/>
      <sheetName val="主材"/>
      <sheetName val="次材"/>
      <sheetName val="单价分析表"/>
      <sheetName val="台班"/>
      <sheetName val="人工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表1项目总预算及分年度预算表"/>
      <sheetName val="表2预算汇总表"/>
      <sheetName val="表3-1直接费预算表达式1"/>
      <sheetName val="表3-1-1直接工程费预算表"/>
      <sheetName val="表3工程施工费预算表"/>
      <sheetName val="单位工程量"/>
      <sheetName val="表3工程施工费用"/>
      <sheetName val="表3-1"/>
      <sheetName val="表3-2"/>
      <sheetName val="表3-3"/>
      <sheetName val="表3-4"/>
      <sheetName val="表3-5"/>
      <sheetName val="表3-6"/>
      <sheetName val="表3-7"/>
      <sheetName val="表3-8"/>
      <sheetName val="表3-9"/>
      <sheetName val="表3-10"/>
      <sheetName val="表4设备购置费"/>
      <sheetName val="表3-2间接费预算表"/>
      <sheetName val="表5其它费用预算表"/>
      <sheetName val="表5-1前期工作费"/>
      <sheetName val="表5-2工程监理费"/>
      <sheetName val="表5-3竣工验收费"/>
      <sheetName val="表5-4业主管理费"/>
      <sheetName val="表6不可预见费"/>
      <sheetName val="表7分月用款计划"/>
      <sheetName val="附表1人工单价计算表"/>
      <sheetName val="附表2材料价格计算表"/>
      <sheetName val="附表2-1主要材料价格计算表"/>
      <sheetName val="附表2-2风水电"/>
      <sheetName val="附表3机械台班计算表"/>
      <sheetName val="附表3-1补充机械台班"/>
      <sheetName val="附表4直接工程费单价表"/>
      <sheetName val="附表5主材用量汇总表"/>
      <sheetName val="附表6砼配比表"/>
      <sheetName val="附表7砂浆配比表"/>
      <sheetName val="Sheet1"/>
      <sheetName val="Sheet2"/>
      <sheetName val="Sheet3"/>
      <sheetName val="5"/>
      <sheetName val="数据字典"/>
      <sheetName val="#REF"/>
      <sheetName val="表5-2工程监理费南"/>
      <sheetName val="机电设备"/>
    </sheetNames>
    <definedNames>
      <definedName name="hj" sheetId="43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W-TEO"/>
      <sheetName val="附表2材料价格表"/>
      <sheetName val="附表3机械台班"/>
      <sheetName val="附表5直接工程费单价表"/>
      <sheetName val="表3工程施工费表"/>
      <sheetName val="附表2"/>
      <sheetName val="附表4单价"/>
      <sheetName val="Main"/>
      <sheetName val="附表4工程费单价表"/>
      <sheetName val="附表2 材料价格表"/>
      <sheetName val="eqpmad2"/>
      <sheetName val="附表4直接工程费单价表"/>
      <sheetName val="附表2材料价格计算表"/>
      <sheetName val="表3工程施工费用"/>
      <sheetName val="Open"/>
      <sheetName val="数据字典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独立费用"/>
      <sheetName val="总概算表（方案一）"/>
      <sheetName val="建筑工程概算（方案一）"/>
      <sheetName val="临时工程（方案一）"/>
      <sheetName val="独立费用 (2)"/>
      <sheetName val="总概算表（方案二）"/>
      <sheetName val="建筑工程概算（方案二）"/>
      <sheetName val="临时工程（方案二）"/>
      <sheetName val="独立费用 (3)"/>
      <sheetName val="总概算表（方案三）"/>
      <sheetName val="建筑工程概算（方案三）"/>
      <sheetName val="临时工程（方案三）"/>
      <sheetName val="独立费用 (4)"/>
      <sheetName val="总概算表（方案四）"/>
      <sheetName val="建筑工程概算（方案四）"/>
      <sheetName val="临时工程（方案四）"/>
      <sheetName val="占地概算"/>
      <sheetName val="水保概算"/>
      <sheetName val="环境保护概算"/>
      <sheetName val="机电设备及安装工程"/>
      <sheetName val="金属结构及安装"/>
      <sheetName val="单价汇总"/>
      <sheetName val="主要材料预算价"/>
      <sheetName val="次要材料预算价格"/>
      <sheetName val="台时"/>
      <sheetName val="工程量汇总"/>
      <sheetName val="人工预算单价计算表"/>
      <sheetName val="配合比"/>
      <sheetName val="单价"/>
      <sheetName val="格宾网垫及格栅石笼计算表"/>
      <sheetName val="设计费"/>
      <sheetName val="材料分析"/>
      <sheetName val="Sheet1"/>
      <sheetName val="工程部分总概算表"/>
      <sheetName val="机电设备"/>
      <sheetName val="表5-2工程监理费南"/>
      <sheetName val="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工作证"/>
      <sheetName val="配置参数"/>
      <sheetName val="数据字典"/>
      <sheetName val="Main"/>
      <sheetName val="Sheet2"/>
      <sheetName val="#REF"/>
      <sheetName val="5"/>
      <sheetName val="附表3机械"/>
      <sheetName val="附表2材料"/>
      <sheetName val="附表1人工"/>
      <sheetName val="附表6砼配"/>
      <sheetName val="表5-2工程监理费南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自动化概算投资"/>
      <sheetName val="斗渠-1"/>
      <sheetName val="斗渠-2"/>
      <sheetName val="斗渠-3"/>
      <sheetName val="斗渠-4"/>
      <sheetName val="斗渠-5"/>
      <sheetName val="斗渠-6"/>
      <sheetName val="斗渠-7"/>
      <sheetName val="七队斗渠"/>
      <sheetName val="八队斗渠"/>
      <sheetName val="镇朔渠"/>
      <sheetName val="道路"/>
      <sheetName val="沟道"/>
      <sheetName val="土地平整"/>
      <sheetName val="1"/>
      <sheetName val="2"/>
      <sheetName val="3"/>
      <sheetName val="4"/>
      <sheetName val="5"/>
      <sheetName val="6"/>
      <sheetName val="7"/>
      <sheetName val="8"/>
      <sheetName val="9"/>
      <sheetName val="10林带"/>
      <sheetName val="11预制板"/>
      <sheetName val="Sheet2"/>
      <sheetName val="增加后的施工费"/>
      <sheetName val="表5-1前期"/>
      <sheetName val="表5-2监理"/>
      <sheetName val="表5-3验收 "/>
      <sheetName val="表5-4拆迁 "/>
      <sheetName val="表5-5业主 "/>
      <sheetName val="表5-1"/>
      <sheetName val="表6"/>
      <sheetName val="11总预算及分年度汇总"/>
      <sheetName val="12预算总表"/>
      <sheetName val="13施工费预算表"/>
      <sheetName val="14施工费"/>
      <sheetName val="一标（建筑）"/>
      <sheetName val="一标（机电）"/>
      <sheetName val="二标（建筑）"/>
      <sheetName val="二标（机电）"/>
      <sheetName val="五标"/>
      <sheetName val="四标"/>
      <sheetName val="三标"/>
      <sheetName val="26机电设备安装"/>
      <sheetName val="金属结构安装"/>
      <sheetName val="其他费用"/>
      <sheetName val="不可预见费"/>
      <sheetName val="分月"/>
      <sheetName val="单价汇总"/>
      <sheetName val="人工"/>
      <sheetName val="主材"/>
      <sheetName val="主材运费"/>
      <sheetName val="次材"/>
      <sheetName val="台班"/>
      <sheetName val="配合比"/>
      <sheetName val="单价分析表"/>
      <sheetName val="Sheet1"/>
      <sheetName val="PVC-U管材安装"/>
      <sheetName val="PVC-U管材"/>
      <sheetName val="Sheet3"/>
      <sheetName val="Sheet4"/>
      <sheetName val="Sheet5"/>
      <sheetName val="Sheet6"/>
      <sheetName val="数据字典"/>
      <sheetName val="单价表"/>
      <sheetName val="附表2材料价格计算表"/>
      <sheetName val="附表4直接工程费单价表"/>
      <sheetName val="表6不可预见"/>
      <sheetName val="表3工程施工费表"/>
      <sheetName val="表5-2工程监理费南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总概算核"/>
      <sheetName val="建筑概算核"/>
      <sheetName val="单价汇总表"/>
      <sheetName val="环境保护概算"/>
      <sheetName val="水保概算"/>
      <sheetName val="占地概算"/>
      <sheetName val="材料分析表"/>
      <sheetName val="配合比表"/>
      <sheetName val="总台班"/>
      <sheetName val="机械台班"/>
      <sheetName val="PVC管材价格"/>
      <sheetName val="建筑工程单价计算表"/>
      <sheetName val="单价汇总表 (2)"/>
      <sheetName val="取费费率表"/>
      <sheetName val="Sheet1"/>
      <sheetName val="总报价"/>
      <sheetName val="Sheet2"/>
      <sheetName val="标段1"/>
      <sheetName val="标段2"/>
      <sheetName val="标段4"/>
      <sheetName val="标段5"/>
      <sheetName val="标段6"/>
      <sheetName val="标段7"/>
      <sheetName val="标段3"/>
      <sheetName val="单价计算表"/>
      <sheetName val="Sheet3"/>
      <sheetName val="勘设费"/>
      <sheetName val="监理费"/>
      <sheetName val="其他费"/>
      <sheetName val="数据字典"/>
      <sheetName val="附表4直接工程费单价表"/>
      <sheetName val="附表2材料价格计算表"/>
      <sheetName val="表3工程施工费用"/>
      <sheetName val="表6不可预见"/>
      <sheetName val="表3工程施工费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定额"/>
      <sheetName val="材料表"/>
      <sheetName val="Main"/>
      <sheetName val="数据字典"/>
      <sheetName val="附表4直接工程费单价表"/>
      <sheetName val="附表2材料价格计算表"/>
      <sheetName val="表3工程施工费用"/>
      <sheetName val="机械汇总"/>
      <sheetName val="材价汇"/>
      <sheetName val="表2预算汇总表"/>
      <sheetName val="表3-1直接费预算表达式1"/>
      <sheetName val="表3-8"/>
      <sheetName val="总报价"/>
      <sheetName val="表6不可预见费南 "/>
      <sheetName val="表5-2工程监理费南"/>
      <sheetName val="表3工程施工费南 "/>
      <sheetName val="表5-3竣工验收费南 "/>
      <sheetName val="表5其他费用南 "/>
      <sheetName val="表5-1前期工作费南"/>
      <sheetName val="表4设备费南 "/>
      <sheetName val="表5-4业主管理费南 "/>
      <sheetName val="表2预算总表 南"/>
      <sheetName val="Sheet2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5.xml><?xml version="1.0" encoding="utf-8"?>
<externalLink xmlns="http://schemas.openxmlformats.org/spreadsheetml/2006/main">
  <externalBook xmlns:r="http://schemas.openxmlformats.org/officeDocument/2006/relationships" r:id="rId1">
    <sheetNames>
      <sheetName val="附表4直接工程费单价表"/>
      <sheetName val="附表2材料价格计算表"/>
      <sheetName val="表3工程施工费用"/>
      <sheetName val="数据字典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>
  <externalBook xmlns:r="http://schemas.openxmlformats.org/officeDocument/2006/relationships" r:id="rId1">
    <sheetNames>
      <sheetName val="费用总表"/>
      <sheetName val="新汇总表"/>
      <sheetName val="定额"/>
      <sheetName val="其他费"/>
      <sheetName val="材料表"/>
      <sheetName val="运输"/>
      <sheetName val="设计费"/>
      <sheetName val="勘测费"/>
      <sheetName val="编制说明"/>
      <sheetName val="基础挖方"/>
      <sheetName val="金具计算"/>
      <sheetName val="Open"/>
      <sheetName val="数据字典"/>
      <sheetName val="配合比"/>
      <sheetName val="Sheet3"/>
      <sheetName val="主材"/>
      <sheetName val="次材"/>
      <sheetName val="单价分析表"/>
      <sheetName val="台班"/>
      <sheetName val="人工"/>
      <sheetName val="直接工程费"/>
      <sheetName val="附表4直接工程费单价表"/>
      <sheetName val="附表2材料价格计算表"/>
      <sheetName val="表3工程施工费用"/>
      <sheetName val="5"/>
      <sheetName val="独立费用"/>
      <sheetName val="设备"/>
      <sheetName val="表6不可预见费南 "/>
      <sheetName val="表5-2工程监理费南"/>
      <sheetName val="表3工程施工费南 "/>
      <sheetName val="表5-3竣工验收费南 "/>
      <sheetName val="表5其他费用南 "/>
      <sheetName val="表5-1前期工作费南"/>
      <sheetName val="表4设备费南 "/>
      <sheetName val="表5-4业主管理费南 "/>
      <sheetName val="表2预算总表 南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7.xml><?xml version="1.0" encoding="utf-8"?>
<externalLink xmlns="http://schemas.openxmlformats.org/spreadsheetml/2006/main">
  <externalBook xmlns:r="http://schemas.openxmlformats.org/officeDocument/2006/relationships" r:id="rId1">
    <sheetNames>
      <sheetName val="DE"/>
      <sheetName val="base"/>
      <sheetName val="js"/>
      <sheetName val="js-市价"/>
      <sheetName val="dai hao"/>
      <sheetName val="Open"/>
      <sheetName val="#REF"/>
      <sheetName val="配合比"/>
      <sheetName val="Sheet3"/>
      <sheetName val="主材"/>
      <sheetName val="次材"/>
      <sheetName val="单价分析表"/>
      <sheetName val="台班"/>
      <sheetName val="人工"/>
      <sheetName val="定额"/>
      <sheetName val="材料表"/>
      <sheetName val="直接工程费"/>
      <sheetName val="数据字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8.xml><?xml version="1.0" encoding="utf-8"?>
<externalLink xmlns="http://schemas.openxmlformats.org/spreadsheetml/2006/main">
  <externalBook xmlns:r="http://schemas.openxmlformats.org/officeDocument/2006/relationships" r:id="rId1">
    <sheetNames>
      <sheetName val="Open"/>
      <sheetName val="数据字典"/>
      <sheetName val="附表4直接工程费单价表"/>
      <sheetName val="附表2材料价格计算表"/>
      <sheetName val="表3工程施工费用"/>
      <sheetName val="DE"/>
      <sheetName val="表3工程施工费表"/>
      <sheetName val="表5-2工程监理费南"/>
      <sheetName val="#REF"/>
      <sheetName val="Sheet2"/>
      <sheetName val="定额"/>
      <sheetName val="表6不可预见费南 "/>
      <sheetName val="表3工程施工费南 "/>
      <sheetName val="表5-3竣工验收费南 "/>
      <sheetName val="表5其他费用南 "/>
      <sheetName val="表5-1前期工作费南"/>
      <sheetName val="表4设备费南 "/>
      <sheetName val="表5-4业主管理费南 "/>
      <sheetName val="表2预算总表 南"/>
      <sheetName val="5"/>
      <sheetName val="附表4工程费单价表"/>
      <sheetName val="附表2 材料价格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9.xml><?xml version="1.0" encoding="utf-8"?>
<externalLink xmlns="http://schemas.openxmlformats.org/spreadsheetml/2006/main">
  <externalBook xmlns:r="http://schemas.openxmlformats.org/officeDocument/2006/relationships" r:id="rId1">
    <sheetNames>
      <sheetName val="POWER ASSUMPTIONS"/>
      <sheetName val="Open"/>
      <sheetName val="定额"/>
      <sheetName val="材料表"/>
      <sheetName val="G.1R-Shou COP Gf"/>
      <sheetName val="#REF"/>
      <sheetName val="附表4直接工程费单价表"/>
      <sheetName val="附表2材料价格计算表"/>
      <sheetName val="表3工程施工费用"/>
      <sheetName val="数据字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SW-TEO"/>
      <sheetName val="附表2材料价格表"/>
      <sheetName val="附表3机械台班"/>
      <sheetName val="附表5直接工程费单价表"/>
      <sheetName val="表3工程施工费表"/>
      <sheetName val="附表2"/>
      <sheetName val="附表4单价"/>
      <sheetName val="Main"/>
      <sheetName val="附表4工程费单价表"/>
      <sheetName val="附表2 材料价格表"/>
      <sheetName val="eqpmad2"/>
      <sheetName val="附表4直接工程费单价表"/>
      <sheetName val="附表2材料价格计算表"/>
      <sheetName val="表3工程施工费用"/>
      <sheetName val="Open"/>
      <sheetName val="数据字典"/>
      <sheetName val="#REF"/>
      <sheetName val="表2总预算"/>
      <sheetName val="表4设备购置费"/>
      <sheetName val="直接工程费"/>
      <sheetName val="表5-2工程监理费南"/>
      <sheetName val="Toolbox"/>
      <sheetName val="5"/>
      <sheetName val="附表 3台班单价"/>
      <sheetName val="附表 2－1 材料价格"/>
      <sheetName val="附表 1 人工单价"/>
      <sheetName val="前期"/>
      <sheetName val="业主"/>
      <sheetName val="表1"/>
      <sheetName val="Financ. Overview"/>
      <sheetName val="定额"/>
      <sheetName val="次要材料预算价格"/>
      <sheetName val="材料费"/>
      <sheetName val="机械定额"/>
      <sheetName val="单位估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0.xml><?xml version="1.0" encoding="utf-8"?>
<externalLink xmlns="http://schemas.openxmlformats.org/spreadsheetml/2006/main">
  <externalBook xmlns:r="http://schemas.openxmlformats.org/officeDocument/2006/relationships" r:id="rId1">
    <sheetNames>
      <sheetName val="Toolbox"/>
      <sheetName val="定额"/>
      <sheetName val="材料表"/>
      <sheetName val="G.1R-Shou COP Gf"/>
      <sheetName val="机械汇总"/>
      <sheetName val="材价汇"/>
      <sheetName val="表2预算汇总表"/>
      <sheetName val="表3-1直接费预算表达式1"/>
      <sheetName val="汇总"/>
      <sheetName val="表3-8"/>
      <sheetName val="材料费"/>
      <sheetName val="附表2人工预算单价"/>
      <sheetName val="直接工程费"/>
      <sheetName val="单价表"/>
      <sheetName val="数据字典"/>
      <sheetName val="表5-2监理费"/>
      <sheetName val="附表1人工单价表"/>
      <sheetName val="表5-3竣工"/>
      <sheetName val="表5-1前期工作费"/>
      <sheetName val="表5-5业主"/>
      <sheetName val="POWER ASSUMPTIONS"/>
      <sheetName val="附表4直接工程费单价表"/>
      <sheetName val="附表2材料价格计算表"/>
      <sheetName val="表3工程施工费用"/>
      <sheetName val="附表3机械台班计算表"/>
      <sheetName val="附表7砂浆配比表"/>
      <sheetName val="附表6砼配比表"/>
      <sheetName val="材料调差"/>
      <sheetName val="人工单价"/>
      <sheetName val="砼、砂浆半成品预算表"/>
      <sheetName val="附表4砼、沙浆费计算表"/>
      <sheetName val="#REF"/>
      <sheetName val="渠道断面设计"/>
      <sheetName val="表5-2工程监理费南"/>
      <sheetName val="人工工资"/>
      <sheetName val="SW-TEO"/>
      <sheetName val="表6不可预见费南 "/>
      <sheetName val="表3工程施工费南 "/>
      <sheetName val="表5-3竣工验收费南 "/>
      <sheetName val="表5其他费用南 "/>
      <sheetName val="表5-1前期工作费南"/>
      <sheetName val="表4设备费南 "/>
      <sheetName val="表5-4业主管理费南 "/>
      <sheetName val="表2预算总表 南"/>
      <sheetName val="附表6砼砂浆"/>
      <sheetName val="附表2-1次材"/>
      <sheetName val="配合比"/>
      <sheetName val="DE"/>
      <sheetName val="Sheet3"/>
      <sheetName val="主材"/>
      <sheetName val="次材"/>
      <sheetName val="单价分析表"/>
      <sheetName val="台班"/>
      <sheetName val="人工"/>
      <sheetName val="二级代码"/>
      <sheetName val="附表4工程费单价表"/>
      <sheetName val="附表2 材料价格表"/>
      <sheetName val="Op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51.xml><?xml version="1.0" encoding="utf-8"?>
<externalLink xmlns="http://schemas.openxmlformats.org/spreadsheetml/2006/main">
  <externalBook xmlns:r="http://schemas.openxmlformats.org/officeDocument/2006/relationships" r:id="rId1">
    <sheetNames>
      <sheetName val="Open"/>
      <sheetName val="数据字典"/>
      <sheetName val="附表4直接工程费单价表"/>
      <sheetName val="附表2材料价格计算表"/>
      <sheetName val="表3工程施工费用"/>
      <sheetName val="DE"/>
      <sheetName val="表3工程施工费表"/>
      <sheetName val="表5-2工程监理费南"/>
      <sheetName val="#REF"/>
      <sheetName val="Sheet2"/>
      <sheetName val="定额"/>
      <sheetName val="表6不可预见费南 "/>
      <sheetName val="表3工程施工费南 "/>
      <sheetName val="表5-3竣工验收费南 "/>
      <sheetName val="表5其他费用南 "/>
      <sheetName val="表5-1前期工作费南"/>
      <sheetName val="表4设备费南 "/>
      <sheetName val="表5-4业主管理费南 "/>
      <sheetName val="表2预算总表 南"/>
      <sheetName val="5"/>
      <sheetName val="附表4工程费单价表"/>
      <sheetName val="附表2 材料价格表"/>
      <sheetName val="POWER ASSUMPTIONS"/>
      <sheetName val="Main"/>
      <sheetName val="单位估价"/>
      <sheetName val="设备"/>
      <sheetName val="SW-TEO"/>
      <sheetName val="附表2材料价格表"/>
      <sheetName val="附表3机械台班"/>
      <sheetName val="附表5直接工程费单价表"/>
      <sheetName val="表2总预算"/>
      <sheetName val="表4设备购置费"/>
      <sheetName val="配合比"/>
      <sheetName val="Sheet3"/>
      <sheetName val="主材"/>
      <sheetName val="次材"/>
      <sheetName val="单价分析表"/>
      <sheetName val="台班"/>
      <sheetName val="人工"/>
      <sheetName val="表6不可预见"/>
      <sheetName val="附表4砼、沙浆费计算表"/>
      <sheetName val="材料调差"/>
      <sheetName val="人工单价"/>
      <sheetName val="Financ. Overview"/>
      <sheetName val="Toolbox"/>
      <sheetName val="二级代码"/>
      <sheetName val="材料表"/>
      <sheetName val="材料费"/>
      <sheetName val="投资类-1"/>
      <sheetName val="附表3-1补充机械台班"/>
      <sheetName val="附表3机械"/>
      <sheetName val="附表3机械台班计算表"/>
      <sheetName val="附表2-2风水电"/>
      <sheetName val="附表2材料"/>
      <sheetName val="表3工程施工费预算表"/>
      <sheetName val="附表1人工"/>
      <sheetName val="附表6砼配比表"/>
      <sheetName val="附表6砼配"/>
      <sheetName val="表5-3竣工"/>
      <sheetName val="P1012001"/>
      <sheetName val="直接工程费"/>
      <sheetName val="机械汇总"/>
      <sheetName val="材价汇"/>
      <sheetName val="表2预算汇总表"/>
      <sheetName val="表3-1直接费预算表达式1"/>
      <sheetName val="汇总"/>
      <sheetName val="表3-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52.xml><?xml version="1.0" encoding="utf-8"?>
<externalLink xmlns="http://schemas.openxmlformats.org/spreadsheetml/2006/main">
  <externalBook xmlns:r="http://schemas.openxmlformats.org/officeDocument/2006/relationships" r:id="rId1">
    <sheetNames>
      <sheetName val="表1"/>
      <sheetName val="表2-1"/>
      <sheetName val="表2-2"/>
      <sheetName val="表3"/>
      <sheetName val="表4"/>
      <sheetName val="表4-1"/>
      <sheetName val="表4-2"/>
      <sheetName val="表4-3"/>
      <sheetName val="表4-4"/>
      <sheetName val="表5"/>
      <sheetName val="表6-1"/>
      <sheetName val="表6-2 "/>
      <sheetName val="HAI表5"/>
      <sheetName val="#REF!"/>
      <sheetName val="砼、砂浆半成品预算表"/>
      <sheetName val="附表2材料价格表"/>
      <sheetName val="附表3机械台班"/>
      <sheetName val="附表5直接工程费单价表"/>
      <sheetName val="表2总预算"/>
      <sheetName val="表3工程施工费表"/>
      <sheetName val="表4设备购置费"/>
      <sheetName val="独立费用"/>
      <sheetName val="配合比"/>
      <sheetName val="Sheet3"/>
      <sheetName val="主材"/>
      <sheetName val="次材"/>
      <sheetName val="单价分析表"/>
      <sheetName val="台班"/>
      <sheetName val="人工"/>
      <sheetName val="附表4直接工程费单价表"/>
      <sheetName val="附表2材料价格计算表"/>
      <sheetName val="表3工程施工费用"/>
      <sheetName val="00000ppy"/>
      <sheetName val="总报价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3.xml><?xml version="1.0" encoding="utf-8"?>
<externalLink xmlns="http://schemas.openxmlformats.org/spreadsheetml/2006/main">
  <externalBook xmlns:r="http://schemas.openxmlformats.org/officeDocument/2006/relationships" r:id="rId1">
    <sheetNames>
      <sheetName val="Toolbox"/>
      <sheetName val="数据字典"/>
      <sheetName val="定额"/>
      <sheetName val="材料表"/>
      <sheetName val="直接工程费"/>
      <sheetName val="附表4工程费单价表"/>
      <sheetName val="附表2 材料价格表"/>
      <sheetName val="Open"/>
      <sheetName val="材料费"/>
      <sheetName val="附表2"/>
      <sheetName val="附表4单价"/>
      <sheetName val="单价表"/>
      <sheetName val="附表3机械"/>
      <sheetName val="附表2材料"/>
      <sheetName val="附表1人工"/>
      <sheetName val="附表6砼配"/>
      <sheetName val="附表4直接工程费单价表"/>
      <sheetName val="附表2材料价格计算表"/>
      <sheetName val="表3工程施工费用"/>
      <sheetName val="表3工程施工费表"/>
      <sheetName val="总报价"/>
      <sheetName val="二级代码"/>
      <sheetName val="POWER ASSUMPTIONS"/>
      <sheetName val="G.1R-Shou COP Gf"/>
      <sheetName val="机械定额"/>
      <sheetName val="5"/>
      <sheetName val="SW-TEO"/>
      <sheetName val="DE"/>
      <sheetName val="机械汇总"/>
      <sheetName val="材价汇"/>
      <sheetName val="表2预算汇总表"/>
      <sheetName val="表3-1直接费预算表达式1"/>
      <sheetName val="汇总"/>
      <sheetName val="表3-8"/>
      <sheetName val="配合比"/>
      <sheetName val="材料预算价"/>
      <sheetName val="台班单价"/>
      <sheetName val="附表2人工预算单价"/>
      <sheetName val="附表2材料价格表"/>
      <sheetName val="附表3机械台班"/>
      <sheetName val="附表5直接工程费单价表"/>
      <sheetName val="表2总预算"/>
      <sheetName val="表4设备购置费"/>
      <sheetName val="设备"/>
      <sheetName val="Main"/>
      <sheetName val="表6不可预见"/>
      <sheetName val="Sheet3"/>
      <sheetName val="主材"/>
      <sheetName val="次材"/>
      <sheetName val="单价分析表"/>
      <sheetName val="台班"/>
      <sheetName val="人工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54.xml><?xml version="1.0" encoding="utf-8"?>
<externalLink xmlns="http://schemas.openxmlformats.org/spreadsheetml/2006/main">
  <externalBook xmlns:r="http://schemas.openxmlformats.org/officeDocument/2006/relationships" r:id="rId1">
    <sheetNames>
      <sheetName val="总预算及分年度表1"/>
      <sheetName val="预算总表"/>
      <sheetName val="工程施工费预算总表"/>
      <sheetName val="工程施工费预算表"/>
      <sheetName val="工程费单价汇总表"/>
      <sheetName val="设备购置 "/>
      <sheetName val="表5-1前期"/>
      <sheetName val="表6不可预见"/>
      <sheetName val="表7分月用款计划南 "/>
      <sheetName val="附表1 人"/>
      <sheetName val="附表2-1主材"/>
      <sheetName val="附表2"/>
      <sheetName val="机械台班费单价汇总表"/>
      <sheetName val="附表3机"/>
      <sheetName val="附表6砼砂浆"/>
      <sheetName val="附表4单价"/>
      <sheetName val="其他费用"/>
      <sheetName val="设计、监理费"/>
      <sheetName val="招标、复核、验收等费用"/>
      <sheetName val="Sheet2"/>
      <sheetName val="Sheet1"/>
      <sheetName val="定额"/>
      <sheetName val="材料表"/>
      <sheetName val="00000ppy"/>
      <sheetName val="配合比"/>
      <sheetName val="DE"/>
      <sheetName val="Sheet3"/>
      <sheetName val="主材"/>
      <sheetName val="次材"/>
      <sheetName val="单价分析表"/>
      <sheetName val="台班"/>
      <sheetName val="人工"/>
      <sheetName val="附表4直接工程费单价表"/>
      <sheetName val="附表2材料价格计算表"/>
      <sheetName val="表3工程施工费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</sheetDataSet>
  </externalBook>
</externalLink>
</file>

<file path=xl/externalLinks/externalLink55.xml><?xml version="1.0" encoding="utf-8"?>
<externalLink xmlns="http://schemas.openxmlformats.org/spreadsheetml/2006/main">
  <externalBook xmlns:r="http://schemas.openxmlformats.org/officeDocument/2006/relationships" r:id="rId1">
    <sheetNames>
      <sheetName val="DE"/>
      <sheetName val="base"/>
      <sheetName val="js"/>
      <sheetName val="js-市价"/>
      <sheetName val="dai hao"/>
      <sheetName val="Open"/>
      <sheetName val="#REF"/>
      <sheetName val="附表4直接工程费单价表"/>
      <sheetName val="附表2材料价格计算表"/>
      <sheetName val="表3工程施工费用"/>
      <sheetName val="配合比"/>
      <sheetName val="Sheet3"/>
      <sheetName val="主材"/>
      <sheetName val="次材"/>
      <sheetName val="单价分析表"/>
      <sheetName val="台班"/>
      <sheetName val="人工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6.xml><?xml version="1.0" encoding="utf-8"?>
<externalLink xmlns="http://schemas.openxmlformats.org/spreadsheetml/2006/main">
  <externalBook xmlns:r="http://schemas.openxmlformats.org/officeDocument/2006/relationships" r:id="rId1">
    <sheetNames>
      <sheetName val="机电及设备"/>
      <sheetName val="特性表"/>
      <sheetName val="估算总表"/>
      <sheetName val="总表"/>
      <sheetName val="估算表-干沟、支干沟"/>
      <sheetName val="估算表 -支沟治理"/>
      <sheetName val="估算表-田间排水工程"/>
      <sheetName val="估算表-征地工程"/>
      <sheetName val="概算表（立岗片区）"/>
      <sheetName val="概算表 (洪广片区)"/>
      <sheetName val="概算表（习岗片区）"/>
      <sheetName val="单价汇总"/>
      <sheetName val="单价分析表"/>
      <sheetName val="基础参数值"/>
      <sheetName val="人工工资"/>
      <sheetName val="材料预算价"/>
      <sheetName val="附表3次要材料"/>
      <sheetName val="配合比"/>
      <sheetName val="机械汇总 "/>
      <sheetName val="设计费"/>
      <sheetName val="监理费 "/>
      <sheetName val="建管 咨询 招标"/>
      <sheetName val="定额"/>
      <sheetName val="材料表"/>
      <sheetName val="附表4工程费单价表"/>
      <sheetName val="附表2 材料价格表"/>
      <sheetName val="G.1R-Shou COP Gf"/>
      <sheetName val="数据字典"/>
      <sheetName val="Toolbox"/>
      <sheetName val="附表4砼、沙浆费计算表"/>
      <sheetName val="DE"/>
      <sheetName val="机械汇总"/>
      <sheetName val="材价汇"/>
      <sheetName val="表2预算汇总表"/>
      <sheetName val="表3-1直接费预算表达式1"/>
      <sheetName val="表3-8"/>
      <sheetName val="Open"/>
      <sheetName val="Sheet3"/>
      <sheetName val="主材"/>
      <sheetName val="次材"/>
      <sheetName val="台班"/>
      <sheetName val="人工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7.xml><?xml version="1.0" encoding="utf-8"?>
<externalLink xmlns="http://schemas.openxmlformats.org/spreadsheetml/2006/main">
  <externalBook xmlns:r="http://schemas.openxmlformats.org/officeDocument/2006/relationships" r:id="rId1">
    <sheetNames>
      <sheetName val="Toolbox"/>
      <sheetName val="数据字典"/>
      <sheetName val="定额"/>
      <sheetName val="材料表"/>
      <sheetName val="直接工程费"/>
      <sheetName val="附表4工程费单价表"/>
      <sheetName val="附表2 材料价格表"/>
      <sheetName val="Open"/>
      <sheetName val="材料费"/>
      <sheetName val="附表2"/>
      <sheetName val="附表4单价"/>
      <sheetName val="单价表"/>
      <sheetName val="附表3机械"/>
      <sheetName val="附表2材料"/>
      <sheetName val="附表1人工"/>
      <sheetName val="附表6砼配"/>
      <sheetName val="附表4直接工程费单价表"/>
      <sheetName val="附表2材料价格计算表"/>
      <sheetName val="表3工程施工费用"/>
      <sheetName val="表3工程施工费表"/>
      <sheetName val="配合比"/>
      <sheetName val="Sheet3"/>
      <sheetName val="主材"/>
      <sheetName val="次材"/>
      <sheetName val="单价分析表"/>
      <sheetName val="台班"/>
      <sheetName val="人工"/>
      <sheetName val="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58.xml><?xml version="1.0" encoding="utf-8"?>
<externalLink xmlns="http://schemas.openxmlformats.org/spreadsheetml/2006/main">
  <externalBook xmlns:r="http://schemas.openxmlformats.org/officeDocument/2006/relationships" r:id="rId1">
    <sheetNames>
      <sheetName val="G.1R-Shou COP Gf"/>
      <sheetName val="附表4直接工程费单价表"/>
      <sheetName val="附表2材料价格计算表"/>
      <sheetName val="表3工程施工费用"/>
      <sheetName val="定额"/>
      <sheetName val="材料表"/>
      <sheetName val="#REF"/>
      <sheetName val="DE"/>
      <sheetName val="附表4工程费单价表"/>
      <sheetName val="附表2 材料价格表"/>
      <sheetName val="二级代码"/>
      <sheetName val="单价表"/>
      <sheetName val="数据字典"/>
      <sheetName val="附表2"/>
      <sheetName val="附表4单价"/>
      <sheetName val="材料调差"/>
      <sheetName val="人工单价"/>
      <sheetName val="Toolbox"/>
      <sheetName val="材料费"/>
      <sheetName val="附表3机械台班计算表"/>
      <sheetName val="附表7砂浆配比表"/>
      <sheetName val="附表6砼配比表"/>
      <sheetName val="Open"/>
      <sheetName val="总报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9.xml><?xml version="1.0" encoding="utf-8"?>
<externalLink xmlns="http://schemas.openxmlformats.org/spreadsheetml/2006/main">
  <externalBook xmlns:r="http://schemas.openxmlformats.org/officeDocument/2006/relationships" r:id="rId1">
    <sheetNames>
      <sheetName val="课程表"/>
      <sheetName val="#REF"/>
      <sheetName val="水保2"/>
      <sheetName val="估算表-干沟、支干沟"/>
      <sheetName val="估算表 -支沟治理"/>
      <sheetName val="G.1R-Shou COP Gf"/>
      <sheetName val="机械汇总"/>
      <sheetName val="材价汇"/>
      <sheetName val="表2预算汇总表"/>
      <sheetName val="表3-1直接费预算表达式1"/>
      <sheetName val="汇总"/>
      <sheetName val="表3-8"/>
      <sheetName val="POWER ASSUMPTIONS"/>
      <sheetName val="Toolbox"/>
      <sheetName val="定额"/>
      <sheetName val="材料表"/>
      <sheetName val="Open"/>
      <sheetName val="材料费"/>
      <sheetName val="材料调差"/>
      <sheetName val="前期"/>
      <sheetName val="人工单价"/>
      <sheetName val="业主"/>
      <sheetName val="附表4砼、沙浆费计算表"/>
      <sheetName val="次要材料预算价格"/>
      <sheetName val="DE"/>
      <sheetName val="单位估价"/>
      <sheetName val="单价宁夏新"/>
      <sheetName val="附表2"/>
      <sheetName val="附表4单价"/>
      <sheetName val="附表4直接工程费单价表"/>
      <sheetName val="附表2材料价格计算表"/>
      <sheetName val="表3工程施工费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附表3机械台班计算表"/>
      <sheetName val="附表7砂浆配比表"/>
      <sheetName val="附表6砼配比表"/>
      <sheetName val="表1项目总预算及分年度预算表"/>
      <sheetName val="表2预算汇总表"/>
      <sheetName val="表3工程施工费用"/>
      <sheetName val="附表2材料价格计算表"/>
      <sheetName val="附表2-1主要材料价格计算表"/>
      <sheetName val="表4设备购置费"/>
      <sheetName val="表5其它费用预算表"/>
      <sheetName val="表5-1前期工作费"/>
      <sheetName val="表5-2工程监理费"/>
      <sheetName val="表5-3竣工验收费"/>
      <sheetName val="表5-4业主管理费"/>
      <sheetName val="表6不可预见费"/>
      <sheetName val="表7分月用款计划"/>
      <sheetName val="附表1人工单价计算表"/>
      <sheetName val="附表2-2风水电"/>
      <sheetName val="附表3-1补充机械台班"/>
      <sheetName val="附表4直接工程费单价表"/>
      <sheetName val="附表5主材用量汇总表"/>
      <sheetName val="附表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0.xml><?xml version="1.0" encoding="utf-8"?>
<externalLink xmlns="http://schemas.openxmlformats.org/spreadsheetml/2006/main">
  <externalBook xmlns:r="http://schemas.openxmlformats.org/officeDocument/2006/relationships" r:id="rId1">
    <sheetNames>
      <sheetName val="已完工程量对照表"/>
      <sheetName val="马羽泉"/>
      <sheetName val="杨玉民"/>
      <sheetName val="降水台班 "/>
      <sheetName val="前池钢材算重量"/>
      <sheetName val="决算书"/>
      <sheetName val="Sheet2"/>
      <sheetName val="总预算"/>
      <sheetName val="建筑安装工程"/>
      <sheetName val="机电设备安装费"/>
      <sheetName val="金属结构安装"/>
      <sheetName val="单价汇总"/>
      <sheetName val="单价宁夏新"/>
      <sheetName val="台时汇总"/>
      <sheetName val="台时"/>
      <sheetName val="人工工资"/>
      <sheetName val="材料预算价"/>
      <sheetName val="配合比"/>
      <sheetName val="现浇C20砼 "/>
      <sheetName val="管道工程量"/>
      <sheetName val="机械汇总"/>
      <sheetName val="材价汇"/>
      <sheetName val="表2预算汇总表"/>
      <sheetName val="表3-1直接费预算表达式1"/>
      <sheetName val="汇总"/>
      <sheetName val="表3-8"/>
      <sheetName val="单价表"/>
      <sheetName val="POWER ASSUMPTIONS"/>
      <sheetName val="独立费用"/>
      <sheetName val="定额"/>
      <sheetName val="材料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</sheetDataSet>
  </externalBook>
</externalLink>
</file>

<file path=xl/externalLinks/externalLink61.xml><?xml version="1.0" encoding="utf-8"?>
<externalLink xmlns="http://schemas.openxmlformats.org/spreadsheetml/2006/main">
  <externalBook xmlns:r="http://schemas.openxmlformats.org/officeDocument/2006/relationships" r:id="rId1">
    <sheetNames>
      <sheetName val="定额"/>
      <sheetName val="总表"/>
      <sheetName val="汇总表"/>
      <sheetName val="工程量计算"/>
      <sheetName val="Open"/>
      <sheetName val="Toolbox"/>
      <sheetName val="材料调差"/>
      <sheetName val="前期"/>
      <sheetName val="人工单价"/>
      <sheetName val="业主"/>
      <sheetName val="表5-2监理费"/>
      <sheetName val="附表1人工单价表"/>
      <sheetName val="表5-3竣工"/>
      <sheetName val="附表4砼、沙浆费计算表"/>
      <sheetName val="#REF!"/>
      <sheetName val="#REF"/>
      <sheetName val="单位估价"/>
      <sheetName val="新定额单价"/>
      <sheetName val="POWER ASSUMPTIONS"/>
      <sheetName val="附表4直接工程费单价表"/>
      <sheetName val="附表2材料价格计算表"/>
      <sheetName val="表3工程施工费用"/>
      <sheetName val="数据字典"/>
      <sheetName val="表1"/>
      <sheetName val="Financ. Overview"/>
      <sheetName val="配合比"/>
      <sheetName val="材料预算价"/>
      <sheetName val="台班单价"/>
      <sheetName val="5"/>
      <sheetName val="表6不可预见"/>
      <sheetName val="表6不可预见费南 "/>
      <sheetName val="表3工程施工费表"/>
      <sheetName val="表5-2工程监理费南"/>
      <sheetName val="表3工程施工费南 "/>
      <sheetName val="表5-3竣工验收费南 "/>
      <sheetName val="表5其他费用南 "/>
      <sheetName val="表5-1前期工作费南"/>
      <sheetName val="表4设备费南 "/>
      <sheetName val="表5-4业主管理费南 "/>
      <sheetName val="表2预算总表 南"/>
      <sheetName val="计日工项目价报表"/>
      <sheetName val="附表3机械"/>
      <sheetName val="附表2材料"/>
      <sheetName val="附表1人工"/>
      <sheetName val="附表6砼配"/>
      <sheetName val="总报价"/>
      <sheetName val="材料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62.xml><?xml version="1.0" encoding="utf-8"?>
<externalLink xmlns="http://schemas.openxmlformats.org/spreadsheetml/2006/main">
  <externalBook xmlns:r="http://schemas.openxmlformats.org/officeDocument/2006/relationships" r:id="rId1">
    <sheetNames>
      <sheetName val="表1总预算及分年度预算表"/>
      <sheetName val="表2总预算"/>
      <sheetName val="表3工程施工费表"/>
      <sheetName val="表3-1直接费"/>
      <sheetName val="表3-1-1直接工程费"/>
      <sheetName val="表3-2间接费"/>
      <sheetName val="表4设备购置费"/>
      <sheetName val="表5其他费用"/>
      <sheetName val="表5-1前期工作费"/>
      <sheetName val="表5-2监理费"/>
      <sheetName val="表5-3竣工"/>
      <sheetName val="表5-4拆迁"/>
      <sheetName val="表5-5业主"/>
      <sheetName val="表6不可预见"/>
      <sheetName val="表7季度分月用款计划表"/>
      <sheetName val="分月用款计划表"/>
      <sheetName val="附表1人工单价表"/>
      <sheetName val="附表2材料价格表"/>
      <sheetName val="附表3机械台班"/>
      <sheetName val="附表4砼、沙浆费计算表"/>
      <sheetName val="附表5直接工程费单价表"/>
      <sheetName val="附表6"/>
      <sheetName val="附表7主要材料用量汇总表"/>
      <sheetName val="附8工程量表"/>
      <sheetName val="横道图1"/>
      <sheetName val="横道图2"/>
      <sheetName val="工程分项投资"/>
      <sheetName val="Sheet1"/>
      <sheetName val="附表6主要材料用量汇总表"/>
      <sheetName val="附7工程量表"/>
      <sheetName val="定额"/>
      <sheetName val="POWER ASSUMPTIONS"/>
      <sheetName val="新定额单价"/>
      <sheetName val="Toolbox"/>
      <sheetName val="#REF"/>
      <sheetName val="附表4工程费单价表"/>
      <sheetName val="附表2 材料价格表"/>
      <sheetName val="表6不可预见费南 "/>
      <sheetName val="表5-2工程监理费南"/>
      <sheetName val="表3工程施工费南 "/>
      <sheetName val="表5-3竣工验收费南 "/>
      <sheetName val="表5其他费用南 "/>
      <sheetName val="表5-1前期工作费南"/>
      <sheetName val="表4设备费南 "/>
      <sheetName val="表5-4业主管理费南 "/>
      <sheetName val="表2预算总表 南"/>
      <sheetName val="5"/>
      <sheetName val="总报价"/>
      <sheetName val="材料表"/>
      <sheetName val="附表3机械"/>
      <sheetName val="附表2材料"/>
      <sheetName val="附表1人工"/>
      <sheetName val="附表6砼配"/>
      <sheetName val="估算表-干沟、支干沟"/>
      <sheetName val="估算表 -支沟治理"/>
      <sheetName val="直接工程费"/>
      <sheetName val="单价表"/>
      <sheetName val="材料调差"/>
      <sheetName val="前期"/>
      <sheetName val="人工单价"/>
      <sheetName val="业主"/>
      <sheetName val="Sheet2"/>
      <sheetName val="G.1R-Shou COP Gf"/>
      <sheetName val="砼、砂浆半成品预算表"/>
      <sheetName val="配合比"/>
      <sheetName val="Sheet3"/>
      <sheetName val="主材"/>
      <sheetName val="次材"/>
      <sheetName val="单价分析表"/>
      <sheetName val="台班"/>
      <sheetName val="人工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63.xml><?xml version="1.0" encoding="utf-8"?>
<externalLink xmlns="http://schemas.openxmlformats.org/spreadsheetml/2006/main">
  <externalBook xmlns:r="http://schemas.openxmlformats.org/officeDocument/2006/relationships" r:id="rId1">
    <sheetNames>
      <sheetName val="Toolbox"/>
      <sheetName val="定额"/>
      <sheetName val="材料表"/>
      <sheetName val="G.1R-Shou COP Gf"/>
      <sheetName val="机械汇总"/>
      <sheetName val="材价汇"/>
      <sheetName val="表2预算汇总表"/>
      <sheetName val="表3-1直接费预算表达式1"/>
      <sheetName val="汇总"/>
      <sheetName val="表3-8"/>
      <sheetName val="材料费"/>
      <sheetName val="附表2人工预算单价"/>
      <sheetName val="直接工程费"/>
      <sheetName val="单价表"/>
      <sheetName val="数据字典"/>
      <sheetName val="表5-2监理费"/>
      <sheetName val="附表1人工单价表"/>
      <sheetName val="表5-3竣工"/>
      <sheetName val="表5-1前期工作费"/>
      <sheetName val="表5-5业主"/>
      <sheetName val="POWER ASSUMPTIONS"/>
      <sheetName val="附表4直接工程费单价表"/>
      <sheetName val="附表2材料价格计算表"/>
      <sheetName val="表3工程施工费用"/>
      <sheetName val="附表3机械台班计算表"/>
      <sheetName val="附表7砂浆配比表"/>
      <sheetName val="附表6砼配比表"/>
      <sheetName val="材料调差"/>
      <sheetName val="人工单价"/>
      <sheetName val="附表2-1主材"/>
      <sheetName val="独立费用"/>
    </sheetNames>
    <definedNames>
      <definedName name="Prix_SMC" sheetId="30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64.xml><?xml version="1.0" encoding="utf-8"?>
<externalLink xmlns="http://schemas.openxmlformats.org/spreadsheetml/2006/main">
  <externalBook xmlns:r="http://schemas.openxmlformats.org/officeDocument/2006/relationships" r:id="rId1">
    <sheetNames>
      <sheetName val="附表2-1主要材料价格计算表"/>
      <sheetName val="表1总预算及分年南"/>
      <sheetName val="表2预算总表 南"/>
      <sheetName val="表3工程施工费南 "/>
      <sheetName val="表3-1直接费南"/>
      <sheetName val="表3-1-1直接工程费南"/>
      <sheetName val="表3-2间接费南"/>
      <sheetName val="表4设备费南 "/>
      <sheetName val="表5其他费用南 "/>
      <sheetName val="表5-1前期工作费南"/>
      <sheetName val="表5-2工程监理费南"/>
      <sheetName val="表5-3竣工验收费南 "/>
      <sheetName val="表5-4业主管理费南 "/>
      <sheetName val="表6不可预见费南 "/>
      <sheetName val="表7分月用款计划南 "/>
      <sheetName val="附表1 人工单价表"/>
      <sheetName val="附表2 材料价格表"/>
      <sheetName val="附表3机械台班使用费"/>
      <sheetName val="附表3-1补充机械定额"/>
      <sheetName val="附表4风、水、电计算表"/>
      <sheetName val="附表4直接工程费单价表"/>
      <sheetName val="附表5砼、沙浆费计算表"/>
      <sheetName val="工程量"/>
      <sheetName val="表6不可预见"/>
      <sheetName val="表3工程施工费表"/>
      <sheetName val="定额"/>
      <sheetName val="材料调差"/>
      <sheetName val="人工单价"/>
      <sheetName val="附表4工程费单价表"/>
      <sheetName val="数据字典"/>
      <sheetName val="估算表-干沟、支干沟"/>
      <sheetName val="估算表 -支沟治理"/>
      <sheetName val="POWER ASSUMPTIONS"/>
      <sheetName val="Toolbox"/>
      <sheetName val="直接工程费"/>
      <sheetName val="附表3机械台班计算表"/>
      <sheetName val="附表2材料价格计算表"/>
      <sheetName val="附表1人工单价计算表"/>
      <sheetName val="附表7砂浆配比表"/>
      <sheetName val="DE"/>
      <sheetName val="总报价"/>
    </sheetNames>
    <definedNames>
      <definedName name="Prix_SMC" sheetId="40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65.xml><?xml version="1.0" encoding="utf-8"?>
<externalLink xmlns="http://schemas.openxmlformats.org/spreadsheetml/2006/main">
  <externalBook xmlns:r="http://schemas.openxmlformats.org/officeDocument/2006/relationships" r:id="rId1">
    <sheetNames>
      <sheetName val="表1项目总预算及分年度预算表"/>
      <sheetName val="表2预算汇总表"/>
      <sheetName val="表3-1直接费预算表达式1"/>
      <sheetName val="表3-1-1直接工程费预算表"/>
      <sheetName val="表3工程施工费预算表"/>
      <sheetName val="单位工程量"/>
      <sheetName val="表3工程施工费用"/>
      <sheetName val="表3-1"/>
      <sheetName val="表3-2"/>
      <sheetName val="表3-3"/>
      <sheetName val="表3-4"/>
      <sheetName val="表3-5"/>
      <sheetName val="表3-6"/>
      <sheetName val="表3-7"/>
      <sheetName val="表3-8"/>
      <sheetName val="表3-9"/>
      <sheetName val="表3-10"/>
      <sheetName val="表4设备购置费"/>
      <sheetName val="表3-2间接费预算表"/>
      <sheetName val="表5其它费用预算表"/>
      <sheetName val="表5-1前期工作费"/>
      <sheetName val="表5-2工程监理费"/>
      <sheetName val="表5-3竣工验收费"/>
      <sheetName val="表5-4业主管理费"/>
      <sheetName val="表6不可预见费"/>
      <sheetName val="表7分月用款计划"/>
      <sheetName val="附表1人工单价计算表"/>
      <sheetName val="附表2材料价格计算表"/>
      <sheetName val="附表2-1主要材料价格计算表"/>
      <sheetName val="附表2-2风水电"/>
      <sheetName val="附表3机械台班计算表"/>
      <sheetName val="附表3-1补充机械台班"/>
      <sheetName val="附表4直接工程费单价表"/>
      <sheetName val="附表5主材用量汇总表"/>
      <sheetName val="附表6砼配比表"/>
      <sheetName val="附表7砂浆配比表"/>
      <sheetName val="Sheet1"/>
      <sheetName val="Sheet2"/>
      <sheetName val="Sheet3"/>
      <sheetName val="数据字典"/>
      <sheetName val="DE"/>
      <sheetName val="总报价"/>
      <sheetName val="Toolbox"/>
    </sheetNames>
    <definedNames>
      <definedName name="Prix_SMC" sheetId="41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</sheetDataSet>
  </externalBook>
</externalLink>
</file>

<file path=xl/externalLinks/externalLink66.xml><?xml version="1.0" encoding="utf-8"?>
<externalLink xmlns="http://schemas.openxmlformats.org/spreadsheetml/2006/main">
  <externalBook xmlns:r="http://schemas.openxmlformats.org/officeDocument/2006/relationships" r:id="rId1">
    <sheetNames>
      <sheetName val="表6不可预见费南 "/>
      <sheetName val="表5-2工程监理费南"/>
      <sheetName val="表3工程施工费南 "/>
      <sheetName val="表5-3竣工验收费南 "/>
      <sheetName val="表5其他费用南 "/>
      <sheetName val="表5-1前期工作费南"/>
      <sheetName val="表4设备费南 "/>
      <sheetName val="表5-4业主管理费南 "/>
      <sheetName val="表2预算总表 南"/>
      <sheetName val="估算表-干沟、支干沟"/>
      <sheetName val="估算表 -支沟治理"/>
      <sheetName val="附表3机械台班计算表"/>
      <sheetName val="附表2材料价格计算表"/>
      <sheetName val="附表1人工单价计算表"/>
      <sheetName val="附表7砂浆配比表"/>
      <sheetName val="Toolbox"/>
      <sheetName val="定额"/>
      <sheetName val="材料表"/>
      <sheetName val="附表2-1主材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67.xml><?xml version="1.0" encoding="utf-8"?>
<externalLink xmlns="http://schemas.openxmlformats.org/spreadsheetml/2006/main">
  <externalBook xmlns:r="http://schemas.openxmlformats.org/officeDocument/2006/relationships" r:id="rId1">
    <sheetNames>
      <sheetName val="机电及设备"/>
      <sheetName val="特性表"/>
      <sheetName val="总表"/>
      <sheetName val="建筑工程"/>
      <sheetName val="机电"/>
      <sheetName val="单价汇总"/>
      <sheetName val="配合比"/>
      <sheetName val="机械汇总 "/>
      <sheetName val="材料预算价"/>
      <sheetName val="青龙价格"/>
      <sheetName val="基础参数值"/>
      <sheetName val="人工工资"/>
      <sheetName val="单价分析表"/>
      <sheetName val="附表3次要材料"/>
      <sheetName val="设计费"/>
      <sheetName val="监理费 "/>
      <sheetName val="建管 咨询 招标"/>
      <sheetName val="次要材料预算价格"/>
      <sheetName val="G.1R-Shou COP Gf"/>
      <sheetName val="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8.xml><?xml version="1.0" encoding="utf-8"?>
<externalLink xmlns="http://schemas.openxmlformats.org/spreadsheetml/2006/main">
  <externalBook xmlns:r="http://schemas.openxmlformats.org/officeDocument/2006/relationships" r:id="rId1">
    <sheetNames>
      <sheetName val="附表3机械"/>
      <sheetName val="附表2材料"/>
      <sheetName val="附表1人工"/>
      <sheetName val="附表6砼配"/>
      <sheetName val="表1总预算"/>
      <sheetName val="表2汇总表"/>
      <sheetName val="工程量统计表"/>
      <sheetName val="主材用量计算透视表"/>
      <sheetName val="表3工程施工"/>
      <sheetName val="同一主材用量透视表"/>
      <sheetName val="移民滴灌"/>
      <sheetName val="管件"/>
      <sheetName val="表3-1同一"/>
      <sheetName val="同二主材透视表"/>
      <sheetName val="表3-2同二"/>
      <sheetName val="同三主材透视"/>
      <sheetName val="表3-3同三"/>
      <sheetName val="花豹湾主材透视"/>
      <sheetName val="表3-4花豹湾"/>
      <sheetName val="清水河以北主材透视"/>
      <sheetName val="表3-5清水河北"/>
      <sheetName val="表4设备"/>
      <sheetName val="表5其它费用"/>
      <sheetName val="表5-1前期"/>
      <sheetName val="表5-2工程监理"/>
      <sheetName val="表5-3竣工"/>
      <sheetName val="表5-4业主管理"/>
      <sheetName val="表6不可预见"/>
      <sheetName val="表7分月用款"/>
      <sheetName val="附表2-1主材"/>
      <sheetName val="附表2-2风水电"/>
      <sheetName val="附表3-1补充机械台班"/>
      <sheetName val="附表4综合单价表"/>
      <sheetName val="附表5主材用量汇总表"/>
      <sheetName val="表5-1同一支主材"/>
      <sheetName val="表5-2同二主材"/>
      <sheetName val="表5-3同三主材"/>
      <sheetName val="表5-4花豹湾主材"/>
      <sheetName val="表5-5清水河以北主材表"/>
      <sheetName val="附表7砂浆"/>
      <sheetName val="申请表（正面）"/>
      <sheetName val="G.1R-Shou COP Gf"/>
      <sheetName val="#REF"/>
      <sheetName val="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</sheetDataSet>
  </externalBook>
</externalLink>
</file>

<file path=xl/externalLinks/externalLink69.xml><?xml version="1.0" encoding="utf-8"?>
<externalLink xmlns="http://schemas.openxmlformats.org/spreadsheetml/2006/main">
  <externalBook xmlns:r="http://schemas.openxmlformats.org/officeDocument/2006/relationships" r:id="rId1">
    <sheetNames>
      <sheetName val="总预算分年"/>
      <sheetName val="总预算表2"/>
      <sheetName val="施工费总表3"/>
      <sheetName val="设备分总表4"/>
      <sheetName val="其他费用总表5"/>
      <sheetName val="总5-1、5-5"/>
      <sheetName val="不可预见费总表6"/>
      <sheetName val="分月总表7"/>
      <sheetName val="分年度预算表1片区1"/>
      <sheetName val="预算表2片区1"/>
      <sheetName val="施工费表3片区1"/>
      <sheetName val="直接费3-1片区1"/>
      <sheetName val="直接工程费3-1-1片区1"/>
      <sheetName val="间接费3-2片区1"/>
      <sheetName val="设备费4片区1"/>
      <sheetName val="其他费用5片区1"/>
      <sheetName val="5-1、5-5片区1"/>
      <sheetName val="不可预见费6片区1"/>
      <sheetName val="分月预算表7片区1"/>
      <sheetName val="分年度预算表1片区2"/>
      <sheetName val="预算表2片区2"/>
      <sheetName val="施工费表3片区2"/>
      <sheetName val="直接费3-1片区2"/>
      <sheetName val="直接工程费3-1-1片区2"/>
      <sheetName val="间接费3-2片区2"/>
      <sheetName val="设备费4片区2"/>
      <sheetName val="其他费用5片区1 (2)"/>
      <sheetName val="5-1、5-5片区2"/>
      <sheetName val="不可预见费6片区2"/>
      <sheetName val="分月预算表7片区2"/>
      <sheetName val="人工预算"/>
      <sheetName val="主材价格"/>
      <sheetName val="主材运杂费"/>
      <sheetName val="次要材料"/>
      <sheetName val="砼单价"/>
      <sheetName val="风水电"/>
      <sheetName val="机械台班"/>
      <sheetName val="直接工程费"/>
      <sheetName val="工程量统计"/>
      <sheetName val="排水沟"/>
      <sheetName val="表6不可预见费南 "/>
      <sheetName val="表5-2工程监理费南"/>
      <sheetName val="表3工程施工费南 "/>
      <sheetName val="表5-3竣工验收费南 "/>
      <sheetName val="表5其他费用南 "/>
      <sheetName val="表5-1前期工作费南"/>
      <sheetName val="表4设备费南 "/>
      <sheetName val="表5-4业主管理费南 "/>
      <sheetName val="表2预算总表 南"/>
      <sheetName val="表6不可预见"/>
      <sheetName val="表3工程施工费表"/>
      <sheetName val="单位估价"/>
      <sheetName val="定额"/>
      <sheetName val="机械汇总"/>
      <sheetName val="材价汇"/>
      <sheetName val="表2预算汇总表"/>
      <sheetName val="表3-1直接费预算表达式1"/>
      <sheetName val="表3-8"/>
      <sheetName val="附表4直接工程费单价表"/>
      <sheetName val="估算表-干沟、支干沟"/>
      <sheetName val="估算表 -支沟治理"/>
      <sheetName val="Toolbox"/>
      <sheetName val="#REF"/>
      <sheetName val="新定额单价"/>
      <sheetName val="POWER ASSUMP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附表2"/>
      <sheetName val="附表4单价"/>
      <sheetName val="Sheet2"/>
    </sheetNames>
    <sheetDataSet>
      <sheetData sheetId="0"/>
      <sheetData sheetId="1"/>
      <sheetData sheetId="2"/>
    </sheetDataSet>
  </externalBook>
</externalLink>
</file>

<file path=xl/externalLinks/externalLink70.xml><?xml version="1.0" encoding="utf-8"?>
<externalLink xmlns="http://schemas.openxmlformats.org/spreadsheetml/2006/main">
  <externalBook xmlns:r="http://schemas.openxmlformats.org/officeDocument/2006/relationships" r:id="rId1">
    <sheetNames>
      <sheetName val="课程表"/>
      <sheetName val="#REF"/>
      <sheetName val="水保2"/>
      <sheetName val="估算表-干沟、支干沟"/>
      <sheetName val="估算表 -支沟治理"/>
      <sheetName val="DE"/>
      <sheetName val="POWER ASSUMPTIONS"/>
      <sheetName val="定额"/>
      <sheetName val="Toolbo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71.xml><?xml version="1.0" encoding="utf-8"?>
<externalLink xmlns="http://schemas.openxmlformats.org/spreadsheetml/2006/main">
  <externalBook xmlns:r="http://schemas.openxmlformats.org/officeDocument/2006/relationships" r:id="rId1">
    <sheetNames>
      <sheetName val="直接工程费"/>
      <sheetName val="附表4直接工程费单价表"/>
      <sheetName val="附表2材料价格计算表"/>
      <sheetName val="表3工程施工费用"/>
      <sheetName val="POWER ASSUMPTIONS"/>
      <sheetName val="附表1人工单价表"/>
      <sheetName val="表5-3竣工"/>
      <sheetName val="#REF"/>
      <sheetName val="附表4工程费单价表"/>
      <sheetName val="附表2 材料价格表"/>
      <sheetName val="新定额单价"/>
      <sheetName val="G.1R-Shou COP Gf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2.xml><?xml version="1.0" encoding="utf-8"?>
<externalLink xmlns="http://schemas.openxmlformats.org/spreadsheetml/2006/main">
  <externalBook xmlns:r="http://schemas.openxmlformats.org/officeDocument/2006/relationships" r:id="rId1">
    <sheetNames>
      <sheetName val="定额"/>
      <sheetName val="总表"/>
      <sheetName val="汇总表"/>
      <sheetName val="工程量计算"/>
      <sheetName val="Open"/>
      <sheetName val="Toolbox"/>
      <sheetName val="材料调差"/>
      <sheetName val="前期"/>
      <sheetName val="人工单价"/>
      <sheetName val="业主"/>
      <sheetName val="表5-2监理费"/>
      <sheetName val="附表1人工单价表"/>
      <sheetName val="表5-3竣工"/>
      <sheetName val="附表4砼、沙浆费计算表"/>
      <sheetName val="#REF!"/>
      <sheetName val="#REF"/>
      <sheetName val="单位估价"/>
      <sheetName val="新定额单价"/>
      <sheetName val="POWER ASSUMPTIONS"/>
      <sheetName val="附表4直接工程费单价表"/>
      <sheetName val="附表2材料价格计算表"/>
      <sheetName val="表3工程施工费用"/>
      <sheetName val="数据字典"/>
      <sheetName val="G.1R-Shou COP G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73.xml><?xml version="1.0" encoding="utf-8"?>
<externalLink xmlns="http://schemas.openxmlformats.org/spreadsheetml/2006/main">
  <externalBook xmlns:r="http://schemas.openxmlformats.org/officeDocument/2006/relationships" r:id="rId1">
    <sheetNames>
      <sheetName val="表1总预算及分年"/>
      <sheetName val="表2预算总表 "/>
      <sheetName val="13标施工费改"/>
      <sheetName val="表7分月用款计划 "/>
      <sheetName val="表4设备费 "/>
      <sheetName val="表5其他费用"/>
      <sheetName val="表5-1前期工作费"/>
      <sheetName val="表5-2工程监理费"/>
      <sheetName val="表5-3竣工验收费 "/>
      <sheetName val="表5-4业主管理费 "/>
      <sheetName val="表6不可预见费 "/>
      <sheetName val="附表1 人工单价表"/>
      <sheetName val="附表2 材料价格表"/>
      <sheetName val="附表2-1主要材料价格计算表"/>
      <sheetName val="附表2-2风、水、电计算表"/>
      <sheetName val="附表3机械台班使用费"/>
      <sheetName val="附表3-1补充机械定额"/>
      <sheetName val="附表4工程费单价表"/>
      <sheetName val="附表5主要材料汇总表"/>
      <sheetName val="附表6砼、沙浆费计算表"/>
      <sheetName val="工程量"/>
      <sheetName val="直接工程费"/>
      <sheetName val="#REF"/>
      <sheetName val="定额"/>
      <sheetName val="材料调差"/>
      <sheetName val="人工单价"/>
      <sheetName val="Toolbox"/>
      <sheetName val="POWER ASSUMP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4.xml><?xml version="1.0" encoding="utf-8"?>
<externalLink xmlns="http://schemas.openxmlformats.org/spreadsheetml/2006/main">
  <externalBook xmlns:r="http://schemas.openxmlformats.org/officeDocument/2006/relationships" r:id="rId1">
    <sheetNames>
      <sheetName val="附表4工程费单价表"/>
      <sheetName val="附表2 材料价格表"/>
      <sheetName val="#REF"/>
      <sheetName val="二级代码"/>
      <sheetName val="Open"/>
      <sheetName val="定额"/>
      <sheetName val="材料调差"/>
      <sheetName val="人工单价"/>
      <sheetName val="附表2材料价格计算表"/>
      <sheetName val="附表4直接工程费单价表"/>
      <sheetName val="POWER ASSUMPTION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5.xml><?xml version="1.0" encoding="utf-8"?>
<externalLink xmlns="http://schemas.openxmlformats.org/spreadsheetml/2006/main">
  <externalBook xmlns:r="http://schemas.openxmlformats.org/officeDocument/2006/relationships" r:id="rId1">
    <sheetNames>
      <sheetName val="课程表"/>
      <sheetName val="#REF"/>
      <sheetName val="水保2"/>
      <sheetName val="附表4工程费单价表"/>
      <sheetName val="附表2 材料价格表"/>
      <sheetName val="直接工程费"/>
      <sheetName val="表6不可预见"/>
      <sheetName val="表3工程施工费表"/>
      <sheetName val="二级代码"/>
      <sheetName val="表6不可预见费南 "/>
      <sheetName val="表5-2工程监理费南"/>
      <sheetName val="表3工程施工费南 "/>
      <sheetName val="表5-3竣工验收费南 "/>
      <sheetName val="表5其他费用南 "/>
      <sheetName val="表5-1前期工作费南"/>
      <sheetName val="表4设备费南 "/>
      <sheetName val="表5-4业主管理费南 "/>
      <sheetName val="表2预算总表 南"/>
      <sheetName val="定额"/>
      <sheetName val="机械汇总"/>
      <sheetName val="材价汇"/>
      <sheetName val="表2预算汇总表"/>
      <sheetName val="表3-1直接费预算表达式1"/>
      <sheetName val="表3-8"/>
      <sheetName val="附表3机械"/>
      <sheetName val="材料调差"/>
      <sheetName val="人工单价"/>
      <sheetName val="估算表-干沟、支干沟"/>
      <sheetName val="估算表 -支沟治理"/>
      <sheetName val="POWER ASSUMPTIONS"/>
      <sheetName val="汇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76.xml><?xml version="1.0" encoding="utf-8"?>
<externalLink xmlns="http://schemas.openxmlformats.org/spreadsheetml/2006/main">
  <externalBook xmlns:r="http://schemas.openxmlformats.org/officeDocument/2006/relationships" r:id="rId1">
    <sheetNames>
      <sheetName val="汇总"/>
      <sheetName val="分表"/>
      <sheetName val="工程单价"/>
      <sheetName val="材价汇"/>
      <sheetName val="主材价表"/>
      <sheetName val="砼配比"/>
      <sheetName val="机械"/>
      <sheetName val="机械汇总"/>
      <sheetName val="人工单价"/>
      <sheetName val="报价汇总表"/>
      <sheetName val="分项工程量报价表"/>
      <sheetName val="机总"/>
      <sheetName val="主要材料用量表"/>
      <sheetName val="主要材料预算表"/>
      <sheetName val="单价汇总表"/>
      <sheetName val="附表3机械台班计算表"/>
      <sheetName val="表3-1直接费预算表达式1"/>
      <sheetName val="表3-6"/>
      <sheetName val="表2预算汇总表"/>
      <sheetName val="附表4直接工程费单价表"/>
      <sheetName val="单位工程量"/>
      <sheetName val="表3-3"/>
      <sheetName val="表3-2"/>
      <sheetName val="附表2-1主要材料价格计算表"/>
      <sheetName val="表3-5"/>
      <sheetName val="表3工程施工费用"/>
      <sheetName val="表1项目总预算及分年度预算表"/>
      <sheetName val="表3-1-1直接工程费预算表"/>
      <sheetName val="表3-7"/>
      <sheetName val="附表2材料价格计算表"/>
      <sheetName val="表3工程施工费预算表"/>
      <sheetName val="表3-4"/>
      <sheetName val="附表6砼配比表"/>
      <sheetName val="表3-1"/>
      <sheetName val="表3-8"/>
      <sheetName val="表3-9"/>
      <sheetName val="表3-10"/>
      <sheetName val="表4设备购置费"/>
      <sheetName val="表3-2间接费预算表"/>
      <sheetName val="附表4工程费单价表"/>
      <sheetName val="附表2 材料价格表"/>
      <sheetName val="#REF"/>
      <sheetName val="直接工程费"/>
      <sheetName val="Sheet1"/>
      <sheetName val="单位估价"/>
      <sheetName val="POWER ASSUMPTIONS"/>
      <sheetName val="定额"/>
      <sheetName val="表6不可预见费南 "/>
      <sheetName val="表5-2工程监理费南"/>
      <sheetName val="表3工程施工费南 "/>
      <sheetName val="表5-3竣工验收费南 "/>
      <sheetName val="表5其他费用南 "/>
      <sheetName val="表5-1前期工作费南"/>
      <sheetName val="表4设备费南 "/>
      <sheetName val="表5-4业主管理费南 "/>
      <sheetName val="表2预算总表 南"/>
      <sheetName val="费率"/>
      <sheetName val="附表3"/>
      <sheetName val="次要材料预算价格"/>
      <sheetName val="基础参数值"/>
      <sheetName val="人工工资"/>
      <sheetName val="Toolbo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77.xml><?xml version="1.0" encoding="utf-8"?>
<externalLink xmlns="http://schemas.openxmlformats.org/spreadsheetml/2006/main">
  <externalBook xmlns:r="http://schemas.openxmlformats.org/officeDocument/2006/relationships" r:id="rId1">
    <sheetNames>
      <sheetName val="附表3机械"/>
      <sheetName val="附表2材料"/>
      <sheetName val="附表1人工"/>
      <sheetName val="附表6砼配"/>
      <sheetName val="表6不可预见"/>
      <sheetName val="表3工程施工费表"/>
      <sheetName val="定额"/>
      <sheetName val="材料表"/>
      <sheetName val="表6不可预见费南 "/>
      <sheetName val="表5-2工程监理费南"/>
      <sheetName val="表3工程施工费南 "/>
      <sheetName val="表5-3竣工验收费南 "/>
      <sheetName val="表5其他费用南 "/>
      <sheetName val="表5-1前期工作费南"/>
      <sheetName val="表4设备费南 "/>
      <sheetName val="表5-4业主管理费南 "/>
      <sheetName val="表2预算总表 南"/>
      <sheetName val="#REF"/>
      <sheetName val="5"/>
      <sheetName val="费率"/>
      <sheetName val="附表3"/>
      <sheetName val="申请表（正面）"/>
      <sheetName val="Toolbo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78.xml><?xml version="1.0" encoding="utf-8"?>
<externalLink xmlns="http://schemas.openxmlformats.org/spreadsheetml/2006/main">
  <externalBook xmlns:r="http://schemas.openxmlformats.org/officeDocument/2006/relationships" r:id="rId1">
    <sheetNames>
      <sheetName val="1"/>
      <sheetName val="2"/>
      <sheetName val="3 "/>
      <sheetName val="3(1)"/>
      <sheetName val="4"/>
      <sheetName val="5"/>
      <sheetName val="Sheet1."/>
      <sheetName val="Sheet1"/>
      <sheetName val="6.1"/>
      <sheetName val="7"/>
      <sheetName val="8"/>
      <sheetName val="10"/>
      <sheetName val="11"/>
      <sheetName val="12"/>
      <sheetName val="13"/>
      <sheetName val="14"/>
      <sheetName val="16"/>
      <sheetName val="17"/>
      <sheetName val="18"/>
      <sheetName val="19"/>
      <sheetName val="15.."/>
      <sheetName val="20"/>
      <sheetName val="21"/>
      <sheetName val="22"/>
      <sheetName val="22 (2)"/>
      <sheetName val="23"/>
      <sheetName val="23 (2)."/>
      <sheetName val="24."/>
      <sheetName val="24 (2)"/>
      <sheetName val="25"/>
      <sheetName val="26"/>
      <sheetName val="27"/>
      <sheetName val="28"/>
      <sheetName val="29"/>
      <sheetName val="30."/>
      <sheetName val="31."/>
      <sheetName val="37"/>
      <sheetName val="38"/>
      <sheetName val="39"/>
      <sheetName val="41"/>
      <sheetName val="42"/>
      <sheetName val="43"/>
      <sheetName val="46"/>
      <sheetName val="47"/>
      <sheetName val="48"/>
      <sheetName val="49"/>
      <sheetName val="53."/>
      <sheetName val="54"/>
      <sheetName val="54 (2)."/>
      <sheetName val="55."/>
      <sheetName val="56"/>
      <sheetName val="57"/>
      <sheetName val="58."/>
      <sheetName val="60"/>
      <sheetName val="61"/>
      <sheetName val="23 (2)"/>
      <sheetName val="3"/>
      <sheetName val="6"/>
      <sheetName val="基"/>
      <sheetName val="15"/>
      <sheetName val="21."/>
      <sheetName val="33."/>
      <sheetName val="闸"/>
      <sheetName val="桥"/>
      <sheetName val="渠"/>
      <sheetName val="45"/>
      <sheetName val="55"/>
      <sheetName val="80"/>
      <sheetName val="82"/>
      <sheetName val="83"/>
      <sheetName val="84"/>
      <sheetName val="85"/>
      <sheetName val="19."/>
      <sheetName val="20."/>
      <sheetName val="22."/>
      <sheetName val="23."/>
      <sheetName val="35."/>
      <sheetName val="36."/>
      <sheetName val="42 (2)"/>
      <sheetName val="44"/>
      <sheetName val="48."/>
      <sheetName val="45."/>
      <sheetName val="3 (3)"/>
      <sheetName val="9"/>
      <sheetName val="砼运"/>
      <sheetName val="砼拌制"/>
      <sheetName val="砼垂运."/>
      <sheetName val="人夯填"/>
      <sheetName val="人填."/>
      <sheetName val="人挖土渠"/>
      <sheetName val="挖掘土"/>
      <sheetName val="推土10m"/>
      <sheetName val="推土30m"/>
      <sheetName val="挖运4km"/>
      <sheetName val="挖运2km"/>
      <sheetName val="羊足碾压"/>
      <sheetName val="戈壁"/>
      <sheetName val="风积沙"/>
      <sheetName val="干砌坡"/>
      <sheetName val="浆砌坡"/>
      <sheetName val="浆曲."/>
      <sheetName val="运预制块"/>
      <sheetName val="预制块"/>
      <sheetName val="预制块运200m."/>
      <sheetName val="预制块砌"/>
      <sheetName val="水闸"/>
      <sheetName val="垫层"/>
      <sheetName val="渠封顶板"/>
      <sheetName val="渡槽"/>
      <sheetName val="挡土墙"/>
      <sheetName val="预盖板"/>
      <sheetName val="预无压管"/>
      <sheetName val="钢筋"/>
      <sheetName val="砼桩"/>
      <sheetName val="苯板"/>
      <sheetName val="聚"/>
      <sheetName val="苯板保温"/>
      <sheetName val="膜"/>
      <sheetName val="土工膜"/>
      <sheetName val="橡胶止水"/>
      <sheetName val="螺."/>
      <sheetName val="平门"/>
      <sheetName val="埋件"/>
      <sheetName val="65."/>
      <sheetName val="挖运2km."/>
      <sheetName val="沙垫层"/>
      <sheetName val="封顶板"/>
      <sheetName val="渡槽."/>
      <sheetName val="预盖板."/>
      <sheetName val="3(2)"/>
      <sheetName val="3(3)"/>
      <sheetName val="经常费"/>
      <sheetName val="运费"/>
      <sheetName val="材预价"/>
      <sheetName val="风水电"/>
      <sheetName val="砼"/>
      <sheetName val="台班"/>
      <sheetName val="基."/>
      <sheetName val="搅拌机"/>
      <sheetName val="回填土"/>
      <sheetName val="人挖"/>
      <sheetName val="推土10"/>
      <sheetName val="挖掘机"/>
      <sheetName val="挖掘自卸"/>
      <sheetName val="挖晒砂"/>
      <sheetName val="筛运砂"/>
      <sheetName val="反滤"/>
      <sheetName val="砼挡土墙二"/>
      <sheetName val="砼挡土墙三"/>
      <sheetName val="闸墩"/>
      <sheetName val="溢流堰"/>
      <sheetName val="胸墙"/>
      <sheetName val="桥墩"/>
      <sheetName val="闸底板"/>
      <sheetName val="闸垫层"/>
      <sheetName val="预制砼板"/>
      <sheetName val="运预制板"/>
      <sheetName val="概钢筋制安"/>
      <sheetName val="浆砌墙"/>
      <sheetName val="抛石"/>
      <sheetName val="钢筋笼"/>
      <sheetName val="聚胺脂"/>
      <sheetName val="汇总表"/>
      <sheetName val="螺杆1t"/>
      <sheetName val="平门3t"/>
      <sheetName val="螺杆2t"/>
      <sheetName val="平门10t"/>
      <sheetName val="栏污栅"/>
      <sheetName val="栅槽"/>
      <sheetName val="0.3膜"/>
      <sheetName val="0.5膜 "/>
      <sheetName val="防浪墙"/>
      <sheetName val="搅拌机 (2)"/>
      <sheetName val="钢筋制安"/>
      <sheetName val="橡胶."/>
      <sheetName val="高压闭孔板"/>
      <sheetName val="运卵石"/>
      <sheetName val="人捡石"/>
      <sheetName val="预砼板"/>
      <sheetName val="运砼板"/>
      <sheetName val="预制砼块"/>
      <sheetName val="苯板(平铺)"/>
      <sheetName val="羊脚碾."/>
      <sheetName val="铲运机300m."/>
      <sheetName val="推土50m."/>
      <sheetName val="推土40m."/>
      <sheetName val="推土20m."/>
      <sheetName val="自卸车运6km."/>
      <sheetName val="自卸车运30km."/>
      <sheetName val="坝体压实2Km"/>
      <sheetName val="坝体压实0.5Km"/>
      <sheetName val="砾石护坡"/>
      <sheetName val="碎石垫层."/>
      <sheetName val="戈壁."/>
      <sheetName val="干砌."/>
      <sheetName val="浆拆."/>
      <sheetName val="砂垫层."/>
      <sheetName val="土工膜."/>
      <sheetName val="土工布."/>
      <sheetName val="砼面板"/>
      <sheetName val="护坡砼"/>
      <sheetName val="砼阻滑墙"/>
      <sheetName val="护坡砼."/>
      <sheetName val="碎石垫层"/>
      <sheetName val="沥青路面"/>
      <sheetName val="编织袋围堰."/>
      <sheetName val="BW胶."/>
      <sheetName val="弧门."/>
      <sheetName val="卷扬机"/>
      <sheetName val="机械汇总"/>
      <sheetName val="材价汇"/>
      <sheetName val="表2预算汇总表"/>
      <sheetName val="表3-1直接费预算表达式1"/>
      <sheetName val="表3-8"/>
      <sheetName val="附表4工程费单价表"/>
      <sheetName val="附表2 材料价格表"/>
      <sheetName val="直接工程费"/>
      <sheetName val="单价表"/>
      <sheetName val="新定额单价"/>
      <sheetName val="二级代码"/>
      <sheetName val="附表3机械台班计算表"/>
      <sheetName val="附表2材料价格计算表"/>
      <sheetName val="附表1人工单价计算表"/>
      <sheetName val="附表7砂浆配比表"/>
      <sheetName val="单价分析表"/>
      <sheetName val="人工工资"/>
      <sheetName val="基础参数值"/>
      <sheetName val="#REF"/>
      <sheetName val="附表4直接工程费单价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</sheetDataSet>
  </externalBook>
</externalLink>
</file>

<file path=xl/externalLinks/externalLink79.xml><?xml version="1.0" encoding="utf-8"?>
<externalLink xmlns="http://schemas.openxmlformats.org/spreadsheetml/2006/main">
  <externalBook xmlns:r="http://schemas.openxmlformats.org/officeDocument/2006/relationships" r:id="rId1">
    <sheetNames>
      <sheetName val="表3工程施工费用"/>
      <sheetName val="表4设备购置费"/>
      <sheetName val="附表1人工单价计算表"/>
      <sheetName val="附表2材料价格计算表"/>
      <sheetName val="附表2-1主要材料价格计算表"/>
      <sheetName val="附表2-2风水电"/>
      <sheetName val="附表3机械台班计算表"/>
      <sheetName val="附表3-1补充机械台班"/>
      <sheetName val="附表4直接工程费单价表"/>
      <sheetName val="附表5主材用量汇总表"/>
      <sheetName val="附表6砼配比表"/>
      <sheetName val="附表7砂浆配比表"/>
      <sheetName val="5"/>
      <sheetName val="附表4工程费单价表"/>
      <sheetName val="附表2 材料价格表"/>
      <sheetName val="附表4砼、沙浆费计算表"/>
      <sheetName val="附表2人工预算单价"/>
      <sheetName val="#REF"/>
      <sheetName val="直接工程费"/>
      <sheetName val="表6不可预见费南 "/>
      <sheetName val="表5-2工程监理费南"/>
      <sheetName val="表3工程施工费南 "/>
      <sheetName val="表5-3竣工验收费南 "/>
      <sheetName val="表5其他费用南 "/>
      <sheetName val="表5-1前期工作费南"/>
      <sheetName val="表4设备费南 "/>
      <sheetName val="表5-4业主管理费南 "/>
      <sheetName val="表2预算总表 南"/>
      <sheetName val="材料费"/>
      <sheetName val="单价分析表"/>
      <sheetName val="人工工资"/>
      <sheetName val="基础参数值"/>
      <sheetName val="估算表-干沟、支干沟"/>
      <sheetName val="估算表 -支沟治理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#REF"/>
      <sheetName val="单价分析"/>
      <sheetName val="附表2"/>
    </sheetNames>
    <sheetDataSet>
      <sheetData sheetId="0"/>
      <sheetData sheetId="1"/>
      <sheetData sheetId="2"/>
    </sheetDataSet>
  </externalBook>
</externalLink>
</file>

<file path=xl/externalLinks/externalLink80.xml><?xml version="1.0" encoding="utf-8"?>
<externalLink xmlns="http://schemas.openxmlformats.org/spreadsheetml/2006/main">
  <externalBook xmlns:r="http://schemas.openxmlformats.org/officeDocument/2006/relationships" r:id="rId1">
    <sheetNames>
      <sheetName val="总概算（核）"/>
      <sheetName val="概算表（核）"/>
      <sheetName val="机电设备(核)"/>
      <sheetName val="PVC管材价格"/>
      <sheetName val="吴忠监测采集系统"/>
      <sheetName val="单价汇总表"/>
      <sheetName val="材料预算价(核)"/>
      <sheetName val="配合比"/>
      <sheetName val="台时"/>
      <sheetName val="新定额单价"/>
      <sheetName val="技术咨询费"/>
      <sheetName val="取费参照表"/>
      <sheetName val="取费参照表 (简)"/>
      <sheetName val="项目划分示例"/>
      <sheetName val="取费标准"/>
      <sheetName val="基础材料表"/>
      <sheetName val="附表3机械台班计算表"/>
      <sheetName val="附表2材料价格计算表"/>
      <sheetName val="附表1人工单价计算表"/>
      <sheetName val="附表7砂浆配比表"/>
      <sheetName val="#REF"/>
      <sheetName val="附表4工程费单价表"/>
      <sheetName val="附表2 材料价格表"/>
      <sheetName val="砼、砂浆半成品预算表"/>
      <sheetName val="单价"/>
      <sheetName val="附表4砼、沙浆费计算表"/>
      <sheetName val="材料调差"/>
      <sheetName val="人工单价"/>
      <sheetName val="表5-3竣工"/>
      <sheetName val="定额"/>
      <sheetName val="估算表-干沟、支干沟"/>
      <sheetName val="估算表 -支沟治理"/>
      <sheetName val="机械汇总"/>
      <sheetName val="材价汇"/>
      <sheetName val="表2预算汇总表"/>
      <sheetName val="表3-1直接费预算表达式1"/>
      <sheetName val="表3-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81.xml><?xml version="1.0" encoding="utf-8"?>
<externalLink xmlns="http://schemas.openxmlformats.org/spreadsheetml/2006/main">
  <externalBook xmlns:r="http://schemas.openxmlformats.org/officeDocument/2006/relationships" r:id="rId1">
    <sheetNames>
      <sheetName val="课程表"/>
      <sheetName val="#REF"/>
      <sheetName val="水保2"/>
      <sheetName val="附表4工程费单价表"/>
      <sheetName val="附表2 材料价格表"/>
      <sheetName val="直接工程费"/>
      <sheetName val="定额"/>
      <sheetName val="估算表-干沟、支干沟"/>
      <sheetName val="估算表 -支沟治理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2.xml><?xml version="1.0" encoding="utf-8"?>
<externalLink xmlns="http://schemas.openxmlformats.org/spreadsheetml/2006/main">
  <externalBook xmlns:r="http://schemas.openxmlformats.org/officeDocument/2006/relationships" r:id="rId1">
    <sheetNames>
      <sheetName val="台时"/>
      <sheetName val="配合比"/>
      <sheetName val="材料预算价"/>
      <sheetName val="新定额单价"/>
      <sheetName val="亩均投资"/>
      <sheetName val="总概算"/>
      <sheetName val="水利投资（不包括道路及生态工程）"/>
      <sheetName val="概算表"/>
      <sheetName val="安装表"/>
      <sheetName val="自动化总表"/>
      <sheetName val="自动化投资"/>
      <sheetName val="单价汇总表"/>
      <sheetName val="工程量汇总表"/>
      <sheetName val="独立费用"/>
      <sheetName val="监理费用"/>
      <sheetName val="设计费"/>
      <sheetName val="材料分析"/>
      <sheetName val="取费表"/>
      <sheetName val="基础材料表"/>
      <sheetName val="管材价格"/>
      <sheetName val="附表3机械台班计算表"/>
      <sheetName val="附表2材料价格计算表"/>
      <sheetName val="附表1人工单价计算表"/>
      <sheetName val="附表7砂浆配比表"/>
      <sheetName val="机械汇总"/>
      <sheetName val="材价汇"/>
      <sheetName val="表2预算汇总表"/>
      <sheetName val="表3-1直接费预算表达式1"/>
      <sheetName val="汇总"/>
      <sheetName val="表3-8"/>
      <sheetName val="单位估价"/>
      <sheetName val="附表4砼、沙浆费计算表"/>
      <sheetName val="直接工程费"/>
      <sheetName val="#REF"/>
      <sheetName val="附表4工程费单价表"/>
      <sheetName val="附表2 材料价格表"/>
      <sheetName val="附表2-1主材"/>
      <sheetName val="二级代码"/>
      <sheetName val="定额"/>
      <sheetName val="次要材料预算价格"/>
      <sheetName val="基础参数值"/>
      <sheetName val="人工工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83.xml><?xml version="1.0" encoding="utf-8"?>
<externalLink xmlns="http://schemas.openxmlformats.org/spreadsheetml/2006/main">
  <externalBook xmlns:r="http://schemas.openxmlformats.org/officeDocument/2006/relationships" r:id="rId1">
    <sheetNames>
      <sheetName val="材料费"/>
      <sheetName val="定额"/>
      <sheetName val="机械汇总"/>
      <sheetName val="材价汇"/>
      <sheetName val="表2预算汇总表"/>
      <sheetName val="表3-1直接费预算表达式1"/>
      <sheetName val="表3-8"/>
      <sheetName val="砼、砂浆半成品预算表"/>
      <sheetName val="附表4工程费单价表"/>
      <sheetName val="附表2 材料价格表"/>
      <sheetName val="附表3机械台班计算表"/>
      <sheetName val="附表7砂浆配比表"/>
      <sheetName val="附表6砼配比表"/>
      <sheetName val="G.1R-Shou COP Gf"/>
      <sheetName val="#REF"/>
      <sheetName val="附4工程费单价表"/>
      <sheetName val="附表2"/>
      <sheetName val="表6不可预见"/>
      <sheetName val="表3工程施工费表"/>
      <sheetName val="申请表（正面）"/>
    </sheetNames>
    <definedNames>
      <definedName name="宝丰" sheetId="19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4.xml><?xml version="1.0" encoding="utf-8"?>
<externalLink xmlns="http://schemas.openxmlformats.org/spreadsheetml/2006/main">
  <externalBook xmlns:r="http://schemas.openxmlformats.org/officeDocument/2006/relationships" r:id="rId1">
    <sheetNames>
      <sheetName val="单价表"/>
      <sheetName val="POWER ASSUMPTIONS"/>
      <sheetName val="#REF"/>
      <sheetName val="费率"/>
      <sheetName val="附表3"/>
      <sheetName val="附表2"/>
      <sheetName val="表6不可预见"/>
      <sheetName val="表3工程施工费表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5.xml><?xml version="1.0" encoding="utf-8"?>
<externalLink xmlns="http://schemas.openxmlformats.org/spreadsheetml/2006/main">
  <externalBook xmlns:r="http://schemas.openxmlformats.org/officeDocument/2006/relationships" r:id="rId1">
    <sheetNames>
      <sheetName val="附表7砂浆配比表"/>
      <sheetName val="附表 2－1 材料价格"/>
      <sheetName val="附表3机械台班计算表"/>
      <sheetName val="附表6砼配比表"/>
      <sheetName val="附表4工程费单价表"/>
      <sheetName val="附表2 材料价格表"/>
      <sheetName val="POWER ASSUMPTIONS"/>
      <sheetName val="附表3机械"/>
      <sheetName val="附表2材料"/>
      <sheetName val="附表1人工"/>
      <sheetName val="附表6砼配"/>
      <sheetName val="单位估价"/>
      <sheetName val="二级代码"/>
      <sheetName val="表6不可预见"/>
      <sheetName val="表3工程施工费表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86.xml><?xml version="1.0" encoding="utf-8"?>
<externalLink xmlns="http://schemas.openxmlformats.org/spreadsheetml/2006/main">
  <externalBook xmlns:r="http://schemas.openxmlformats.org/officeDocument/2006/relationships" r:id="rId1">
    <sheetNames>
      <sheetName val="表1总预算及分年度预算表"/>
      <sheetName val="表2总预算"/>
      <sheetName val="表3工程施工费表"/>
      <sheetName val="表3-1直接费"/>
      <sheetName val="表3-1-1直接工程费"/>
      <sheetName val="表3-2间接费"/>
      <sheetName val="表4设备购置费"/>
      <sheetName val="表5其他费用"/>
      <sheetName val="表5-1前期工作费"/>
      <sheetName val="表5-2监理费"/>
      <sheetName val="表5-3竣工"/>
      <sheetName val="表5-4拆迁"/>
      <sheetName val="表5-5业主"/>
      <sheetName val="表6不可预见"/>
      <sheetName val="表7季度分月用款计划表"/>
      <sheetName val="分月用款计划表"/>
      <sheetName val="附表1人工单价表"/>
      <sheetName val="附表2材料价格表"/>
      <sheetName val="附表3机械台班"/>
      <sheetName val="附表4砼、沙浆费计算表"/>
      <sheetName val="附表5直接工程费单价表"/>
      <sheetName val="附表6"/>
      <sheetName val="附表7主要材料用量汇总表"/>
      <sheetName val="附8工程量表"/>
      <sheetName val="横道图1"/>
      <sheetName val="横道图2"/>
      <sheetName val="工程分项投资"/>
      <sheetName val="Sheet1"/>
      <sheetName val="附表6主要材料用量汇总表"/>
      <sheetName val="附7工程量表"/>
      <sheetName val="定额"/>
      <sheetName val="G.1R-Shou COP Gf"/>
      <sheetName val="Toolbo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87.xml><?xml version="1.0" encoding="utf-8"?>
<externalLink xmlns="http://schemas.openxmlformats.org/spreadsheetml/2006/main">
  <externalBook xmlns:r="http://schemas.openxmlformats.org/officeDocument/2006/relationships" r:id="rId1">
    <sheetNames>
      <sheetName val="材料调差"/>
      <sheetName val="人工单价"/>
      <sheetName val="POWER ASSUMPTIONS"/>
      <sheetName val="材料费"/>
      <sheetName val="单位估价"/>
      <sheetName val="附表3机械"/>
      <sheetName val="附表2材料"/>
      <sheetName val="附表1人工"/>
      <sheetName val="附表6砼配"/>
      <sheetName val="二级代码"/>
      <sheetName val="表6不可预见费南 "/>
      <sheetName val="表5-2工程监理费南"/>
      <sheetName val="表3工程施工费南 "/>
      <sheetName val="表5-3竣工验收费南 "/>
      <sheetName val="表5其他费用南 "/>
      <sheetName val="表5-1前期工作费南"/>
      <sheetName val="表4设备费南 "/>
      <sheetName val="表5-4业主管理费南 "/>
      <sheetName val="表2预算总表 南"/>
      <sheetName val="定额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8.xml><?xml version="1.0" encoding="utf-8"?>
<externalLink xmlns="http://schemas.openxmlformats.org/spreadsheetml/2006/main">
  <externalBook xmlns:r="http://schemas.openxmlformats.org/officeDocument/2006/relationships" r:id="rId1">
    <sheetNames>
      <sheetName val="台时"/>
      <sheetName val="配合比"/>
      <sheetName val="工程量汇总表7"/>
      <sheetName val="材料分析"/>
      <sheetName val="材料预算价"/>
      <sheetName val="基础材料表"/>
      <sheetName val="总估算"/>
      <sheetName val="暖泉渠"/>
      <sheetName val="唐徕渠"/>
      <sheetName val="独立费用"/>
      <sheetName val="机电"/>
      <sheetName val="监理费用"/>
      <sheetName val="设计费"/>
      <sheetName val="单价汇总表"/>
      <sheetName val="新定额单价"/>
      <sheetName val="台班单价"/>
      <sheetName val="表6不可预见费南 "/>
      <sheetName val="表5-2工程监理费南"/>
      <sheetName val="表3工程施工费南 "/>
      <sheetName val="表5-3竣工验收费南 "/>
      <sheetName val="表5其他费用南 "/>
      <sheetName val="表5-1前期工作费南"/>
      <sheetName val="表4设备费南 "/>
      <sheetName val="表5-4业主管理费南 "/>
      <sheetName val="表2预算总表 南"/>
      <sheetName val="定额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9.xml><?xml version="1.0" encoding="utf-8"?>
<externalLink xmlns="http://schemas.openxmlformats.org/spreadsheetml/2006/main">
  <externalBook xmlns:r="http://schemas.openxmlformats.org/officeDocument/2006/relationships" r:id="rId1">
    <sheetNames>
      <sheetName val="表3工程施工费表"/>
      <sheetName val="Toolbox"/>
      <sheetName val="定额"/>
      <sheetName val="#REF"/>
      <sheetName val="附表4砼、沙浆费计算表"/>
      <sheetName val="附表4工程费单价表"/>
      <sheetName val="附表2 材料价格表"/>
      <sheetName val="附表3机械台班计算表"/>
      <sheetName val="表5-3竣工"/>
      <sheetName val="表6不可预见费南 "/>
      <sheetName val="表5-2工程监理费南"/>
      <sheetName val="表3工程施工费南 "/>
      <sheetName val="表5-3竣工验收费南 "/>
      <sheetName val="表5其他费用南 "/>
      <sheetName val="表5-1前期工作费南"/>
      <sheetName val="表4设备费南 "/>
      <sheetName val="表5-4业主管理费南 "/>
      <sheetName val="表2预算总表 南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附表2"/>
      <sheetName val="附表4单价"/>
      <sheetName val="单位估价"/>
      <sheetName val="Toolbox"/>
      <sheetName val="附表4工程费单价表"/>
      <sheetName val="附表2 材料价格表"/>
      <sheetName val="新定额单价"/>
      <sheetName val="Sheet2"/>
      <sheetName val="单价分析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90.xml><?xml version="1.0" encoding="utf-8"?>
<externalLink xmlns="http://schemas.openxmlformats.org/spreadsheetml/2006/main">
  <externalBook xmlns:r="http://schemas.openxmlformats.org/officeDocument/2006/relationships" r:id="rId1">
    <sheetNames>
      <sheetName val="总预算及分年度表1"/>
      <sheetName val="预算总表"/>
      <sheetName val="工程施工费预算总表"/>
      <sheetName val="工程施工费预算表"/>
      <sheetName val="工程费单价汇总表"/>
      <sheetName val="设备购置 "/>
      <sheetName val="表5-1前期"/>
      <sheetName val="表6不可预见"/>
      <sheetName val="表7分月用款计划南 "/>
      <sheetName val="附表1 人"/>
      <sheetName val="附表2-1主材"/>
      <sheetName val="附表2"/>
      <sheetName val="机械台班费单价汇总表"/>
      <sheetName val="附表3机"/>
      <sheetName val="附表6砼砂浆"/>
      <sheetName val="附表4单价"/>
      <sheetName val="其他费用"/>
      <sheetName val="设计、监理费"/>
      <sheetName val="招标、复核、验收等费用"/>
      <sheetName val="Sheet2"/>
      <sheetName val="Sheet1"/>
      <sheetName val="单价表"/>
      <sheetName val="机械汇总"/>
      <sheetName val="材价汇"/>
      <sheetName val="表2预算汇总表"/>
      <sheetName val="表3-1直接费预算表达式1"/>
      <sheetName val="表3-8"/>
      <sheetName val="单价分析表"/>
      <sheetName val="人工工资"/>
      <sheetName val="基础参数值"/>
      <sheetName val="直接工程费"/>
      <sheetName val="定额"/>
      <sheetName val="附表3机械台班计算表"/>
      <sheetName val="附表2人工预算单价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91.xml><?xml version="1.0" encoding="utf-8"?>
<externalLink xmlns="http://schemas.openxmlformats.org/spreadsheetml/2006/main">
  <externalBook xmlns:r="http://schemas.openxmlformats.org/officeDocument/2006/relationships" r:id="rId1">
    <sheetNames>
      <sheetName val="1"/>
      <sheetName val="2"/>
      <sheetName val="3 "/>
      <sheetName val="3(1)"/>
      <sheetName val="4"/>
      <sheetName val="5"/>
      <sheetName val="Sheet1."/>
      <sheetName val="Sheet1"/>
      <sheetName val="6.1"/>
      <sheetName val="7"/>
      <sheetName val="8"/>
      <sheetName val="10"/>
      <sheetName val="11"/>
      <sheetName val="12"/>
      <sheetName val="13"/>
      <sheetName val="14"/>
      <sheetName val="16"/>
      <sheetName val="17"/>
      <sheetName val="18"/>
      <sheetName val="19"/>
      <sheetName val="15.."/>
      <sheetName val="20"/>
      <sheetName val="21"/>
      <sheetName val="22"/>
      <sheetName val="22 (2)"/>
      <sheetName val="23"/>
      <sheetName val="23 (2)."/>
      <sheetName val="24."/>
      <sheetName val="24 (2)"/>
      <sheetName val="25"/>
      <sheetName val="26"/>
      <sheetName val="27"/>
      <sheetName val="28"/>
      <sheetName val="29"/>
      <sheetName val="30."/>
      <sheetName val="31."/>
      <sheetName val="37"/>
      <sheetName val="38"/>
      <sheetName val="39"/>
      <sheetName val="41"/>
      <sheetName val="42"/>
      <sheetName val="43"/>
      <sheetName val="46"/>
      <sheetName val="47"/>
      <sheetName val="48"/>
      <sheetName val="49"/>
      <sheetName val="53."/>
      <sheetName val="54"/>
      <sheetName val="54 (2)."/>
      <sheetName val="55."/>
      <sheetName val="56"/>
      <sheetName val="57"/>
      <sheetName val="58."/>
      <sheetName val="60"/>
      <sheetName val="61"/>
      <sheetName val="23 (2)"/>
      <sheetName val="3"/>
      <sheetName val="6"/>
      <sheetName val="基"/>
      <sheetName val="15"/>
      <sheetName val="21."/>
      <sheetName val="33."/>
      <sheetName val="闸"/>
      <sheetName val="桥"/>
      <sheetName val="渠"/>
      <sheetName val="45"/>
      <sheetName val="55"/>
      <sheetName val="80"/>
      <sheetName val="82"/>
      <sheetName val="83"/>
      <sheetName val="84"/>
      <sheetName val="85"/>
      <sheetName val="19."/>
      <sheetName val="20."/>
      <sheetName val="22."/>
      <sheetName val="23."/>
      <sheetName val="35."/>
      <sheetName val="36."/>
      <sheetName val="42 (2)"/>
      <sheetName val="44"/>
      <sheetName val="48."/>
      <sheetName val="45."/>
      <sheetName val="3 (3)"/>
      <sheetName val="9"/>
      <sheetName val="砼运"/>
      <sheetName val="砼拌制"/>
      <sheetName val="砼垂运."/>
      <sheetName val="人夯填"/>
      <sheetName val="人填."/>
      <sheetName val="人挖土渠"/>
      <sheetName val="挖掘土"/>
      <sheetName val="推土10m"/>
      <sheetName val="推土30m"/>
      <sheetName val="挖运4km"/>
      <sheetName val="挖运2km"/>
      <sheetName val="羊足碾压"/>
      <sheetName val="戈壁"/>
      <sheetName val="风积沙"/>
      <sheetName val="干砌坡"/>
      <sheetName val="浆砌坡"/>
      <sheetName val="浆曲."/>
      <sheetName val="运预制块"/>
      <sheetName val="预制块"/>
      <sheetName val="预制块运200m."/>
      <sheetName val="预制块砌"/>
      <sheetName val="水闸"/>
      <sheetName val="垫层"/>
      <sheetName val="渠封顶板"/>
      <sheetName val="渡槽"/>
      <sheetName val="挡土墙"/>
      <sheetName val="预盖板"/>
      <sheetName val="预无压管"/>
      <sheetName val="钢筋"/>
      <sheetName val="砼桩"/>
      <sheetName val="苯板"/>
      <sheetName val="聚"/>
      <sheetName val="苯板保温"/>
      <sheetName val="膜"/>
      <sheetName val="土工膜"/>
      <sheetName val="橡胶止水"/>
      <sheetName val="螺."/>
      <sheetName val="平门"/>
      <sheetName val="埋件"/>
      <sheetName val="65."/>
      <sheetName val="挖运2km."/>
      <sheetName val="沙垫层"/>
      <sheetName val="封顶板"/>
      <sheetName val="渡槽."/>
      <sheetName val="预盖板."/>
      <sheetName val="3(2)"/>
      <sheetName val="3(3)"/>
      <sheetName val="经常费"/>
      <sheetName val="运费"/>
      <sheetName val="材预价"/>
      <sheetName val="风水电"/>
      <sheetName val="砼"/>
      <sheetName val="台班"/>
      <sheetName val="基."/>
      <sheetName val="搅拌机"/>
      <sheetName val="回填土"/>
      <sheetName val="人挖"/>
      <sheetName val="推土10"/>
      <sheetName val="挖掘机"/>
      <sheetName val="挖掘自卸"/>
      <sheetName val="挖晒砂"/>
      <sheetName val="筛运砂"/>
      <sheetName val="反滤"/>
      <sheetName val="砼挡土墙二"/>
      <sheetName val="砼挡土墙三"/>
      <sheetName val="闸墩"/>
      <sheetName val="溢流堰"/>
      <sheetName val="胸墙"/>
      <sheetName val="桥墩"/>
      <sheetName val="闸底板"/>
      <sheetName val="闸垫层"/>
      <sheetName val="预制砼板"/>
      <sheetName val="运预制板"/>
      <sheetName val="概钢筋制安"/>
      <sheetName val="浆砌墙"/>
      <sheetName val="抛石"/>
      <sheetName val="钢筋笼"/>
      <sheetName val="聚胺脂"/>
      <sheetName val="汇总表"/>
      <sheetName val="螺杆1t"/>
      <sheetName val="平门3t"/>
      <sheetName val="螺杆2t"/>
      <sheetName val="平门10t"/>
      <sheetName val="栏污栅"/>
      <sheetName val="栅槽"/>
      <sheetName val="0.3膜"/>
      <sheetName val="0.5膜 "/>
      <sheetName val="防浪墙"/>
      <sheetName val="搅拌机 (2)"/>
      <sheetName val="钢筋制安"/>
      <sheetName val="橡胶."/>
      <sheetName val="高压闭孔板"/>
      <sheetName val="运卵石"/>
      <sheetName val="人捡石"/>
      <sheetName val="预砼板"/>
      <sheetName val="运砼板"/>
      <sheetName val="预制砼块"/>
      <sheetName val="苯板(平铺)"/>
      <sheetName val="羊脚碾."/>
      <sheetName val="铲运机300m."/>
      <sheetName val="推土50m."/>
      <sheetName val="推土40m."/>
      <sheetName val="推土20m."/>
      <sheetName val="自卸车运6km."/>
      <sheetName val="自卸车运30km."/>
      <sheetName val="坝体压实2Km"/>
      <sheetName val="坝体压实0.5Km"/>
      <sheetName val="砾石护坡"/>
      <sheetName val="碎石垫层."/>
      <sheetName val="戈壁."/>
      <sheetName val="干砌."/>
      <sheetName val="浆拆."/>
      <sheetName val="砂垫层."/>
      <sheetName val="土工膜."/>
      <sheetName val="土工布."/>
      <sheetName val="砼面板"/>
      <sheetName val="护坡砼"/>
      <sheetName val="砼阻滑墙"/>
      <sheetName val="护坡砼."/>
      <sheetName val="碎石垫层"/>
      <sheetName val="沥青路面"/>
      <sheetName val="编织袋围堰."/>
      <sheetName val="BW胶."/>
      <sheetName val="弧门."/>
      <sheetName val="卷扬机"/>
      <sheetName val="机械汇总"/>
      <sheetName val="材价汇"/>
      <sheetName val="表2预算汇总表"/>
      <sheetName val="表3-1直接费预算表达式1"/>
      <sheetName val="表3-8"/>
      <sheetName val="附表4工程费单价表"/>
      <sheetName val="附表2 材料价格表"/>
      <sheetName val="表6不可预见费南 "/>
      <sheetName val="表5-2工程监理费南"/>
      <sheetName val="表3工程施工费南 "/>
      <sheetName val="表5-3竣工验收费南 "/>
      <sheetName val="表5其他费用南 "/>
      <sheetName val="表5-1前期工作费南"/>
      <sheetName val="表4设备费南 "/>
      <sheetName val="表5-4业主管理费南 "/>
      <sheetName val="表2预算总表 南"/>
      <sheetName val="直接工程费"/>
      <sheetName val="表6不可预见"/>
      <sheetName val="表3工程施工费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92.xml><?xml version="1.0" encoding="utf-8"?>
<externalLink xmlns="http://schemas.openxmlformats.org/spreadsheetml/2006/main">
  <externalBook xmlns:r="http://schemas.openxmlformats.org/officeDocument/2006/relationships" r:id="rId1">
    <sheetNames>
      <sheetName val="表1"/>
      <sheetName val="表2"/>
      <sheetName val="3-1(原始)"/>
      <sheetName val="3-1(南片)"/>
      <sheetName val="3-1(北片)"/>
      <sheetName val="附4工程费单价表"/>
      <sheetName val="表4设备"/>
      <sheetName val="工程量统计"/>
      <sheetName val="工程量表新"/>
      <sheetName val="工程量表"/>
      <sheetName val="表5其它费用"/>
      <sheetName val="表6不可"/>
      <sheetName val="表7分月"/>
      <sheetName val="附表1人(不需打印)"/>
      <sheetName val="米重"/>
      <sheetName val="附表2材"/>
      <sheetName val="附2-1主材"/>
      <sheetName val="附2-2风水电"/>
      <sheetName val="附3台班"/>
      <sheetName val="附3-1补台班"/>
      <sheetName val="附表5主材用量汇总表"/>
      <sheetName val="附5砼配比表"/>
      <sheetName val="附表6砂浆配比表"/>
      <sheetName val="Sheet1"/>
      <sheetName val="Sheet2"/>
      <sheetName val="Sheet3"/>
      <sheetName val="Sheet4"/>
      <sheetName val="材料费"/>
      <sheetName val="附表3机械"/>
      <sheetName val="附表2材料"/>
      <sheetName val="附表1人工"/>
      <sheetName val="附表6砼配"/>
      <sheetName val="单位估价"/>
      <sheetName val="机械汇总"/>
      <sheetName val="材价汇"/>
      <sheetName val="表2预算汇总表"/>
      <sheetName val="表3-1直接费预算表达式1"/>
      <sheetName val="表3-8"/>
      <sheetName val="单价表"/>
      <sheetName val="表5-3竣工"/>
      <sheetName val="附表1人工单价表"/>
      <sheetName val="直接工程费"/>
      <sheetName val="表6不可预见"/>
      <sheetName val="表3工程施工费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93.xml><?xml version="1.0" encoding="utf-8"?>
<externalLink xmlns="http://schemas.openxmlformats.org/spreadsheetml/2006/main">
  <externalBook xmlns:r="http://schemas.openxmlformats.org/officeDocument/2006/relationships" r:id="rId1">
    <sheetNames>
      <sheetName val="表1"/>
      <sheetName val="表2"/>
      <sheetName val="表3"/>
      <sheetName val="表3-1西"/>
      <sheetName val="表3-1东"/>
      <sheetName val="表3-2"/>
      <sheetName val="表4西"/>
      <sheetName val="表4东"/>
      <sheetName val="表5"/>
      <sheetName val="表6"/>
      <sheetName val="表7"/>
      <sheetName val="附表1"/>
      <sheetName val="附表2"/>
      <sheetName val="附表2-1"/>
      <sheetName val="附表2-2"/>
      <sheetName val="附表3"/>
      <sheetName val="附表3-1"/>
      <sheetName val="附表4"/>
      <sheetName val="附表5"/>
      <sheetName val="附表6"/>
      <sheetName val="费率"/>
      <sheetName val="工程量统计表"/>
      <sheetName val="渠道工程量"/>
      <sheetName val="管道"/>
      <sheetName val="道路工程量"/>
      <sheetName val="工程量统计"/>
      <sheetName val="管道统计"/>
      <sheetName val="钢闸门单价"/>
      <sheetName val="土方工程量"/>
      <sheetName val="材料调差"/>
      <sheetName val="人工单价"/>
      <sheetName val="5"/>
      <sheetName val="配合比"/>
      <sheetName val="Sheet3"/>
      <sheetName val="主材"/>
      <sheetName val="次材"/>
      <sheetName val="单价分析表"/>
      <sheetName val="台班"/>
      <sheetName val="人工"/>
      <sheetName val="单位估价"/>
      <sheetName val="机械汇总"/>
      <sheetName val="材价汇"/>
      <sheetName val="表2预算汇总表"/>
      <sheetName val="表3-1直接费预算表达式1"/>
      <sheetName val="表3-8"/>
      <sheetName val="附表3机械"/>
      <sheetName val="附表2材料"/>
      <sheetName val="附表1人工"/>
      <sheetName val="附表6砼配"/>
      <sheetName val="附表1人工单价表"/>
      <sheetName val="Sheet1"/>
      <sheetName val="附表4工程费单价表"/>
      <sheetName val="附表3机械台班计算表"/>
      <sheetName val="附表2材料价格计算表"/>
      <sheetName val="附表1人工单价计算表"/>
      <sheetName val="附表7砂浆配比表"/>
      <sheetName val="附表2 材料价格表"/>
      <sheetName val="表6不可预见"/>
      <sheetName val="表3工程施工费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94.xml><?xml version="1.0" encoding="utf-8"?>
<externalLink xmlns="http://schemas.openxmlformats.org/spreadsheetml/2006/main">
  <externalBook xmlns:r="http://schemas.openxmlformats.org/officeDocument/2006/relationships" r:id="rId1">
    <sheetNames>
      <sheetName val="单位估价"/>
      <sheetName val="附表4工程费单价表"/>
      <sheetName val="附表2 材料价格表"/>
      <sheetName val="单价表"/>
      <sheetName val="附表2"/>
      <sheetName val="机械汇总"/>
      <sheetName val="材价汇"/>
      <sheetName val="表2预算汇总表"/>
      <sheetName val="表3-1直接费预算表达式1"/>
      <sheetName val="表3-8"/>
      <sheetName val="新定额单价"/>
      <sheetName val="Toolbox"/>
      <sheetName val="表3工程施工费表"/>
      <sheetName val="表6不可预见费南 "/>
      <sheetName val="表5-2工程监理费南"/>
      <sheetName val="表3工程施工费南 "/>
      <sheetName val="表5-3竣工验收费南 "/>
      <sheetName val="表5其他费用南 "/>
      <sheetName val="表5-1前期工作费南"/>
      <sheetName val="表4设备费南 "/>
      <sheetName val="表5-4业主管理费南 "/>
      <sheetName val="表2预算总表 南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5.xml><?xml version="1.0" encoding="utf-8"?>
<externalLink xmlns="http://schemas.openxmlformats.org/spreadsheetml/2006/main">
  <externalBook xmlns:r="http://schemas.openxmlformats.org/officeDocument/2006/relationships" r:id="rId1">
    <sheetNames>
      <sheetName val="总概算（核）"/>
      <sheetName val="概算表（核）"/>
      <sheetName val="机电设备(核)"/>
      <sheetName val="PVC管材价格"/>
      <sheetName val="吴忠监测采集系统"/>
      <sheetName val="单价汇总表"/>
      <sheetName val="材料预算价(核)"/>
      <sheetName val="配合比"/>
      <sheetName val="台时"/>
      <sheetName val="新定额单价"/>
      <sheetName val="技术咨询费"/>
      <sheetName val="取费参照表"/>
      <sheetName val="取费参照表 (简)"/>
      <sheetName val="项目划分示例"/>
      <sheetName val="取费标准"/>
      <sheetName val="基础材料表"/>
      <sheetName val="附表3机械台班计算表"/>
      <sheetName val="附表2材料价格计算表"/>
      <sheetName val="附表1人工单价计算表"/>
      <sheetName val="附表7砂浆配比表"/>
      <sheetName val="#REF"/>
      <sheetName val="直接工程费"/>
      <sheetName val="附表4工程费单价表"/>
      <sheetName val="附表2 材料价格表"/>
      <sheetName val="表6不可预见费南 "/>
      <sheetName val="表5-2工程监理费南"/>
      <sheetName val="表3工程施工费南 "/>
      <sheetName val="表5-3竣工验收费南 "/>
      <sheetName val="表5其他费用南 "/>
      <sheetName val="表5-1前期工作费南"/>
      <sheetName val="表4设备费南 "/>
      <sheetName val="表5-4业主管理费南 "/>
      <sheetName val="表2预算总表 南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96.xml><?xml version="1.0" encoding="utf-8"?>
<externalLink xmlns="http://schemas.openxmlformats.org/spreadsheetml/2006/main">
  <externalBook xmlns:r="http://schemas.openxmlformats.org/officeDocument/2006/relationships" r:id="rId1">
    <sheetNames>
      <sheetName val="表1总预算及分年度预算表"/>
      <sheetName val="表2总预算"/>
      <sheetName val="表3工程施工费表"/>
      <sheetName val="表3-1直接费"/>
      <sheetName val="表3-1-1直接工程费"/>
      <sheetName val="表3-2间接费"/>
      <sheetName val="表4设备购置费"/>
      <sheetName val="表5其他费用"/>
      <sheetName val="表5-1前期工作费"/>
      <sheetName val="表5-2监理费"/>
      <sheetName val="表5-3竣工"/>
      <sheetName val="表5-4拆迁"/>
      <sheetName val="表5-5业主"/>
      <sheetName val="表6不可预见"/>
      <sheetName val="表7季度分月用款计划表"/>
      <sheetName val="分月用款计划表"/>
      <sheetName val="附表1人工单价表"/>
      <sheetName val="附表2材料价格表"/>
      <sheetName val="附表3机械台班"/>
      <sheetName val="附表4砼、沙浆费计算表"/>
      <sheetName val="附表5直接工程费单价表"/>
      <sheetName val="附表6"/>
      <sheetName val="附表7主要材料用量汇总表"/>
      <sheetName val="附8工程量表"/>
      <sheetName val="横道图1"/>
      <sheetName val="横道图2"/>
      <sheetName val="单价分析表"/>
      <sheetName val="人工工资"/>
      <sheetName val="基础参数值"/>
      <sheetName val="单位估价"/>
      <sheetName val="新定额单价"/>
      <sheetName val="附表3机械台班计算表"/>
      <sheetName val="附表2材料价格计算表"/>
      <sheetName val="附表1人工单价计算表"/>
      <sheetName val="附表7砂浆配比表"/>
      <sheetName val="直接工程费"/>
      <sheetName val="材料调差"/>
      <sheetName val="人工单价"/>
      <sheetName val="附表6砼配比表"/>
      <sheetName val="单价表"/>
      <sheetName val="二级代码"/>
      <sheetName val="表5-2工程监理费南"/>
      <sheetName val="定额"/>
      <sheetName val="#REF"/>
      <sheetName val="表6不可预见费南 "/>
      <sheetName val="表3工程施工费南 "/>
      <sheetName val="表5-3竣工验收费南 "/>
      <sheetName val="表5其他费用南 "/>
      <sheetName val="表5-1前期工作费南"/>
      <sheetName val="表4设备费南 "/>
      <sheetName val="表5-4业主管理费南 "/>
      <sheetName val="表2预算总表 南"/>
      <sheetName val="机械汇总"/>
      <sheetName val="材价汇"/>
      <sheetName val="表2预算汇总表"/>
      <sheetName val="表3-1直接费预算表达式1"/>
      <sheetName val="汇总"/>
      <sheetName val="表3-8"/>
      <sheetName val="附表2-1主材"/>
      <sheetName val="费率"/>
      <sheetName val="附表3"/>
      <sheetName val="附表4工程费单价表"/>
      <sheetName val="附表2 材料价格表"/>
      <sheetName val="材料费"/>
      <sheetName val="POWER 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97.xml><?xml version="1.0" encoding="utf-8"?>
<externalLink xmlns="http://schemas.openxmlformats.org/spreadsheetml/2006/main">
  <externalBook xmlns:r="http://schemas.openxmlformats.org/officeDocument/2006/relationships" r:id="rId1">
    <sheetNames>
      <sheetName val="材料费"/>
      <sheetName val="附表 3台班单价"/>
      <sheetName val="附表 2－1 材料价格"/>
      <sheetName val="附表 1 人工单价"/>
      <sheetName val="附4工程费单价表"/>
      <sheetName val="#REF"/>
      <sheetName val="直接工程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8.xml><?xml version="1.0" encoding="utf-8"?>
<externalLink xmlns="http://schemas.openxmlformats.org/spreadsheetml/2006/main">
  <externalBook xmlns:r="http://schemas.openxmlformats.org/officeDocument/2006/relationships" r:id="rId1">
    <sheetNames>
      <sheetName val="总概算表"/>
      <sheetName val="建筑工程概算表"/>
      <sheetName val="临时工程概算表"/>
      <sheetName val="水土保持概算"/>
      <sheetName val="环境保护投资概算"/>
      <sheetName val="工程占地补偿费"/>
      <sheetName val="单价汇总表"/>
      <sheetName val="材料预算价"/>
      <sheetName val="独立费用"/>
      <sheetName val="监理费用"/>
      <sheetName val="设计费"/>
      <sheetName val="建筑工程估算表"/>
      <sheetName val="水土保持"/>
      <sheetName val="环境保护"/>
      <sheetName val="环境保护概算"/>
      <sheetName val="配合比"/>
      <sheetName val="台时"/>
      <sheetName val="新定额单价"/>
      <sheetName val="工程量汇总表"/>
      <sheetName val="材料分析"/>
      <sheetName val="水土保持单价分析表"/>
      <sheetName val="取费表"/>
      <sheetName val="基础材料表"/>
      <sheetName val="管材价格"/>
      <sheetName val="附表3机械"/>
      <sheetName val="附表2材料"/>
      <sheetName val="附表 2－1 材料价格"/>
      <sheetName val="附表1人工"/>
      <sheetName val="附表6砼配"/>
      <sheetName val="直接工程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99.xml><?xml version="1.0" encoding="utf-8"?>
<externalLink xmlns="http://schemas.openxmlformats.org/spreadsheetml/2006/main">
  <externalBook xmlns:r="http://schemas.openxmlformats.org/officeDocument/2006/relationships" r:id="rId1">
    <sheetNames>
      <sheetName val="新定额单价"/>
      <sheetName val="台时"/>
      <sheetName val="配合比"/>
      <sheetName val="工程量汇总表7"/>
      <sheetName val="材料分析"/>
      <sheetName val="材料预算价"/>
      <sheetName val="基础材料表"/>
      <sheetName val="总估算"/>
      <sheetName val="暖泉渠"/>
      <sheetName val="唐徕渠"/>
      <sheetName val="独立费用"/>
      <sheetName val="机电"/>
      <sheetName val="监理费用"/>
      <sheetName val="设计费"/>
      <sheetName val="单价汇总表"/>
      <sheetName val="单位估价"/>
      <sheetName val="附表1人工单价表"/>
      <sheetName val="表5-3竣工"/>
      <sheetName val="单价分析表"/>
      <sheetName val="人工工资"/>
      <sheetName val="基础参数值"/>
      <sheetName val="5"/>
      <sheetName val="材料费"/>
      <sheetName val="附表2"/>
      <sheetName val="国民经济效益费用流量表（全部投资）"/>
      <sheetName val="单价表"/>
      <sheetName val="附表3机械"/>
      <sheetName val="直接工程费"/>
      <sheetName val="费率"/>
      <sheetName val="附表3"/>
      <sheetName val="表5-2监理费"/>
      <sheetName val="表5-1前期工作费"/>
      <sheetName val="表5-5业主"/>
      <sheetName val="定额"/>
      <sheetName val="材料调差"/>
      <sheetName val="人工单价"/>
      <sheetName val="表3工程施工费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rgbClr val="FFFFFF"/>
        </a:solidFill>
        <a:ln w="9525" cap="flat" cmpd="sng">
          <a:solidFill>
            <a:srgbClr val="000000"/>
          </a:solidFill>
          <a:prstDash val="solid"/>
          <a:headEnd type="none" w="med" len="med"/>
          <a:tailEnd type="none" w="med" len="med"/>
        </a:ln>
      </a:spPr>
      <a:bodyPr/>
      <a:lstStyle/>
    </a:spDef>
  </a:objectDefaults>
</a:theme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77"/>
  <sheetViews>
    <sheetView topLeftCell="B46" workbookViewId="0">
      <selection activeCell="D122" sqref="D122"/>
    </sheetView>
  </sheetViews>
  <sheetFormatPr defaultColWidth="9" defaultRowHeight="15.75"/>
  <cols>
    <col min="1" max="9" width="9" style="716"/>
    <col min="10" max="10" width="1.875" style="716" customWidth="1"/>
    <col min="11" max="11" width="7.75" style="716" customWidth="1"/>
    <col min="12" max="12" width="8.625" style="716" customWidth="1"/>
    <col min="13" max="18" width="9" style="716"/>
    <col min="19" max="19" width="7.375" style="716" customWidth="1"/>
    <col min="20" max="20" width="3" style="716" customWidth="1"/>
    <col min="21" max="21" width="7.25" style="716" customWidth="1"/>
    <col min="22" max="22" width="8.125" style="716" customWidth="1"/>
    <col min="23" max="23" width="8" style="716" customWidth="1"/>
    <col min="24" max="24" width="8.75" style="716" customWidth="1"/>
    <col min="25" max="16384" width="9" style="716"/>
  </cols>
  <sheetData>
    <row r="1" ht="18.75" spans="1:29">
      <c r="A1" s="717" t="s">
        <v>0</v>
      </c>
      <c r="B1" s="717"/>
      <c r="K1" s="717" t="s">
        <v>0</v>
      </c>
      <c r="L1" s="717"/>
      <c r="T1" s="735"/>
      <c r="U1" s="745" t="s">
        <v>1</v>
      </c>
      <c r="V1" s="745"/>
      <c r="W1" s="746"/>
      <c r="X1" s="746"/>
      <c r="Y1" s="746"/>
      <c r="Z1" s="746"/>
      <c r="AA1" s="746"/>
      <c r="AB1" s="746" t="s">
        <v>2</v>
      </c>
      <c r="AC1" s="746"/>
    </row>
    <row r="2" s="715" customFormat="1" ht="21.75" customHeight="1" spans="5:29">
      <c r="E2" s="718" t="s">
        <v>3</v>
      </c>
      <c r="F2" s="719">
        <v>9150</v>
      </c>
      <c r="G2" s="715" t="s">
        <v>4</v>
      </c>
      <c r="H2" s="715" t="s">
        <v>5</v>
      </c>
      <c r="O2" s="718" t="s">
        <v>3</v>
      </c>
      <c r="P2" s="728">
        <v>11000</v>
      </c>
      <c r="Q2" s="715" t="s">
        <v>4</v>
      </c>
      <c r="R2" s="715" t="s">
        <v>6</v>
      </c>
      <c r="T2" s="747"/>
      <c r="U2" s="748"/>
      <c r="V2" s="748"/>
      <c r="W2" s="746"/>
      <c r="X2" s="746"/>
      <c r="Y2" s="746"/>
      <c r="Z2" s="746"/>
      <c r="AA2" s="746"/>
      <c r="AB2" s="746"/>
      <c r="AC2" s="746"/>
    </row>
    <row r="3" ht="23.25" customHeight="1" spans="1:29">
      <c r="A3" s="720" t="s">
        <v>7</v>
      </c>
      <c r="B3" s="720"/>
      <c r="C3" s="720" t="s">
        <v>8</v>
      </c>
      <c r="D3" s="720"/>
      <c r="E3" s="720"/>
      <c r="F3" s="720"/>
      <c r="G3" s="720"/>
      <c r="H3" s="720"/>
      <c r="I3" s="720"/>
      <c r="K3" s="729" t="s">
        <v>7</v>
      </c>
      <c r="L3" s="729"/>
      <c r="M3" s="729" t="s">
        <v>8</v>
      </c>
      <c r="N3" s="729"/>
      <c r="O3" s="729"/>
      <c r="P3" s="729"/>
      <c r="Q3" s="729"/>
      <c r="R3" s="729"/>
      <c r="S3" s="729"/>
      <c r="T3" s="736"/>
      <c r="U3" s="749" t="s">
        <v>9</v>
      </c>
      <c r="V3" s="750" t="s">
        <v>10</v>
      </c>
      <c r="W3" s="751"/>
      <c r="X3" s="751"/>
      <c r="Y3" s="751"/>
      <c r="Z3" s="751"/>
      <c r="AA3" s="751"/>
      <c r="AB3" s="751"/>
      <c r="AC3" s="776"/>
    </row>
    <row r="4" ht="27" spans="1:29">
      <c r="A4" s="720"/>
      <c r="B4" s="721" t="s">
        <v>11</v>
      </c>
      <c r="C4" s="722" t="s">
        <v>12</v>
      </c>
      <c r="D4" s="722" t="s">
        <v>13</v>
      </c>
      <c r="E4" s="722" t="s">
        <v>14</v>
      </c>
      <c r="F4" s="722" t="s">
        <v>15</v>
      </c>
      <c r="G4" s="722" t="s">
        <v>16</v>
      </c>
      <c r="H4" s="722" t="s">
        <v>17</v>
      </c>
      <c r="I4" s="722" t="s">
        <v>18</v>
      </c>
      <c r="K4" s="729"/>
      <c r="L4" s="730" t="s">
        <v>11</v>
      </c>
      <c r="M4" s="731" t="s">
        <v>12</v>
      </c>
      <c r="N4" s="731" t="s">
        <v>13</v>
      </c>
      <c r="O4" s="731" t="s">
        <v>14</v>
      </c>
      <c r="P4" s="731" t="s">
        <v>15</v>
      </c>
      <c r="Q4" s="731" t="s">
        <v>16</v>
      </c>
      <c r="R4" s="731" t="s">
        <v>17</v>
      </c>
      <c r="S4" s="731" t="s">
        <v>18</v>
      </c>
      <c r="T4" s="736"/>
      <c r="U4" s="752"/>
      <c r="V4" s="730" t="s">
        <v>11</v>
      </c>
      <c r="W4" s="730" t="s">
        <v>12</v>
      </c>
      <c r="X4" s="730" t="s">
        <v>13</v>
      </c>
      <c r="Y4" s="730" t="s">
        <v>14</v>
      </c>
      <c r="Z4" s="730" t="s">
        <v>15</v>
      </c>
      <c r="AA4" s="730" t="s">
        <v>16</v>
      </c>
      <c r="AB4" s="730" t="s">
        <v>17</v>
      </c>
      <c r="AC4" s="730" t="s">
        <v>18</v>
      </c>
    </row>
    <row r="5" ht="15" spans="1:29">
      <c r="A5" s="720" t="s">
        <v>19</v>
      </c>
      <c r="B5" s="720"/>
      <c r="C5" s="723"/>
      <c r="D5" s="723"/>
      <c r="E5" s="723"/>
      <c r="F5" s="723"/>
      <c r="G5" s="723"/>
      <c r="H5" s="724">
        <f>R5*1000</f>
        <v>2020</v>
      </c>
      <c r="I5" s="724">
        <f>S5*1000</f>
        <v>2290</v>
      </c>
      <c r="K5" s="729" t="s">
        <v>19</v>
      </c>
      <c r="L5" s="729"/>
      <c r="M5" s="732"/>
      <c r="N5" s="732"/>
      <c r="O5" s="732"/>
      <c r="P5" s="732"/>
      <c r="Q5" s="732"/>
      <c r="R5" s="733">
        <f>ROUND($P$2*AB5/1000,2)</f>
        <v>2.02</v>
      </c>
      <c r="S5" s="733">
        <f>ROUND($P$2*AC5/1000,2)</f>
        <v>2.29</v>
      </c>
      <c r="T5" s="736"/>
      <c r="U5" s="730" t="s">
        <v>19</v>
      </c>
      <c r="V5" s="730"/>
      <c r="W5" s="753"/>
      <c r="X5" s="753"/>
      <c r="Y5" s="753"/>
      <c r="Z5" s="753"/>
      <c r="AA5" s="753"/>
      <c r="AB5" s="753">
        <v>0.1833</v>
      </c>
      <c r="AC5" s="753">
        <v>0.2083</v>
      </c>
    </row>
    <row r="6" ht="15" spans="1:29">
      <c r="A6" s="720" t="s">
        <v>20</v>
      </c>
      <c r="B6" s="720"/>
      <c r="C6" s="723"/>
      <c r="D6" s="723"/>
      <c r="E6" s="723"/>
      <c r="F6" s="723"/>
      <c r="G6" s="724">
        <f t="shared" ref="G6:I6" si="0">Q6*1000</f>
        <v>2540</v>
      </c>
      <c r="H6" s="724">
        <f t="shared" si="0"/>
        <v>2950</v>
      </c>
      <c r="I6" s="724">
        <f t="shared" si="0"/>
        <v>3450</v>
      </c>
      <c r="K6" s="729" t="s">
        <v>20</v>
      </c>
      <c r="L6" s="729"/>
      <c r="M6" s="732"/>
      <c r="N6" s="732"/>
      <c r="O6" s="732"/>
      <c r="P6" s="732"/>
      <c r="Q6" s="733">
        <f t="shared" ref="Q6:S6" si="1">ROUND($P$2*AA6/1000,2)</f>
        <v>2.54</v>
      </c>
      <c r="R6" s="733">
        <f t="shared" si="1"/>
        <v>2.95</v>
      </c>
      <c r="S6" s="733">
        <f t="shared" si="1"/>
        <v>3.45</v>
      </c>
      <c r="T6" s="736"/>
      <c r="U6" s="730" t="s">
        <v>20</v>
      </c>
      <c r="V6" s="730"/>
      <c r="W6" s="753"/>
      <c r="X6" s="753"/>
      <c r="Y6" s="753"/>
      <c r="Z6" s="753"/>
      <c r="AA6" s="753">
        <v>0.2311</v>
      </c>
      <c r="AB6" s="753">
        <v>0.268</v>
      </c>
      <c r="AC6" s="753">
        <v>0.3135</v>
      </c>
    </row>
    <row r="7" ht="15" spans="1:29">
      <c r="A7" s="720" t="s">
        <v>21</v>
      </c>
      <c r="B7" s="720"/>
      <c r="C7" s="723"/>
      <c r="D7" s="723"/>
      <c r="E7" s="723"/>
      <c r="F7" s="724">
        <f t="shared" ref="F7:I7" si="2">P7*1000</f>
        <v>3330</v>
      </c>
      <c r="G7" s="724">
        <f t="shared" si="2"/>
        <v>3950</v>
      </c>
      <c r="H7" s="724">
        <f t="shared" si="2"/>
        <v>4680</v>
      </c>
      <c r="I7" s="724">
        <f t="shared" si="2"/>
        <v>5650</v>
      </c>
      <c r="K7" s="729" t="s">
        <v>21</v>
      </c>
      <c r="L7" s="729"/>
      <c r="M7" s="732"/>
      <c r="N7" s="732"/>
      <c r="O7" s="732"/>
      <c r="P7" s="733">
        <f t="shared" ref="P7:S7" si="3">ROUND($P$2*Z7/1000,2)</f>
        <v>3.33</v>
      </c>
      <c r="Q7" s="733">
        <f t="shared" si="3"/>
        <v>3.95</v>
      </c>
      <c r="R7" s="733">
        <f t="shared" si="3"/>
        <v>4.68</v>
      </c>
      <c r="S7" s="733">
        <f t="shared" si="3"/>
        <v>5.65</v>
      </c>
      <c r="T7" s="736"/>
      <c r="U7" s="730" t="s">
        <v>21</v>
      </c>
      <c r="V7" s="730"/>
      <c r="W7" s="753"/>
      <c r="X7" s="753"/>
      <c r="Y7" s="753"/>
      <c r="Z7" s="753">
        <v>0.3026</v>
      </c>
      <c r="AA7" s="753">
        <v>0.3589</v>
      </c>
      <c r="AB7" s="753">
        <v>0.4258</v>
      </c>
      <c r="AC7" s="753">
        <v>0.5134</v>
      </c>
    </row>
    <row r="8" ht="15" spans="1:29">
      <c r="A8" s="720" t="s">
        <v>22</v>
      </c>
      <c r="B8" s="720"/>
      <c r="C8" s="723"/>
      <c r="D8" s="723"/>
      <c r="E8" s="724">
        <f t="shared" ref="E8:I8" si="4">O8*1000</f>
        <v>4230</v>
      </c>
      <c r="F8" s="724">
        <f t="shared" si="4"/>
        <v>5030</v>
      </c>
      <c r="G8" s="724">
        <f t="shared" si="4"/>
        <v>6070</v>
      </c>
      <c r="H8" s="724">
        <f t="shared" si="4"/>
        <v>7440</v>
      </c>
      <c r="I8" s="724">
        <f t="shared" si="4"/>
        <v>8810</v>
      </c>
      <c r="K8" s="729" t="s">
        <v>22</v>
      </c>
      <c r="L8" s="729"/>
      <c r="M8" s="732"/>
      <c r="N8" s="732"/>
      <c r="O8" s="733">
        <f t="shared" ref="O8:S8" si="5">ROUND($P$2*Y8/1000,2)</f>
        <v>4.23</v>
      </c>
      <c r="P8" s="733">
        <f t="shared" si="5"/>
        <v>5.03</v>
      </c>
      <c r="Q8" s="733">
        <f t="shared" si="5"/>
        <v>6.07</v>
      </c>
      <c r="R8" s="733">
        <f t="shared" si="5"/>
        <v>7.44</v>
      </c>
      <c r="S8" s="733">
        <f t="shared" si="5"/>
        <v>8.81</v>
      </c>
      <c r="T8" s="736"/>
      <c r="U8" s="730" t="s">
        <v>22</v>
      </c>
      <c r="V8" s="730"/>
      <c r="W8" s="753"/>
      <c r="X8" s="753"/>
      <c r="Y8" s="753">
        <v>0.3841</v>
      </c>
      <c r="Z8" s="753">
        <v>0.4574</v>
      </c>
      <c r="AA8" s="753">
        <v>0.5521</v>
      </c>
      <c r="AB8" s="753">
        <v>0.6761</v>
      </c>
      <c r="AC8" s="753">
        <v>0.8005</v>
      </c>
    </row>
    <row r="9" ht="15" spans="1:29">
      <c r="A9" s="720" t="s">
        <v>23</v>
      </c>
      <c r="B9" s="720"/>
      <c r="C9" s="723"/>
      <c r="D9" s="724">
        <f t="shared" ref="D9:I9" si="6">N9*1000</f>
        <v>5380</v>
      </c>
      <c r="E9" s="724">
        <f t="shared" si="6"/>
        <v>6410</v>
      </c>
      <c r="F9" s="724">
        <f t="shared" si="6"/>
        <v>7770</v>
      </c>
      <c r="G9" s="724">
        <f t="shared" si="6"/>
        <v>9780</v>
      </c>
      <c r="H9" s="724">
        <f t="shared" si="6"/>
        <v>11580</v>
      </c>
      <c r="I9" s="724">
        <f t="shared" si="6"/>
        <v>13810</v>
      </c>
      <c r="K9" s="729" t="s">
        <v>23</v>
      </c>
      <c r="L9" s="729"/>
      <c r="M9" s="732"/>
      <c r="N9" s="733">
        <f t="shared" ref="N9:S9" si="7">ROUND($P$2*X9/1000,2)</f>
        <v>5.38</v>
      </c>
      <c r="O9" s="733">
        <f t="shared" si="7"/>
        <v>6.41</v>
      </c>
      <c r="P9" s="733">
        <f t="shared" si="7"/>
        <v>7.77</v>
      </c>
      <c r="Q9" s="733">
        <f t="shared" si="7"/>
        <v>9.78</v>
      </c>
      <c r="R9" s="733">
        <f t="shared" si="7"/>
        <v>11.58</v>
      </c>
      <c r="S9" s="733">
        <f t="shared" si="7"/>
        <v>13.81</v>
      </c>
      <c r="T9" s="736"/>
      <c r="U9" s="730" t="s">
        <v>23</v>
      </c>
      <c r="V9" s="730"/>
      <c r="W9" s="753"/>
      <c r="X9" s="753">
        <v>0.4887</v>
      </c>
      <c r="Y9" s="753">
        <v>0.5829</v>
      </c>
      <c r="Z9" s="753">
        <v>0.7063</v>
      </c>
      <c r="AA9" s="753">
        <v>0.8889</v>
      </c>
      <c r="AB9" s="753">
        <v>1.0531</v>
      </c>
      <c r="AC9" s="753">
        <v>1.2556</v>
      </c>
    </row>
    <row r="10" ht="15" spans="1:29">
      <c r="A10" s="720" t="s">
        <v>24</v>
      </c>
      <c r="B10" s="720"/>
      <c r="C10" s="724">
        <f t="shared" ref="C10:I10" si="8">M10*1000</f>
        <v>6890</v>
      </c>
      <c r="D10" s="724">
        <f t="shared" si="8"/>
        <v>8490</v>
      </c>
      <c r="E10" s="724">
        <f t="shared" si="8"/>
        <v>9940</v>
      </c>
      <c r="F10" s="724">
        <f t="shared" si="8"/>
        <v>12360</v>
      </c>
      <c r="G10" s="724">
        <f t="shared" si="8"/>
        <v>15120</v>
      </c>
      <c r="H10" s="724">
        <f t="shared" si="8"/>
        <v>18450</v>
      </c>
      <c r="I10" s="724">
        <f t="shared" si="8"/>
        <v>22030</v>
      </c>
      <c r="K10" s="729" t="s">
        <v>24</v>
      </c>
      <c r="L10" s="729"/>
      <c r="M10" s="733">
        <f t="shared" ref="M10:S10" si="9">ROUND($P$2*W10/1000,2)</f>
        <v>6.89</v>
      </c>
      <c r="N10" s="733">
        <f t="shared" si="9"/>
        <v>8.49</v>
      </c>
      <c r="O10" s="733">
        <f t="shared" si="9"/>
        <v>9.94</v>
      </c>
      <c r="P10" s="733">
        <f t="shared" si="9"/>
        <v>12.36</v>
      </c>
      <c r="Q10" s="733">
        <f t="shared" si="9"/>
        <v>15.12</v>
      </c>
      <c r="R10" s="733">
        <f t="shared" si="9"/>
        <v>18.45</v>
      </c>
      <c r="S10" s="733">
        <f t="shared" si="9"/>
        <v>22.03</v>
      </c>
      <c r="T10" s="736"/>
      <c r="U10" s="730" t="s">
        <v>24</v>
      </c>
      <c r="V10" s="749"/>
      <c r="W10" s="753">
        <v>0.626</v>
      </c>
      <c r="X10" s="753">
        <v>0.7714</v>
      </c>
      <c r="Y10" s="753">
        <v>0.9036</v>
      </c>
      <c r="Z10" s="753">
        <v>1.1237</v>
      </c>
      <c r="AA10" s="753">
        <v>1.3743</v>
      </c>
      <c r="AB10" s="753">
        <v>1.6777</v>
      </c>
      <c r="AC10" s="753">
        <v>2.0029</v>
      </c>
    </row>
    <row r="11" ht="15" spans="1:29">
      <c r="A11" s="720" t="s">
        <v>25</v>
      </c>
      <c r="B11" s="724">
        <f t="shared" ref="B11:I11" si="10">L11*1000</f>
        <v>6160</v>
      </c>
      <c r="C11" s="724">
        <f t="shared" si="10"/>
        <v>9470</v>
      </c>
      <c r="D11" s="724">
        <f t="shared" si="10"/>
        <v>11610</v>
      </c>
      <c r="E11" s="724">
        <f t="shared" si="10"/>
        <v>14220</v>
      </c>
      <c r="F11" s="724">
        <f t="shared" si="10"/>
        <v>17440</v>
      </c>
      <c r="G11" s="724">
        <f t="shared" si="10"/>
        <v>21390</v>
      </c>
      <c r="H11" s="724">
        <f t="shared" si="10"/>
        <v>26230</v>
      </c>
      <c r="I11" s="724">
        <f t="shared" si="10"/>
        <v>31110</v>
      </c>
      <c r="K11" s="729" t="s">
        <v>25</v>
      </c>
      <c r="L11" s="733">
        <f t="shared" ref="L11:S11" si="11">ROUND($P$2*V11/1000,2)</f>
        <v>6.16</v>
      </c>
      <c r="M11" s="733">
        <f t="shared" si="11"/>
        <v>9.47</v>
      </c>
      <c r="N11" s="733">
        <f t="shared" si="11"/>
        <v>11.61</v>
      </c>
      <c r="O11" s="733">
        <f t="shared" si="11"/>
        <v>14.22</v>
      </c>
      <c r="P11" s="733">
        <f t="shared" si="11"/>
        <v>17.44</v>
      </c>
      <c r="Q11" s="733">
        <f t="shared" si="11"/>
        <v>21.39</v>
      </c>
      <c r="R11" s="733">
        <f t="shared" si="11"/>
        <v>26.23</v>
      </c>
      <c r="S11" s="733">
        <f t="shared" si="11"/>
        <v>31.11</v>
      </c>
      <c r="T11" s="736"/>
      <c r="U11" s="754" t="s">
        <v>25</v>
      </c>
      <c r="V11" s="755">
        <v>0.56</v>
      </c>
      <c r="W11" s="756">
        <v>0.8611</v>
      </c>
      <c r="X11" s="753">
        <v>1.0553</v>
      </c>
      <c r="Y11" s="753">
        <v>1.2924</v>
      </c>
      <c r="Z11" s="753">
        <v>1.5857</v>
      </c>
      <c r="AA11" s="753">
        <v>1.9443</v>
      </c>
      <c r="AB11" s="753">
        <v>2.3843</v>
      </c>
      <c r="AC11" s="753">
        <v>2.8278</v>
      </c>
    </row>
    <row r="12" ht="15" spans="1:29">
      <c r="A12" s="720" t="s">
        <v>26</v>
      </c>
      <c r="B12" s="724">
        <f t="shared" ref="B12:I12" si="12">L12*1000</f>
        <v>9100</v>
      </c>
      <c r="C12" s="724">
        <f t="shared" si="12"/>
        <v>13610</v>
      </c>
      <c r="D12" s="724">
        <f t="shared" si="12"/>
        <v>16810</v>
      </c>
      <c r="E12" s="724">
        <f t="shared" si="12"/>
        <v>20360</v>
      </c>
      <c r="F12" s="724">
        <f t="shared" si="12"/>
        <v>25260</v>
      </c>
      <c r="G12" s="724">
        <f t="shared" si="12"/>
        <v>32310</v>
      </c>
      <c r="H12" s="724">
        <f t="shared" si="12"/>
        <v>37460</v>
      </c>
      <c r="I12" s="724">
        <f t="shared" si="12"/>
        <v>44790</v>
      </c>
      <c r="K12" s="729" t="s">
        <v>26</v>
      </c>
      <c r="L12" s="733">
        <f t="shared" ref="L12:S12" si="13">ROUND($P$2*V12/1000,2)</f>
        <v>9.1</v>
      </c>
      <c r="M12" s="733">
        <f t="shared" si="13"/>
        <v>13.61</v>
      </c>
      <c r="N12" s="733">
        <f t="shared" si="13"/>
        <v>16.81</v>
      </c>
      <c r="O12" s="733">
        <f t="shared" si="13"/>
        <v>20.36</v>
      </c>
      <c r="P12" s="733">
        <f t="shared" si="13"/>
        <v>25.26</v>
      </c>
      <c r="Q12" s="733">
        <f t="shared" si="13"/>
        <v>32.31</v>
      </c>
      <c r="R12" s="733">
        <f t="shared" si="13"/>
        <v>37.46</v>
      </c>
      <c r="S12" s="733">
        <f t="shared" si="13"/>
        <v>44.79</v>
      </c>
      <c r="T12" s="736"/>
      <c r="U12" s="754" t="s">
        <v>26</v>
      </c>
      <c r="V12" s="755">
        <v>0.827</v>
      </c>
      <c r="W12" s="756">
        <v>1.2373</v>
      </c>
      <c r="X12" s="753">
        <v>1.528</v>
      </c>
      <c r="Y12" s="753">
        <v>1.8512</v>
      </c>
      <c r="Z12" s="753">
        <v>2.2963</v>
      </c>
      <c r="AA12" s="753">
        <v>2.937</v>
      </c>
      <c r="AB12" s="753">
        <v>3.4055</v>
      </c>
      <c r="AC12" s="753">
        <v>4.0721</v>
      </c>
    </row>
    <row r="13" ht="15" spans="1:29">
      <c r="A13" s="720" t="s">
        <v>27</v>
      </c>
      <c r="B13" s="724">
        <f t="shared" ref="B13:I13" si="14">L13*1000</f>
        <v>13920</v>
      </c>
      <c r="C13" s="724">
        <f t="shared" si="14"/>
        <v>16270</v>
      </c>
      <c r="D13" s="724">
        <f t="shared" si="14"/>
        <v>20260</v>
      </c>
      <c r="E13" s="724">
        <f t="shared" si="14"/>
        <v>24720</v>
      </c>
      <c r="F13" s="724">
        <f t="shared" si="14"/>
        <v>30620</v>
      </c>
      <c r="G13" s="724">
        <f t="shared" si="14"/>
        <v>37630</v>
      </c>
      <c r="H13" s="724">
        <f t="shared" si="14"/>
        <v>46360</v>
      </c>
      <c r="I13" s="724">
        <f t="shared" si="14"/>
        <v>55830</v>
      </c>
      <c r="K13" s="729" t="s">
        <v>27</v>
      </c>
      <c r="L13" s="733">
        <f t="shared" ref="L13:S13" si="15">ROUND($P$2*V13/1000,2)</f>
        <v>13.92</v>
      </c>
      <c r="M13" s="733">
        <f t="shared" si="15"/>
        <v>16.27</v>
      </c>
      <c r="N13" s="733">
        <f t="shared" si="15"/>
        <v>20.26</v>
      </c>
      <c r="O13" s="733">
        <f t="shared" si="15"/>
        <v>24.72</v>
      </c>
      <c r="P13" s="733">
        <f t="shared" si="15"/>
        <v>30.62</v>
      </c>
      <c r="Q13" s="733">
        <f t="shared" si="15"/>
        <v>37.63</v>
      </c>
      <c r="R13" s="733">
        <f t="shared" si="15"/>
        <v>46.36</v>
      </c>
      <c r="S13" s="733">
        <f t="shared" si="15"/>
        <v>55.83</v>
      </c>
      <c r="T13" s="736"/>
      <c r="U13" s="754" t="s">
        <v>27</v>
      </c>
      <c r="V13" s="755">
        <v>1.265</v>
      </c>
      <c r="W13" s="756">
        <v>1.4792</v>
      </c>
      <c r="X13" s="753">
        <v>1.8416</v>
      </c>
      <c r="Y13" s="753">
        <v>2.2469</v>
      </c>
      <c r="Z13" s="753">
        <v>2.7838</v>
      </c>
      <c r="AA13" s="753">
        <v>3.4208</v>
      </c>
      <c r="AB13" s="753">
        <v>4.2147</v>
      </c>
      <c r="AC13" s="753">
        <v>5.0758</v>
      </c>
    </row>
    <row r="14" ht="15" spans="1:29">
      <c r="A14" s="720" t="s">
        <v>28</v>
      </c>
      <c r="B14" s="724">
        <f t="shared" ref="B14:I14" si="16">L14*1000</f>
        <v>16390</v>
      </c>
      <c r="C14" s="724">
        <f t="shared" si="16"/>
        <v>21310</v>
      </c>
      <c r="D14" s="724">
        <f t="shared" si="16"/>
        <v>26150</v>
      </c>
      <c r="E14" s="724">
        <f t="shared" si="16"/>
        <v>32120</v>
      </c>
      <c r="F14" s="724">
        <f t="shared" si="16"/>
        <v>39400</v>
      </c>
      <c r="G14" s="724">
        <f t="shared" si="16"/>
        <v>48770</v>
      </c>
      <c r="H14" s="724">
        <f t="shared" si="16"/>
        <v>59680</v>
      </c>
      <c r="I14" s="724">
        <f t="shared" si="16"/>
        <v>72600</v>
      </c>
      <c r="K14" s="729" t="s">
        <v>28</v>
      </c>
      <c r="L14" s="733">
        <f t="shared" ref="L14:S14" si="17">ROUND($P$2*V14/1000,2)</f>
        <v>16.39</v>
      </c>
      <c r="M14" s="733">
        <f t="shared" si="17"/>
        <v>21.31</v>
      </c>
      <c r="N14" s="733">
        <f t="shared" si="17"/>
        <v>26.15</v>
      </c>
      <c r="O14" s="733">
        <f t="shared" si="17"/>
        <v>32.12</v>
      </c>
      <c r="P14" s="733">
        <f t="shared" si="17"/>
        <v>39.4</v>
      </c>
      <c r="Q14" s="733">
        <f t="shared" si="17"/>
        <v>48.77</v>
      </c>
      <c r="R14" s="733">
        <f t="shared" si="17"/>
        <v>59.68</v>
      </c>
      <c r="S14" s="733">
        <f t="shared" si="17"/>
        <v>72.6</v>
      </c>
      <c r="T14" s="736"/>
      <c r="U14" s="754" t="s">
        <v>28</v>
      </c>
      <c r="V14" s="755">
        <v>1.49</v>
      </c>
      <c r="W14" s="756">
        <v>1.9371</v>
      </c>
      <c r="X14" s="753">
        <v>2.3774</v>
      </c>
      <c r="Y14" s="753">
        <v>2.9199</v>
      </c>
      <c r="Z14" s="753">
        <v>3.5814</v>
      </c>
      <c r="AA14" s="753">
        <v>4.434</v>
      </c>
      <c r="AB14" s="753">
        <v>5.4254</v>
      </c>
      <c r="AC14" s="753">
        <v>6.6</v>
      </c>
    </row>
    <row r="15" ht="15" spans="1:29">
      <c r="A15" s="720" t="s">
        <v>29</v>
      </c>
      <c r="B15" s="724">
        <f t="shared" ref="B15:I15" si="18">L15*1000</f>
        <v>22960</v>
      </c>
      <c r="C15" s="724">
        <f t="shared" si="18"/>
        <v>26680</v>
      </c>
      <c r="D15" s="724">
        <f t="shared" si="18"/>
        <v>32450</v>
      </c>
      <c r="E15" s="724">
        <f t="shared" si="18"/>
        <v>40460</v>
      </c>
      <c r="F15" s="724">
        <f t="shared" si="18"/>
        <v>49590</v>
      </c>
      <c r="G15" s="724">
        <f t="shared" si="18"/>
        <v>61600</v>
      </c>
      <c r="H15" s="724">
        <f t="shared" si="18"/>
        <v>74940</v>
      </c>
      <c r="I15" s="724">
        <f t="shared" si="18"/>
        <v>90620</v>
      </c>
      <c r="K15" s="729" t="s">
        <v>29</v>
      </c>
      <c r="L15" s="733">
        <f t="shared" ref="L15:S15" si="19">ROUND($P$2*V15/1000,2)</f>
        <v>22.96</v>
      </c>
      <c r="M15" s="733">
        <f t="shared" si="19"/>
        <v>26.68</v>
      </c>
      <c r="N15" s="733">
        <f t="shared" si="19"/>
        <v>32.45</v>
      </c>
      <c r="O15" s="733">
        <f t="shared" si="19"/>
        <v>40.46</v>
      </c>
      <c r="P15" s="733">
        <f t="shared" si="19"/>
        <v>49.59</v>
      </c>
      <c r="Q15" s="733">
        <f t="shared" si="19"/>
        <v>61.6</v>
      </c>
      <c r="R15" s="733">
        <f t="shared" si="19"/>
        <v>74.94</v>
      </c>
      <c r="S15" s="733">
        <f t="shared" si="19"/>
        <v>90.62</v>
      </c>
      <c r="T15" s="736"/>
      <c r="U15" s="754" t="s">
        <v>29</v>
      </c>
      <c r="V15" s="755">
        <v>2.087</v>
      </c>
      <c r="W15" s="756">
        <v>2.4254</v>
      </c>
      <c r="X15" s="753">
        <v>2.9496</v>
      </c>
      <c r="Y15" s="753">
        <v>3.678</v>
      </c>
      <c r="Z15" s="753">
        <v>4.5078</v>
      </c>
      <c r="AA15" s="753">
        <v>5.5998</v>
      </c>
      <c r="AB15" s="753">
        <v>6.8123</v>
      </c>
      <c r="AC15" s="753">
        <v>8.2383</v>
      </c>
    </row>
    <row r="16" ht="15" spans="1:29">
      <c r="A16" s="720" t="s">
        <v>30</v>
      </c>
      <c r="B16" s="724">
        <f t="shared" ref="B16:I16" si="20">L16*1000</f>
        <v>28330</v>
      </c>
      <c r="C16" s="724">
        <f t="shared" si="20"/>
        <v>34540</v>
      </c>
      <c r="D16" s="724">
        <f t="shared" si="20"/>
        <v>42300</v>
      </c>
      <c r="E16" s="724">
        <f t="shared" si="20"/>
        <v>52990</v>
      </c>
      <c r="F16" s="724">
        <f t="shared" si="20"/>
        <v>64920</v>
      </c>
      <c r="G16" s="724">
        <f t="shared" si="20"/>
        <v>79150</v>
      </c>
      <c r="H16" s="724">
        <f t="shared" si="20"/>
        <v>98060</v>
      </c>
      <c r="I16" s="724">
        <f t="shared" si="20"/>
        <v>118750</v>
      </c>
      <c r="K16" s="729" t="s">
        <v>30</v>
      </c>
      <c r="L16" s="733">
        <f t="shared" ref="L16:S16" si="21">ROUND($P$2*V16/1000,2)</f>
        <v>28.33</v>
      </c>
      <c r="M16" s="733">
        <f t="shared" si="21"/>
        <v>34.54</v>
      </c>
      <c r="N16" s="733">
        <f t="shared" si="21"/>
        <v>42.3</v>
      </c>
      <c r="O16" s="733">
        <f t="shared" si="21"/>
        <v>52.99</v>
      </c>
      <c r="P16" s="733">
        <f t="shared" si="21"/>
        <v>64.92</v>
      </c>
      <c r="Q16" s="733">
        <f t="shared" si="21"/>
        <v>79.15</v>
      </c>
      <c r="R16" s="733">
        <f t="shared" si="21"/>
        <v>98.06</v>
      </c>
      <c r="S16" s="733">
        <f t="shared" si="21"/>
        <v>118.75</v>
      </c>
      <c r="T16" s="736"/>
      <c r="U16" s="754" t="s">
        <v>30</v>
      </c>
      <c r="V16" s="755">
        <v>2.575</v>
      </c>
      <c r="W16" s="756">
        <v>3.1401</v>
      </c>
      <c r="X16" s="753">
        <v>3.8456</v>
      </c>
      <c r="Y16" s="753">
        <v>4.817</v>
      </c>
      <c r="Z16" s="753">
        <v>5.9022</v>
      </c>
      <c r="AA16" s="753">
        <v>7.1951</v>
      </c>
      <c r="AB16" s="753">
        <v>8.9141</v>
      </c>
      <c r="AC16" s="753">
        <v>10.7954</v>
      </c>
    </row>
    <row r="17" ht="15" spans="1:29">
      <c r="A17" s="720" t="s">
        <v>31</v>
      </c>
      <c r="B17" s="724">
        <f t="shared" ref="B17:I17" si="22">L17*1000</f>
        <v>34250</v>
      </c>
      <c r="C17" s="724">
        <f t="shared" si="22"/>
        <v>42980</v>
      </c>
      <c r="D17" s="724">
        <f t="shared" si="22"/>
        <v>53470</v>
      </c>
      <c r="E17" s="724">
        <f t="shared" si="22"/>
        <v>66380</v>
      </c>
      <c r="F17" s="724">
        <f t="shared" si="22"/>
        <v>81510</v>
      </c>
      <c r="G17" s="724">
        <f t="shared" si="22"/>
        <v>102440</v>
      </c>
      <c r="H17" s="724">
        <f t="shared" si="22"/>
        <v>124300</v>
      </c>
      <c r="I17" s="724">
        <f t="shared" si="22"/>
        <v>150320</v>
      </c>
      <c r="K17" s="729" t="s">
        <v>31</v>
      </c>
      <c r="L17" s="733">
        <f t="shared" ref="L17:S17" si="23">ROUND($P$2*V17/1000,2)</f>
        <v>34.25</v>
      </c>
      <c r="M17" s="733">
        <f t="shared" si="23"/>
        <v>42.98</v>
      </c>
      <c r="N17" s="733">
        <f t="shared" si="23"/>
        <v>53.47</v>
      </c>
      <c r="O17" s="733">
        <f t="shared" si="23"/>
        <v>66.38</v>
      </c>
      <c r="P17" s="733">
        <f t="shared" si="23"/>
        <v>81.51</v>
      </c>
      <c r="Q17" s="733">
        <f t="shared" si="23"/>
        <v>102.44</v>
      </c>
      <c r="R17" s="733">
        <f t="shared" si="23"/>
        <v>124.3</v>
      </c>
      <c r="S17" s="733">
        <f t="shared" si="23"/>
        <v>150.32</v>
      </c>
      <c r="T17" s="757"/>
      <c r="U17" s="754" t="s">
        <v>31</v>
      </c>
      <c r="V17" s="755">
        <v>3.114</v>
      </c>
      <c r="W17" s="756">
        <v>3.9071</v>
      </c>
      <c r="X17" s="753">
        <v>4.8608</v>
      </c>
      <c r="Y17" s="753">
        <v>6.0346</v>
      </c>
      <c r="Z17" s="753">
        <v>7.4098</v>
      </c>
      <c r="AA17" s="753">
        <v>9.3123</v>
      </c>
      <c r="AB17" s="753">
        <v>11.3001</v>
      </c>
      <c r="AC17" s="753">
        <v>13.6653</v>
      </c>
    </row>
    <row r="18" ht="15" spans="1:29">
      <c r="A18" s="720" t="s">
        <v>32</v>
      </c>
      <c r="B18" s="724">
        <f t="shared" ref="B18:I18" si="24">L18*1000</f>
        <v>42210</v>
      </c>
      <c r="C18" s="724">
        <f t="shared" si="24"/>
        <v>53450</v>
      </c>
      <c r="D18" s="724">
        <f t="shared" si="24"/>
        <v>67090</v>
      </c>
      <c r="E18" s="724">
        <f t="shared" si="24"/>
        <v>82420</v>
      </c>
      <c r="F18" s="724">
        <f t="shared" si="24"/>
        <v>104240</v>
      </c>
      <c r="G18" s="724">
        <f t="shared" si="24"/>
        <v>126010</v>
      </c>
      <c r="H18" s="724">
        <f t="shared" si="24"/>
        <v>153610</v>
      </c>
      <c r="I18" s="724">
        <f t="shared" si="24"/>
        <v>186090</v>
      </c>
      <c r="K18" s="729" t="s">
        <v>32</v>
      </c>
      <c r="L18" s="733">
        <f t="shared" ref="L18:S18" si="25">ROUND($P$2*V18/1000,2)</f>
        <v>42.21</v>
      </c>
      <c r="M18" s="733">
        <f t="shared" si="25"/>
        <v>53.45</v>
      </c>
      <c r="N18" s="733">
        <f t="shared" si="25"/>
        <v>67.09</v>
      </c>
      <c r="O18" s="733">
        <f t="shared" si="25"/>
        <v>82.42</v>
      </c>
      <c r="P18" s="733">
        <f t="shared" si="25"/>
        <v>104.24</v>
      </c>
      <c r="Q18" s="733">
        <f t="shared" si="25"/>
        <v>126.01</v>
      </c>
      <c r="R18" s="733">
        <f t="shared" si="25"/>
        <v>153.61</v>
      </c>
      <c r="S18" s="733">
        <f t="shared" si="25"/>
        <v>186.09</v>
      </c>
      <c r="T18" s="757"/>
      <c r="U18" s="754" t="s">
        <v>32</v>
      </c>
      <c r="V18" s="755">
        <v>3.837</v>
      </c>
      <c r="W18" s="756">
        <v>4.8592</v>
      </c>
      <c r="X18" s="753">
        <v>6.0994</v>
      </c>
      <c r="Y18" s="753">
        <v>7.4926</v>
      </c>
      <c r="Z18" s="753">
        <v>9.4761</v>
      </c>
      <c r="AA18" s="753">
        <v>11.4555</v>
      </c>
      <c r="AB18" s="753">
        <v>13.9648</v>
      </c>
      <c r="AC18" s="753">
        <v>16.9172</v>
      </c>
    </row>
    <row r="19" ht="15" spans="1:29">
      <c r="A19" s="720" t="s">
        <v>33</v>
      </c>
      <c r="B19" s="724">
        <f t="shared" ref="B19:H19" si="26">L19*1000</f>
        <v>55110</v>
      </c>
      <c r="C19" s="724">
        <f t="shared" si="26"/>
        <v>67570</v>
      </c>
      <c r="D19" s="724">
        <f t="shared" si="26"/>
        <v>84020</v>
      </c>
      <c r="E19" s="724">
        <f t="shared" si="26"/>
        <v>103460</v>
      </c>
      <c r="F19" s="724">
        <f t="shared" si="26"/>
        <v>128860</v>
      </c>
      <c r="G19" s="724">
        <f t="shared" si="26"/>
        <v>160160</v>
      </c>
      <c r="H19" s="724">
        <f t="shared" si="26"/>
        <v>194760</v>
      </c>
      <c r="I19" s="723"/>
      <c r="K19" s="729" t="s">
        <v>33</v>
      </c>
      <c r="L19" s="733">
        <f t="shared" ref="L19:R19" si="27">ROUND($P$2*V19/1000,2)</f>
        <v>55.11</v>
      </c>
      <c r="M19" s="733">
        <f t="shared" si="27"/>
        <v>67.57</v>
      </c>
      <c r="N19" s="733">
        <f t="shared" si="27"/>
        <v>84.02</v>
      </c>
      <c r="O19" s="733">
        <f t="shared" si="27"/>
        <v>103.46</v>
      </c>
      <c r="P19" s="733">
        <f t="shared" si="27"/>
        <v>128.86</v>
      </c>
      <c r="Q19" s="733">
        <f t="shared" si="27"/>
        <v>160.16</v>
      </c>
      <c r="R19" s="733">
        <f t="shared" si="27"/>
        <v>194.76</v>
      </c>
      <c r="S19" s="732"/>
      <c r="T19" s="757"/>
      <c r="U19" s="754" t="s">
        <v>33</v>
      </c>
      <c r="V19" s="755">
        <v>5.01</v>
      </c>
      <c r="W19" s="756">
        <v>6.1425</v>
      </c>
      <c r="X19" s="753">
        <v>7.6384</v>
      </c>
      <c r="Y19" s="753">
        <v>9.4057</v>
      </c>
      <c r="Z19" s="753">
        <v>11.7145</v>
      </c>
      <c r="AA19" s="753">
        <v>14.5597</v>
      </c>
      <c r="AB19" s="753">
        <v>17.7056</v>
      </c>
      <c r="AC19" s="753"/>
    </row>
    <row r="20" ht="15" spans="1:29">
      <c r="A20" s="720" t="s">
        <v>34</v>
      </c>
      <c r="B20" s="724">
        <f t="shared" ref="B20:H20" si="28">L20*1000</f>
        <v>66320</v>
      </c>
      <c r="C20" s="724">
        <f t="shared" si="28"/>
        <v>84710</v>
      </c>
      <c r="D20" s="724">
        <f t="shared" si="28"/>
        <v>104260</v>
      </c>
      <c r="E20" s="724">
        <f t="shared" si="28"/>
        <v>128900</v>
      </c>
      <c r="F20" s="724">
        <f t="shared" si="28"/>
        <v>157790</v>
      </c>
      <c r="G20" s="724">
        <f t="shared" si="28"/>
        <v>195220</v>
      </c>
      <c r="H20" s="724">
        <f t="shared" si="28"/>
        <v>240660</v>
      </c>
      <c r="I20" s="723"/>
      <c r="K20" s="729" t="s">
        <v>34</v>
      </c>
      <c r="L20" s="733">
        <f t="shared" ref="L20:R20" si="29">ROUND($P$2*V20/1000,2)</f>
        <v>66.32</v>
      </c>
      <c r="M20" s="733">
        <f t="shared" si="29"/>
        <v>84.71</v>
      </c>
      <c r="N20" s="733">
        <f t="shared" si="29"/>
        <v>104.26</v>
      </c>
      <c r="O20" s="733">
        <f t="shared" si="29"/>
        <v>128.9</v>
      </c>
      <c r="P20" s="733">
        <f t="shared" si="29"/>
        <v>157.79</v>
      </c>
      <c r="Q20" s="733">
        <f t="shared" si="29"/>
        <v>195.22</v>
      </c>
      <c r="R20" s="733">
        <f t="shared" si="29"/>
        <v>240.66</v>
      </c>
      <c r="S20" s="732"/>
      <c r="T20" s="757"/>
      <c r="U20" s="754" t="s">
        <v>34</v>
      </c>
      <c r="V20" s="755">
        <v>6.029</v>
      </c>
      <c r="W20" s="756">
        <v>7.7013</v>
      </c>
      <c r="X20" s="753">
        <v>9.4781</v>
      </c>
      <c r="Y20" s="753">
        <v>11.7183</v>
      </c>
      <c r="Z20" s="753">
        <v>14.3448</v>
      </c>
      <c r="AA20" s="753">
        <v>17.7469</v>
      </c>
      <c r="AB20" s="753">
        <v>21.8783</v>
      </c>
      <c r="AC20" s="753"/>
    </row>
    <row r="21" ht="15" spans="1:29">
      <c r="A21" s="720" t="s">
        <v>35</v>
      </c>
      <c r="B21" s="724">
        <f t="shared" ref="B21:H21" si="30">L21*1000</f>
        <v>84700</v>
      </c>
      <c r="C21" s="724">
        <f t="shared" si="30"/>
        <v>106040</v>
      </c>
      <c r="D21" s="724">
        <f t="shared" si="30"/>
        <v>131470</v>
      </c>
      <c r="E21" s="724">
        <f t="shared" si="30"/>
        <v>161920</v>
      </c>
      <c r="F21" s="724">
        <f t="shared" si="30"/>
        <v>200260</v>
      </c>
      <c r="G21" s="724">
        <f t="shared" si="30"/>
        <v>246510</v>
      </c>
      <c r="H21" s="724">
        <f t="shared" si="30"/>
        <v>303030</v>
      </c>
      <c r="I21" s="723"/>
      <c r="K21" s="729" t="s">
        <v>35</v>
      </c>
      <c r="L21" s="733">
        <f t="shared" ref="L21:R21" si="31">ROUND($P$2*V21/1000,2)</f>
        <v>84.7</v>
      </c>
      <c r="M21" s="733">
        <f t="shared" si="31"/>
        <v>106.04</v>
      </c>
      <c r="N21" s="733">
        <f t="shared" si="31"/>
        <v>131.47</v>
      </c>
      <c r="O21" s="733">
        <f t="shared" si="31"/>
        <v>161.92</v>
      </c>
      <c r="P21" s="733">
        <f t="shared" si="31"/>
        <v>200.26</v>
      </c>
      <c r="Q21" s="733">
        <f t="shared" si="31"/>
        <v>246.51</v>
      </c>
      <c r="R21" s="733">
        <f t="shared" si="31"/>
        <v>303.03</v>
      </c>
      <c r="S21" s="732"/>
      <c r="T21" s="757"/>
      <c r="U21" s="754" t="s">
        <v>35</v>
      </c>
      <c r="V21" s="755">
        <v>7.7</v>
      </c>
      <c r="W21" s="756">
        <v>9.64</v>
      </c>
      <c r="X21" s="753">
        <v>11.9522</v>
      </c>
      <c r="Y21" s="753">
        <v>14.7198</v>
      </c>
      <c r="Z21" s="753">
        <v>18.2057</v>
      </c>
      <c r="AA21" s="753">
        <v>22.41</v>
      </c>
      <c r="AB21" s="753">
        <v>27.5478</v>
      </c>
      <c r="AC21" s="753"/>
    </row>
    <row r="22" ht="15" spans="1:29">
      <c r="A22" s="720" t="s">
        <v>36</v>
      </c>
      <c r="B22" s="724">
        <f t="shared" ref="B22:H22" si="32">L22*1000</f>
        <v>106630</v>
      </c>
      <c r="C22" s="724">
        <f t="shared" si="32"/>
        <v>133160</v>
      </c>
      <c r="D22" s="724">
        <f t="shared" si="32"/>
        <v>166470</v>
      </c>
      <c r="E22" s="724">
        <f t="shared" si="32"/>
        <v>206120</v>
      </c>
      <c r="F22" s="724">
        <f t="shared" si="32"/>
        <v>252360</v>
      </c>
      <c r="G22" s="724">
        <f t="shared" si="32"/>
        <v>310750</v>
      </c>
      <c r="H22" s="724">
        <f t="shared" si="32"/>
        <v>384580</v>
      </c>
      <c r="I22" s="723"/>
      <c r="K22" s="729" t="s">
        <v>36</v>
      </c>
      <c r="L22" s="733">
        <f t="shared" ref="L22:R22" si="33">ROUND($P$2*V22/1000,2)</f>
        <v>106.63</v>
      </c>
      <c r="M22" s="733">
        <f t="shared" si="33"/>
        <v>133.16</v>
      </c>
      <c r="N22" s="733">
        <f t="shared" si="33"/>
        <v>166.47</v>
      </c>
      <c r="O22" s="733">
        <f t="shared" si="33"/>
        <v>206.12</v>
      </c>
      <c r="P22" s="733">
        <f t="shared" si="33"/>
        <v>252.36</v>
      </c>
      <c r="Q22" s="733">
        <f t="shared" si="33"/>
        <v>310.75</v>
      </c>
      <c r="R22" s="733">
        <f t="shared" si="33"/>
        <v>384.58</v>
      </c>
      <c r="S22" s="732"/>
      <c r="T22" s="757"/>
      <c r="U22" s="754" t="s">
        <v>36</v>
      </c>
      <c r="V22" s="755">
        <v>9.694</v>
      </c>
      <c r="W22" s="756">
        <v>12.1052</v>
      </c>
      <c r="X22" s="753">
        <v>15.1333</v>
      </c>
      <c r="Y22" s="753">
        <v>18.7378</v>
      </c>
      <c r="Z22" s="753">
        <v>22.9414</v>
      </c>
      <c r="AA22" s="753">
        <v>28.25</v>
      </c>
      <c r="AB22" s="753">
        <v>34.9614</v>
      </c>
      <c r="AC22" s="753"/>
    </row>
    <row r="23" ht="15" spans="1:29">
      <c r="A23" s="720" t="s">
        <v>37</v>
      </c>
      <c r="B23" s="725"/>
      <c r="C23" s="724">
        <f t="shared" ref="C23:H23" si="34">M23*1000</f>
        <v>170340</v>
      </c>
      <c r="D23" s="724">
        <f t="shared" si="34"/>
        <v>211470</v>
      </c>
      <c r="E23" s="724">
        <f t="shared" si="34"/>
        <v>261430</v>
      </c>
      <c r="F23" s="724">
        <f t="shared" si="34"/>
        <v>321210</v>
      </c>
      <c r="G23" s="724">
        <f t="shared" si="34"/>
        <v>395670</v>
      </c>
      <c r="H23" s="724">
        <f t="shared" si="34"/>
        <v>489330</v>
      </c>
      <c r="I23" s="723"/>
      <c r="K23" s="729" t="s">
        <v>37</v>
      </c>
      <c r="L23" s="733"/>
      <c r="M23" s="733">
        <f t="shared" ref="M23:R23" si="35">ROUND($P$2*W23/1000,2)</f>
        <v>170.34</v>
      </c>
      <c r="N23" s="733">
        <f t="shared" si="35"/>
        <v>211.47</v>
      </c>
      <c r="O23" s="733">
        <f t="shared" si="35"/>
        <v>261.43</v>
      </c>
      <c r="P23" s="733">
        <f t="shared" si="35"/>
        <v>321.21</v>
      </c>
      <c r="Q23" s="733">
        <f t="shared" si="35"/>
        <v>395.67</v>
      </c>
      <c r="R23" s="733">
        <f t="shared" si="35"/>
        <v>489.33</v>
      </c>
      <c r="S23" s="732"/>
      <c r="T23" s="757"/>
      <c r="U23" s="754" t="s">
        <v>37</v>
      </c>
      <c r="V23" s="755"/>
      <c r="W23" s="756">
        <v>15.4857</v>
      </c>
      <c r="X23" s="753">
        <v>19.2246</v>
      </c>
      <c r="Y23" s="753">
        <v>23.7668</v>
      </c>
      <c r="Z23" s="753">
        <v>29.2006</v>
      </c>
      <c r="AA23" s="753">
        <v>35.97</v>
      </c>
      <c r="AB23" s="753">
        <v>44.4849</v>
      </c>
      <c r="AC23" s="753"/>
    </row>
    <row r="24" ht="15" spans="1:29">
      <c r="A24" s="720" t="s">
        <v>38</v>
      </c>
      <c r="B24" s="724">
        <f t="shared" ref="B24:H24" si="36">L24*1000</f>
        <v>167840</v>
      </c>
      <c r="C24" s="724">
        <f t="shared" si="36"/>
        <v>216470</v>
      </c>
      <c r="D24" s="724">
        <f t="shared" si="36"/>
        <v>269990</v>
      </c>
      <c r="E24" s="724">
        <f t="shared" si="36"/>
        <v>332230</v>
      </c>
      <c r="F24" s="724">
        <f t="shared" si="36"/>
        <v>410620</v>
      </c>
      <c r="G24" s="724">
        <f t="shared" si="36"/>
        <v>503580</v>
      </c>
      <c r="H24" s="724">
        <f t="shared" si="36"/>
        <v>624030</v>
      </c>
      <c r="I24" s="723"/>
      <c r="K24" s="729" t="s">
        <v>38</v>
      </c>
      <c r="L24" s="733">
        <f t="shared" ref="L24:R24" si="37">ROUND($P$2*V24/1000,2)</f>
        <v>167.84</v>
      </c>
      <c r="M24" s="733">
        <f t="shared" si="37"/>
        <v>216.47</v>
      </c>
      <c r="N24" s="733">
        <f t="shared" si="37"/>
        <v>269.99</v>
      </c>
      <c r="O24" s="733">
        <f t="shared" si="37"/>
        <v>332.23</v>
      </c>
      <c r="P24" s="733">
        <f t="shared" si="37"/>
        <v>410.62</v>
      </c>
      <c r="Q24" s="733">
        <f t="shared" si="37"/>
        <v>503.58</v>
      </c>
      <c r="R24" s="733">
        <f t="shared" si="37"/>
        <v>624.03</v>
      </c>
      <c r="S24" s="732"/>
      <c r="T24" s="757"/>
      <c r="U24" s="754" t="s">
        <v>38</v>
      </c>
      <c r="V24" s="755">
        <v>15.258</v>
      </c>
      <c r="W24" s="756">
        <v>19.6794</v>
      </c>
      <c r="X24" s="753">
        <v>24.5442</v>
      </c>
      <c r="Y24" s="753">
        <v>30.2023</v>
      </c>
      <c r="Z24" s="753">
        <v>37.329</v>
      </c>
      <c r="AA24" s="753">
        <v>45.78</v>
      </c>
      <c r="AB24" s="753">
        <v>56.7297</v>
      </c>
      <c r="AC24" s="753"/>
    </row>
    <row r="25" ht="15" spans="1:29">
      <c r="A25" s="720" t="s">
        <v>39</v>
      </c>
      <c r="B25" s="725"/>
      <c r="C25" s="724">
        <f t="shared" ref="C25:H25" si="38">M25*1000</f>
        <v>273760</v>
      </c>
      <c r="D25" s="724">
        <f t="shared" si="38"/>
        <v>340720</v>
      </c>
      <c r="E25" s="724">
        <f t="shared" si="38"/>
        <v>420670</v>
      </c>
      <c r="F25" s="724">
        <f t="shared" si="38"/>
        <v>520740</v>
      </c>
      <c r="G25" s="724">
        <f t="shared" si="38"/>
        <v>638220</v>
      </c>
      <c r="H25" s="724">
        <f t="shared" si="38"/>
        <v>794340</v>
      </c>
      <c r="I25" s="723"/>
      <c r="K25" s="729" t="s">
        <v>39</v>
      </c>
      <c r="L25" s="733"/>
      <c r="M25" s="733">
        <f t="shared" ref="M25:R25" si="39">ROUND($P$2*W25/1000,2)</f>
        <v>273.76</v>
      </c>
      <c r="N25" s="733">
        <f t="shared" si="39"/>
        <v>340.72</v>
      </c>
      <c r="O25" s="733">
        <f t="shared" si="39"/>
        <v>420.67</v>
      </c>
      <c r="P25" s="733">
        <f t="shared" si="39"/>
        <v>520.74</v>
      </c>
      <c r="Q25" s="733">
        <f t="shared" si="39"/>
        <v>638.22</v>
      </c>
      <c r="R25" s="733">
        <f t="shared" si="39"/>
        <v>794.34</v>
      </c>
      <c r="S25" s="732"/>
      <c r="U25" s="754" t="s">
        <v>39</v>
      </c>
      <c r="V25" s="755"/>
      <c r="W25" s="756">
        <v>24.8877</v>
      </c>
      <c r="X25" s="753">
        <v>30.9748</v>
      </c>
      <c r="Y25" s="753">
        <v>38.2429</v>
      </c>
      <c r="Z25" s="753">
        <v>47.3397</v>
      </c>
      <c r="AA25" s="753">
        <v>58.02</v>
      </c>
      <c r="AB25" s="753">
        <v>72.2129</v>
      </c>
      <c r="AC25" s="753"/>
    </row>
    <row r="26" ht="15" spans="1:29">
      <c r="A26" s="720" t="s">
        <v>40</v>
      </c>
      <c r="B26" s="724">
        <f t="shared" ref="B26:H26" si="40">L26*1000</f>
        <v>256880</v>
      </c>
      <c r="C26" s="724">
        <f t="shared" si="40"/>
        <v>340070</v>
      </c>
      <c r="D26" s="724">
        <f t="shared" si="40"/>
        <v>419420</v>
      </c>
      <c r="E26" s="724">
        <f t="shared" si="40"/>
        <v>525800</v>
      </c>
      <c r="F26" s="724">
        <f t="shared" si="40"/>
        <v>642360</v>
      </c>
      <c r="G26" s="724">
        <f t="shared" si="40"/>
        <v>791560</v>
      </c>
      <c r="H26" s="724">
        <f t="shared" si="40"/>
        <v>989600</v>
      </c>
      <c r="I26" s="723"/>
      <c r="K26" s="729" t="s">
        <v>40</v>
      </c>
      <c r="L26" s="733">
        <f t="shared" ref="L26:R26" si="41">ROUND($P$2*V26/1000,2)</f>
        <v>256.88</v>
      </c>
      <c r="M26" s="733">
        <f t="shared" si="41"/>
        <v>340.07</v>
      </c>
      <c r="N26" s="733">
        <f t="shared" si="41"/>
        <v>419.42</v>
      </c>
      <c r="O26" s="733">
        <f t="shared" si="41"/>
        <v>525.8</v>
      </c>
      <c r="P26" s="733">
        <f t="shared" si="41"/>
        <v>642.36</v>
      </c>
      <c r="Q26" s="733">
        <f t="shared" si="41"/>
        <v>791.56</v>
      </c>
      <c r="R26" s="733">
        <f t="shared" si="41"/>
        <v>989.6</v>
      </c>
      <c r="S26" s="732"/>
      <c r="U26" s="754" t="s">
        <v>40</v>
      </c>
      <c r="V26" s="755">
        <v>23.353</v>
      </c>
      <c r="W26" s="756">
        <v>30.9153</v>
      </c>
      <c r="X26" s="753">
        <v>38.1289</v>
      </c>
      <c r="Y26" s="753">
        <v>47.8</v>
      </c>
      <c r="Z26" s="753">
        <v>58.3963</v>
      </c>
      <c r="AA26" s="753">
        <v>71.96</v>
      </c>
      <c r="AB26" s="753">
        <v>89.9635</v>
      </c>
      <c r="AC26" s="753"/>
    </row>
    <row r="27" customFormat="1" ht="15" spans="1:29">
      <c r="A27" s="726"/>
      <c r="B27" s="727"/>
      <c r="C27" s="727"/>
      <c r="D27" s="727"/>
      <c r="E27" s="727"/>
      <c r="F27" s="727"/>
      <c r="G27" s="727"/>
      <c r="H27" s="727"/>
      <c r="I27" s="734"/>
      <c r="K27" s="735"/>
      <c r="L27" s="736"/>
      <c r="M27" s="736"/>
      <c r="N27" s="736"/>
      <c r="O27" s="736"/>
      <c r="P27" s="736"/>
      <c r="Q27" s="736"/>
      <c r="R27" s="736"/>
      <c r="S27" s="757"/>
      <c r="U27" s="735"/>
      <c r="V27" s="758"/>
      <c r="W27" s="759"/>
      <c r="X27" s="759"/>
      <c r="Y27" s="759"/>
      <c r="Z27" s="759"/>
      <c r="AA27" s="759"/>
      <c r="AB27" s="759"/>
      <c r="AC27" s="759"/>
    </row>
    <row r="28" customFormat="1" ht="15" spans="1:29">
      <c r="A28" s="726"/>
      <c r="B28" s="727"/>
      <c r="C28" s="727"/>
      <c r="D28" s="727"/>
      <c r="E28" s="727"/>
      <c r="F28" s="727"/>
      <c r="G28" s="727"/>
      <c r="H28" s="727"/>
      <c r="I28" s="734"/>
      <c r="K28" s="735"/>
      <c r="L28" s="736"/>
      <c r="M28" s="736"/>
      <c r="N28" s="736"/>
      <c r="O28" s="736"/>
      <c r="P28" s="736"/>
      <c r="Q28" s="736"/>
      <c r="R28" s="736"/>
      <c r="S28" s="757"/>
      <c r="U28" s="735"/>
      <c r="V28" s="758"/>
      <c r="W28" s="759"/>
      <c r="X28" s="759"/>
      <c r="Y28" s="759"/>
      <c r="Z28" s="759"/>
      <c r="AA28" s="759"/>
      <c r="AB28" s="759"/>
      <c r="AC28" s="759"/>
    </row>
    <row r="29" customFormat="1" ht="15" spans="1:29">
      <c r="A29" s="726"/>
      <c r="B29" s="727"/>
      <c r="C29" s="727"/>
      <c r="D29" s="727"/>
      <c r="E29" s="727"/>
      <c r="F29" s="727"/>
      <c r="G29" s="727"/>
      <c r="H29" s="727"/>
      <c r="I29" s="734"/>
      <c r="K29" s="735"/>
      <c r="L29" s="736"/>
      <c r="M29" s="736"/>
      <c r="N29" s="736"/>
      <c r="O29" s="736"/>
      <c r="P29" s="736"/>
      <c r="Q29" s="736"/>
      <c r="R29" s="736"/>
      <c r="S29" s="757"/>
      <c r="U29" s="735"/>
      <c r="V29" s="758"/>
      <c r="W29" s="759"/>
      <c r="X29" s="759"/>
      <c r="Y29" s="759"/>
      <c r="Z29" s="759"/>
      <c r="AA29" s="759"/>
      <c r="AB29" s="759"/>
      <c r="AC29" s="759"/>
    </row>
    <row r="30" customFormat="1" ht="15" spans="1:29">
      <c r="A30" s="726"/>
      <c r="B30" s="727"/>
      <c r="C30" s="727"/>
      <c r="D30" s="727"/>
      <c r="E30" s="727"/>
      <c r="F30" s="727"/>
      <c r="G30" s="727"/>
      <c r="H30" s="727"/>
      <c r="I30" s="734"/>
      <c r="K30" s="735"/>
      <c r="L30" s="736"/>
      <c r="M30" s="736"/>
      <c r="N30" s="736"/>
      <c r="O30" s="736"/>
      <c r="P30" s="736"/>
      <c r="Q30" s="736"/>
      <c r="R30" s="736"/>
      <c r="S30" s="757"/>
      <c r="U30" s="735"/>
      <c r="V30" s="758"/>
      <c r="W30" s="759"/>
      <c r="X30" s="759"/>
      <c r="Y30" s="759"/>
      <c r="Z30" s="759"/>
      <c r="AA30" s="759"/>
      <c r="AB30" s="759"/>
      <c r="AC30" s="759"/>
    </row>
    <row r="31" customFormat="1" ht="15" spans="1:29">
      <c r="A31" s="726"/>
      <c r="B31" s="727"/>
      <c r="C31" s="727"/>
      <c r="D31" s="727"/>
      <c r="E31" s="727"/>
      <c r="F31" s="727"/>
      <c r="G31" s="727"/>
      <c r="H31" s="727"/>
      <c r="I31" s="734"/>
      <c r="K31" s="735"/>
      <c r="L31" s="736"/>
      <c r="M31" s="736"/>
      <c r="N31" s="736"/>
      <c r="O31" s="736"/>
      <c r="P31" s="736"/>
      <c r="Q31" s="736"/>
      <c r="R31" s="736"/>
      <c r="S31" s="757"/>
      <c r="U31" s="735"/>
      <c r="V31" s="758"/>
      <c r="W31" s="759"/>
      <c r="X31" s="759"/>
      <c r="Y31" s="759"/>
      <c r="Z31" s="759"/>
      <c r="AA31" s="759"/>
      <c r="AB31" s="759"/>
      <c r="AC31" s="759"/>
    </row>
    <row r="32" customFormat="1" ht="15" spans="1:29">
      <c r="A32" s="726"/>
      <c r="B32" s="727"/>
      <c r="C32" s="727"/>
      <c r="D32" s="727"/>
      <c r="E32" s="727"/>
      <c r="F32" s="727"/>
      <c r="G32" s="727"/>
      <c r="H32" s="727"/>
      <c r="I32" s="734"/>
      <c r="K32" s="735"/>
      <c r="L32" s="736"/>
      <c r="M32" s="736"/>
      <c r="N32" s="736"/>
      <c r="O32" s="736"/>
      <c r="P32" s="736"/>
      <c r="Q32" s="736"/>
      <c r="R32" s="736"/>
      <c r="S32" s="757"/>
      <c r="U32" s="735"/>
      <c r="V32" s="758"/>
      <c r="W32" s="759"/>
      <c r="X32" s="759"/>
      <c r="Y32" s="759"/>
      <c r="Z32" s="759"/>
      <c r="AA32" s="759"/>
      <c r="AB32" s="759"/>
      <c r="AC32" s="759"/>
    </row>
    <row r="33" customFormat="1" ht="15" spans="1:29">
      <c r="A33" s="726"/>
      <c r="B33" s="727"/>
      <c r="C33" s="727"/>
      <c r="D33" s="727"/>
      <c r="E33" s="727"/>
      <c r="F33" s="727"/>
      <c r="G33" s="727"/>
      <c r="H33" s="727"/>
      <c r="I33" s="734"/>
      <c r="K33" s="735"/>
      <c r="L33" s="736"/>
      <c r="M33" s="736"/>
      <c r="N33" s="736"/>
      <c r="O33" s="736"/>
      <c r="P33" s="736"/>
      <c r="Q33" s="736"/>
      <c r="R33" s="736"/>
      <c r="S33" s="757"/>
      <c r="U33" s="735"/>
      <c r="V33" s="758"/>
      <c r="W33" s="759"/>
      <c r="X33" s="759"/>
      <c r="Y33" s="759"/>
      <c r="Z33" s="759"/>
      <c r="AA33" s="759"/>
      <c r="AB33" s="759"/>
      <c r="AC33" s="759"/>
    </row>
    <row r="34" customFormat="1" ht="15" spans="1:29">
      <c r="A34" s="726"/>
      <c r="B34" s="727"/>
      <c r="C34" s="727"/>
      <c r="D34" s="727"/>
      <c r="E34" s="727"/>
      <c r="F34" s="727"/>
      <c r="G34" s="727"/>
      <c r="H34" s="727"/>
      <c r="I34" s="734"/>
      <c r="K34" s="735"/>
      <c r="L34" s="736"/>
      <c r="M34" s="736"/>
      <c r="N34" s="736"/>
      <c r="O34" s="736"/>
      <c r="P34" s="736"/>
      <c r="Q34" s="736"/>
      <c r="R34" s="736"/>
      <c r="S34" s="757"/>
      <c r="U34" s="735"/>
      <c r="V34" s="758"/>
      <c r="W34" s="759"/>
      <c r="X34" s="759"/>
      <c r="Y34" s="759"/>
      <c r="Z34" s="759"/>
      <c r="AA34" s="759"/>
      <c r="AB34" s="759"/>
      <c r="AC34" s="759"/>
    </row>
    <row r="35" customFormat="1" ht="15" spans="1:29">
      <c r="A35" s="726"/>
      <c r="B35" s="727"/>
      <c r="C35" s="727"/>
      <c r="D35" s="727"/>
      <c r="E35" s="727"/>
      <c r="F35" s="727"/>
      <c r="G35" s="727"/>
      <c r="H35" s="727"/>
      <c r="I35" s="734"/>
      <c r="K35" s="735"/>
      <c r="L35" s="736"/>
      <c r="M35" s="736"/>
      <c r="N35" s="736"/>
      <c r="O35" s="736"/>
      <c r="P35" s="736"/>
      <c r="Q35" s="736"/>
      <c r="R35" s="736"/>
      <c r="S35" s="757"/>
      <c r="U35" s="735"/>
      <c r="V35" s="758"/>
      <c r="W35" s="759"/>
      <c r="X35" s="759"/>
      <c r="Y35" s="759"/>
      <c r="Z35" s="759"/>
      <c r="AA35" s="759"/>
      <c r="AB35" s="759"/>
      <c r="AC35" s="759"/>
    </row>
    <row r="36" customFormat="1" ht="15" spans="1:29">
      <c r="A36" s="726"/>
      <c r="B36" s="727"/>
      <c r="C36" s="727"/>
      <c r="D36" s="727"/>
      <c r="E36" s="727"/>
      <c r="F36" s="727"/>
      <c r="G36" s="727"/>
      <c r="H36" s="727"/>
      <c r="I36" s="734"/>
      <c r="K36" s="735"/>
      <c r="L36" s="736"/>
      <c r="M36" s="736"/>
      <c r="N36" s="736"/>
      <c r="O36" s="736"/>
      <c r="P36" s="736"/>
      <c r="Q36" s="736"/>
      <c r="R36" s="736"/>
      <c r="S36" s="757"/>
      <c r="U36" s="735"/>
      <c r="V36" s="758"/>
      <c r="W36" s="759"/>
      <c r="X36" s="759"/>
      <c r="Y36" s="759"/>
      <c r="Z36" s="759"/>
      <c r="AA36" s="759"/>
      <c r="AB36" s="759"/>
      <c r="AC36" s="759"/>
    </row>
    <row r="37" customFormat="1" ht="15" spans="1:29">
      <c r="A37" s="726"/>
      <c r="B37" s="727"/>
      <c r="C37" s="727"/>
      <c r="D37" s="727"/>
      <c r="E37" s="727"/>
      <c r="F37" s="727"/>
      <c r="G37" s="727"/>
      <c r="H37" s="727"/>
      <c r="I37" s="734"/>
      <c r="K37" s="735"/>
      <c r="L37" s="736"/>
      <c r="M37" s="736"/>
      <c r="N37" s="736"/>
      <c r="O37" s="736"/>
      <c r="P37" s="736"/>
      <c r="Q37" s="736"/>
      <c r="R37" s="736"/>
      <c r="S37" s="757"/>
      <c r="U37" s="735"/>
      <c r="V37" s="758"/>
      <c r="W37" s="759"/>
      <c r="X37" s="759"/>
      <c r="Y37" s="759"/>
      <c r="Z37" s="759"/>
      <c r="AA37" s="759"/>
      <c r="AB37" s="759"/>
      <c r="AC37" s="759"/>
    </row>
    <row r="38" customFormat="1" ht="15" spans="1:29">
      <c r="A38" s="726"/>
      <c r="B38" s="727"/>
      <c r="C38" s="727"/>
      <c r="D38" s="727"/>
      <c r="E38" s="727"/>
      <c r="F38" s="727"/>
      <c r="G38" s="727"/>
      <c r="H38" s="727"/>
      <c r="I38" s="734"/>
      <c r="K38" s="735"/>
      <c r="L38" s="736"/>
      <c r="M38" s="736"/>
      <c r="N38" s="736"/>
      <c r="O38" s="736"/>
      <c r="P38" s="736"/>
      <c r="Q38" s="736"/>
      <c r="R38" s="736"/>
      <c r="S38" s="757"/>
      <c r="U38" s="735"/>
      <c r="V38" s="758"/>
      <c r="W38" s="759"/>
      <c r="X38" s="759"/>
      <c r="Y38" s="759"/>
      <c r="Z38" s="759"/>
      <c r="AA38" s="759"/>
      <c r="AB38" s="759"/>
      <c r="AC38" s="759"/>
    </row>
    <row r="39" customFormat="1" ht="15" spans="1:29">
      <c r="A39" s="726"/>
      <c r="B39" s="727"/>
      <c r="C39" s="727"/>
      <c r="D39" s="727"/>
      <c r="E39" s="727"/>
      <c r="F39" s="727"/>
      <c r="G39" s="727"/>
      <c r="H39" s="727"/>
      <c r="I39" s="734"/>
      <c r="K39" s="735"/>
      <c r="L39" s="736"/>
      <c r="M39" s="736"/>
      <c r="N39" s="736"/>
      <c r="O39" s="736"/>
      <c r="P39" s="736"/>
      <c r="Q39" s="736"/>
      <c r="R39" s="736"/>
      <c r="S39" s="757"/>
      <c r="U39" s="735"/>
      <c r="V39" s="758"/>
      <c r="W39" s="759"/>
      <c r="X39" s="759"/>
      <c r="Y39" s="759"/>
      <c r="Z39" s="759"/>
      <c r="AA39" s="759"/>
      <c r="AB39" s="759"/>
      <c r="AC39" s="759"/>
    </row>
    <row r="40" customFormat="1" ht="15" spans="1:29">
      <c r="A40" s="726"/>
      <c r="B40" s="727"/>
      <c r="C40" s="727"/>
      <c r="D40" s="727"/>
      <c r="E40" s="727"/>
      <c r="F40" s="727"/>
      <c r="G40" s="727"/>
      <c r="H40" s="727"/>
      <c r="I40" s="734"/>
      <c r="K40" s="735"/>
      <c r="L40" s="736"/>
      <c r="M40" s="736"/>
      <c r="N40" s="736"/>
      <c r="O40" s="736"/>
      <c r="P40" s="736"/>
      <c r="Q40" s="736"/>
      <c r="R40" s="736"/>
      <c r="S40" s="757"/>
      <c r="U40" s="735"/>
      <c r="V40" s="758"/>
      <c r="W40" s="759"/>
      <c r="X40" s="759"/>
      <c r="Y40" s="759"/>
      <c r="Z40" s="759"/>
      <c r="AA40" s="759"/>
      <c r="AB40" s="759"/>
      <c r="AC40" s="759"/>
    </row>
    <row r="41" customFormat="1" ht="15" spans="1:29">
      <c r="A41" s="726"/>
      <c r="B41" s="727"/>
      <c r="C41" s="727"/>
      <c r="D41" s="727"/>
      <c r="E41" s="727"/>
      <c r="F41" s="727"/>
      <c r="G41" s="727"/>
      <c r="H41" s="727"/>
      <c r="I41" s="734"/>
      <c r="K41" s="735"/>
      <c r="L41" s="736"/>
      <c r="M41" s="736"/>
      <c r="N41" s="736"/>
      <c r="O41" s="736"/>
      <c r="P41" s="736"/>
      <c r="Q41" s="736"/>
      <c r="R41" s="736"/>
      <c r="S41" s="757"/>
      <c r="U41" s="735"/>
      <c r="V41" s="758"/>
      <c r="W41" s="759"/>
      <c r="X41" s="759"/>
      <c r="Y41" s="759"/>
      <c r="Z41" s="759"/>
      <c r="AA41" s="759"/>
      <c r="AB41" s="759"/>
      <c r="AC41" s="759"/>
    </row>
    <row r="42" customFormat="1" ht="15" spans="1:29">
      <c r="A42" s="726"/>
      <c r="B42" s="727"/>
      <c r="C42" s="727"/>
      <c r="D42" s="727"/>
      <c r="E42" s="727"/>
      <c r="F42" s="727"/>
      <c r="G42" s="727"/>
      <c r="H42" s="727"/>
      <c r="I42" s="734"/>
      <c r="K42" s="735"/>
      <c r="L42" s="736"/>
      <c r="M42" s="736"/>
      <c r="N42" s="736"/>
      <c r="O42" s="736"/>
      <c r="P42" s="736"/>
      <c r="Q42" s="736"/>
      <c r="R42" s="736"/>
      <c r="S42" s="757"/>
      <c r="U42" s="735"/>
      <c r="V42" s="758"/>
      <c r="W42" s="759"/>
      <c r="X42" s="759"/>
      <c r="Y42" s="759"/>
      <c r="Z42" s="759"/>
      <c r="AA42" s="759"/>
      <c r="AB42" s="759"/>
      <c r="AC42" s="759"/>
    </row>
    <row r="43" customFormat="1" ht="15" spans="1:29">
      <c r="A43" s="726"/>
      <c r="B43" s="727"/>
      <c r="C43" s="727"/>
      <c r="D43" s="727"/>
      <c r="E43" s="727"/>
      <c r="F43" s="727"/>
      <c r="G43" s="727"/>
      <c r="H43" s="727"/>
      <c r="I43" s="734"/>
      <c r="K43" s="735"/>
      <c r="L43" s="736"/>
      <c r="M43" s="736"/>
      <c r="N43" s="736"/>
      <c r="O43" s="736"/>
      <c r="P43" s="736"/>
      <c r="Q43" s="736"/>
      <c r="R43" s="736"/>
      <c r="S43" s="757"/>
      <c r="U43" s="735"/>
      <c r="V43" s="758"/>
      <c r="W43" s="759"/>
      <c r="X43" s="759"/>
      <c r="Y43" s="759"/>
      <c r="Z43" s="759"/>
      <c r="AA43" s="759"/>
      <c r="AB43" s="759"/>
      <c r="AC43" s="759"/>
    </row>
    <row r="44" customFormat="1" ht="14.25"/>
    <row r="45" customFormat="1" ht="14.25"/>
    <row r="46" customFormat="1" ht="14.25"/>
    <row r="47" customFormat="1" ht="14.25"/>
    <row r="48" customFormat="1" ht="18.75" spans="11:29">
      <c r="K48" s="737" t="s">
        <v>41</v>
      </c>
      <c r="L48" s="737"/>
      <c r="T48" s="760"/>
      <c r="U48" s="761" t="s">
        <v>42</v>
      </c>
      <c r="V48" s="761"/>
      <c r="W48" s="762"/>
      <c r="X48" s="762"/>
      <c r="Y48" s="762"/>
      <c r="Z48" s="762"/>
      <c r="AA48" s="762"/>
      <c r="AB48" s="762" t="s">
        <v>2</v>
      </c>
      <c r="AC48" s="762"/>
    </row>
    <row r="49" customFormat="1" ht="14.25" spans="15:29">
      <c r="O49" s="738" t="s">
        <v>3</v>
      </c>
      <c r="P49" s="739">
        <f>16500*1</f>
        <v>16500</v>
      </c>
      <c r="Q49" s="763" t="s">
        <v>4</v>
      </c>
      <c r="R49" s="763" t="s">
        <v>6</v>
      </c>
      <c r="T49" s="764"/>
      <c r="U49" s="765"/>
      <c r="V49" s="765"/>
      <c r="W49" s="762"/>
      <c r="X49" s="762"/>
      <c r="Y49" s="762"/>
      <c r="Z49" s="762"/>
      <c r="AA49" s="762"/>
      <c r="AB49" s="762"/>
      <c r="AC49" s="762"/>
    </row>
    <row r="50" customFormat="1" ht="15" spans="11:29">
      <c r="K50" s="740" t="s">
        <v>7</v>
      </c>
      <c r="L50" s="740"/>
      <c r="M50" s="740" t="s">
        <v>8</v>
      </c>
      <c r="N50" s="740"/>
      <c r="O50" s="740"/>
      <c r="P50" s="740"/>
      <c r="Q50" s="740"/>
      <c r="R50" s="740"/>
      <c r="S50" s="740"/>
      <c r="T50" s="766"/>
      <c r="U50" s="767" t="s">
        <v>9</v>
      </c>
      <c r="V50" s="768" t="s">
        <v>10</v>
      </c>
      <c r="W50" s="769"/>
      <c r="X50" s="769"/>
      <c r="Y50" s="769"/>
      <c r="Z50" s="769"/>
      <c r="AA50" s="769"/>
      <c r="AB50" s="769"/>
      <c r="AC50" s="777"/>
    </row>
    <row r="51" customFormat="1" ht="15" spans="11:29">
      <c r="K51" s="740"/>
      <c r="L51" s="741"/>
      <c r="M51" s="742" t="s">
        <v>43</v>
      </c>
      <c r="N51" s="742" t="s">
        <v>13</v>
      </c>
      <c r="O51" s="742" t="s">
        <v>14</v>
      </c>
      <c r="P51" s="742" t="s">
        <v>15</v>
      </c>
      <c r="Q51" s="742" t="s">
        <v>16</v>
      </c>
      <c r="R51" s="742" t="s">
        <v>17</v>
      </c>
      <c r="S51" s="742" t="s">
        <v>18</v>
      </c>
      <c r="T51" s="766"/>
      <c r="U51" s="770"/>
      <c r="V51" s="741"/>
      <c r="W51" s="741" t="s">
        <v>43</v>
      </c>
      <c r="X51" s="741" t="s">
        <v>13</v>
      </c>
      <c r="Y51" s="741" t="s">
        <v>14</v>
      </c>
      <c r="Z51" s="741" t="s">
        <v>15</v>
      </c>
      <c r="AA51" s="741" t="s">
        <v>16</v>
      </c>
      <c r="AB51" s="741" t="s">
        <v>17</v>
      </c>
      <c r="AC51" s="741" t="s">
        <v>18</v>
      </c>
    </row>
    <row r="52" customFormat="1" ht="15" spans="11:29">
      <c r="K52" s="740" t="s">
        <v>19</v>
      </c>
      <c r="L52" s="740"/>
      <c r="M52" s="743"/>
      <c r="N52" s="743"/>
      <c r="O52" s="743"/>
      <c r="P52" s="743"/>
      <c r="Q52" s="744">
        <f t="shared" ref="Q52:Q75" si="42">ROUND($P$49*AA52/1000,2)</f>
        <v>2.28</v>
      </c>
      <c r="R52" s="743"/>
      <c r="S52" s="743"/>
      <c r="T52" s="766"/>
      <c r="U52" s="741" t="s">
        <v>19</v>
      </c>
      <c r="V52" s="741"/>
      <c r="W52" s="771"/>
      <c r="X52" s="771"/>
      <c r="Y52" s="771"/>
      <c r="Z52" s="771"/>
      <c r="AA52" s="771">
        <v>0.1381</v>
      </c>
      <c r="AB52" s="771"/>
      <c r="AC52" s="771"/>
    </row>
    <row r="53" customFormat="1" ht="15" spans="11:29">
      <c r="K53" s="740" t="s">
        <v>20</v>
      </c>
      <c r="L53" s="740"/>
      <c r="M53" s="743"/>
      <c r="N53" s="743"/>
      <c r="O53" s="743"/>
      <c r="P53" s="743"/>
      <c r="Q53" s="744">
        <f t="shared" si="42"/>
        <v>2.93</v>
      </c>
      <c r="R53" s="743"/>
      <c r="S53" s="743"/>
      <c r="T53" s="766"/>
      <c r="U53" s="741" t="s">
        <v>20</v>
      </c>
      <c r="V53" s="741"/>
      <c r="W53" s="771"/>
      <c r="X53" s="771"/>
      <c r="Y53" s="771"/>
      <c r="Z53" s="771"/>
      <c r="AA53" s="771">
        <v>0.1778</v>
      </c>
      <c r="AB53" s="771"/>
      <c r="AC53" s="771"/>
    </row>
    <row r="54" customFormat="1" ht="15" spans="11:29">
      <c r="K54" s="740" t="s">
        <v>21</v>
      </c>
      <c r="L54" s="740"/>
      <c r="M54" s="743"/>
      <c r="N54" s="743"/>
      <c r="O54" s="743"/>
      <c r="P54" s="743"/>
      <c r="Q54" s="744">
        <f>ROUND($P49*AA54/1000,2)</f>
        <v>4.79</v>
      </c>
      <c r="R54" s="743"/>
      <c r="S54" s="743"/>
      <c r="T54" s="766"/>
      <c r="U54" s="741" t="s">
        <v>21</v>
      </c>
      <c r="V54" s="741"/>
      <c r="W54" s="771"/>
      <c r="X54" s="771"/>
      <c r="Y54" s="771"/>
      <c r="Z54" s="771"/>
      <c r="AA54" s="771">
        <v>0.2902</v>
      </c>
      <c r="AB54" s="771"/>
      <c r="AC54" s="771"/>
    </row>
    <row r="55" customFormat="1" ht="15" spans="11:29">
      <c r="K55" s="740" t="s">
        <v>22</v>
      </c>
      <c r="L55" s="740"/>
      <c r="M55" s="743"/>
      <c r="N55" s="743"/>
      <c r="O55" s="743"/>
      <c r="P55" s="743"/>
      <c r="Q55" s="744">
        <f t="shared" si="42"/>
        <v>7.38</v>
      </c>
      <c r="R55" s="743"/>
      <c r="S55" s="743"/>
      <c r="T55" s="766"/>
      <c r="U55" s="741" t="s">
        <v>22</v>
      </c>
      <c r="V55" s="741"/>
      <c r="W55" s="771"/>
      <c r="X55" s="771"/>
      <c r="Y55" s="771"/>
      <c r="Z55" s="771"/>
      <c r="AA55" s="771">
        <v>0.4471</v>
      </c>
      <c r="AB55" s="771"/>
      <c r="AC55" s="771"/>
    </row>
    <row r="56" customFormat="1" ht="15" spans="11:29">
      <c r="K56" s="740" t="s">
        <v>23</v>
      </c>
      <c r="L56" s="740"/>
      <c r="M56" s="743"/>
      <c r="N56" s="743"/>
      <c r="O56" s="743"/>
      <c r="P56" s="743"/>
      <c r="Q56" s="744">
        <f t="shared" si="42"/>
        <v>11.43</v>
      </c>
      <c r="R56" s="743"/>
      <c r="S56" s="743"/>
      <c r="T56" s="766"/>
      <c r="U56" s="741" t="s">
        <v>23</v>
      </c>
      <c r="V56" s="741"/>
      <c r="W56" s="771"/>
      <c r="X56" s="771"/>
      <c r="Y56" s="771"/>
      <c r="Z56" s="771"/>
      <c r="AA56" s="771">
        <v>0.693</v>
      </c>
      <c r="AB56" s="771"/>
      <c r="AC56" s="771"/>
    </row>
    <row r="57" customFormat="1" ht="15" spans="11:29">
      <c r="K57" s="740" t="s">
        <v>24</v>
      </c>
      <c r="L57" s="740"/>
      <c r="M57" s="743"/>
      <c r="N57" s="743"/>
      <c r="O57" s="743"/>
      <c r="P57" s="744">
        <f t="shared" ref="P57:P63" si="43">ROUND($P$49*Z57/1000,2)</f>
        <v>14.69</v>
      </c>
      <c r="Q57" s="744">
        <f t="shared" si="42"/>
        <v>17.65</v>
      </c>
      <c r="R57" s="743"/>
      <c r="S57" s="743"/>
      <c r="T57" s="766"/>
      <c r="U57" s="741" t="s">
        <v>24</v>
      </c>
      <c r="V57" s="767"/>
      <c r="W57" s="771"/>
      <c r="X57" s="771"/>
      <c r="Y57" s="771"/>
      <c r="Z57" s="771">
        <v>0.8906</v>
      </c>
      <c r="AA57" s="771">
        <v>1.0699</v>
      </c>
      <c r="AB57" s="771"/>
      <c r="AC57" s="771"/>
    </row>
    <row r="58" customFormat="1" ht="15" spans="11:29">
      <c r="K58" s="740" t="s">
        <v>25</v>
      </c>
      <c r="L58" s="740"/>
      <c r="M58" s="743"/>
      <c r="N58" s="743"/>
      <c r="O58" s="744">
        <f t="shared" ref="O58:O76" si="44">ROUND($P$49*Y58/1000,2)</f>
        <v>16.93</v>
      </c>
      <c r="P58" s="744">
        <f t="shared" si="43"/>
        <v>20.76</v>
      </c>
      <c r="Q58" s="744">
        <f t="shared" si="42"/>
        <v>24.75</v>
      </c>
      <c r="R58" s="743"/>
      <c r="S58" s="743"/>
      <c r="T58" s="766"/>
      <c r="U58" s="772" t="s">
        <v>25</v>
      </c>
      <c r="V58" s="773"/>
      <c r="W58" s="774"/>
      <c r="X58" s="771"/>
      <c r="Y58" s="771">
        <v>1.0261</v>
      </c>
      <c r="Z58" s="771">
        <v>1.2581</v>
      </c>
      <c r="AA58" s="771">
        <v>1.4997</v>
      </c>
      <c r="AB58" s="771"/>
      <c r="AC58" s="771"/>
    </row>
    <row r="59" customFormat="1" ht="15" spans="11:29">
      <c r="K59" s="740" t="s">
        <v>26</v>
      </c>
      <c r="L59" s="740"/>
      <c r="M59" s="743"/>
      <c r="N59" s="744">
        <f>ROUND($P49*X59/1000,2)</f>
        <v>19.75</v>
      </c>
      <c r="O59" s="744">
        <f t="shared" si="44"/>
        <v>24.5</v>
      </c>
      <c r="P59" s="744">
        <f t="shared" si="43"/>
        <v>29.86</v>
      </c>
      <c r="Q59" s="744">
        <f t="shared" si="42"/>
        <v>35.74</v>
      </c>
      <c r="R59" s="743"/>
      <c r="S59" s="743"/>
      <c r="T59" s="766"/>
      <c r="U59" s="772" t="s">
        <v>26</v>
      </c>
      <c r="V59" s="773"/>
      <c r="W59" s="774"/>
      <c r="X59" s="771">
        <v>1.1972</v>
      </c>
      <c r="Y59" s="771">
        <v>1.485</v>
      </c>
      <c r="Z59" s="771">
        <v>1.8094</v>
      </c>
      <c r="AA59" s="771">
        <v>2.166</v>
      </c>
      <c r="AB59" s="771"/>
      <c r="AC59" s="771"/>
    </row>
    <row r="60" customFormat="1" ht="15" spans="11:29">
      <c r="K60" s="740" t="s">
        <v>27</v>
      </c>
      <c r="L60" s="740"/>
      <c r="M60" s="744">
        <f t="shared" ref="M60:M76" si="45">ROUND($P$49*W60/1000,2)</f>
        <v>23.88</v>
      </c>
      <c r="N60" s="744">
        <f t="shared" ref="N60:N76" si="46">ROUND($P$49*X60/1000,2)</f>
        <v>29.83</v>
      </c>
      <c r="O60" s="744">
        <f t="shared" si="44"/>
        <v>36.36</v>
      </c>
      <c r="P60" s="744">
        <f t="shared" si="43"/>
        <v>44.09</v>
      </c>
      <c r="Q60" s="744">
        <f t="shared" si="42"/>
        <v>53.09</v>
      </c>
      <c r="R60" s="743"/>
      <c r="S60" s="743"/>
      <c r="T60" s="766"/>
      <c r="U60" s="772" t="s">
        <v>27</v>
      </c>
      <c r="V60" s="773"/>
      <c r="W60" s="774">
        <v>1.447</v>
      </c>
      <c r="X60" s="771">
        <v>1.8079</v>
      </c>
      <c r="Y60" s="771">
        <v>2.2034</v>
      </c>
      <c r="Z60" s="771">
        <v>2.6719</v>
      </c>
      <c r="AA60" s="771">
        <v>3.2178</v>
      </c>
      <c r="AB60" s="771"/>
      <c r="AC60" s="771"/>
    </row>
    <row r="61" customFormat="1" ht="15" spans="11:29">
      <c r="K61" s="740" t="s">
        <v>28</v>
      </c>
      <c r="L61" s="740"/>
      <c r="M61" s="744">
        <f t="shared" si="45"/>
        <v>31</v>
      </c>
      <c r="N61" s="744">
        <f t="shared" si="46"/>
        <v>38.05</v>
      </c>
      <c r="O61" s="744">
        <f t="shared" si="44"/>
        <v>46.58</v>
      </c>
      <c r="P61" s="744">
        <f t="shared" si="43"/>
        <v>56.71</v>
      </c>
      <c r="Q61" s="744">
        <f t="shared" si="42"/>
        <v>69</v>
      </c>
      <c r="R61" s="743"/>
      <c r="S61" s="743"/>
      <c r="T61" s="766"/>
      <c r="U61" s="772" t="s">
        <v>28</v>
      </c>
      <c r="V61" s="773"/>
      <c r="W61" s="774">
        <v>1.8788</v>
      </c>
      <c r="X61" s="771">
        <v>2.3061</v>
      </c>
      <c r="Y61" s="771">
        <v>2.823</v>
      </c>
      <c r="Z61" s="771">
        <v>3.437</v>
      </c>
      <c r="AA61" s="771">
        <v>4.1817</v>
      </c>
      <c r="AB61" s="771"/>
      <c r="AC61" s="771"/>
    </row>
    <row r="62" customFormat="1" ht="15" spans="11:29">
      <c r="K62" s="740" t="s">
        <v>29</v>
      </c>
      <c r="L62" s="740"/>
      <c r="M62" s="744">
        <f t="shared" si="45"/>
        <v>39.09</v>
      </c>
      <c r="N62" s="744">
        <f>ROUND($P49*X62/1000,2)</f>
        <v>47.89</v>
      </c>
      <c r="O62" s="744">
        <f t="shared" si="44"/>
        <v>58.37</v>
      </c>
      <c r="P62" s="744">
        <f t="shared" si="43"/>
        <v>71.2</v>
      </c>
      <c r="Q62" s="744">
        <f t="shared" si="42"/>
        <v>86.11</v>
      </c>
      <c r="R62" s="743"/>
      <c r="S62" s="743"/>
      <c r="T62" s="766"/>
      <c r="U62" s="772" t="s">
        <v>29</v>
      </c>
      <c r="V62" s="773"/>
      <c r="W62" s="774">
        <v>2.3688</v>
      </c>
      <c r="X62" s="771">
        <v>2.9026</v>
      </c>
      <c r="Y62" s="771">
        <v>3.5374</v>
      </c>
      <c r="Z62" s="771">
        <v>4.3152</v>
      </c>
      <c r="AA62" s="771">
        <v>5.2187</v>
      </c>
      <c r="AB62" s="771"/>
      <c r="AC62" s="771"/>
    </row>
    <row r="63" customFormat="1" ht="15" spans="11:29">
      <c r="K63" s="740" t="s">
        <v>30</v>
      </c>
      <c r="L63" s="740"/>
      <c r="M63" s="744">
        <f t="shared" si="45"/>
        <v>51.11</v>
      </c>
      <c r="N63" s="744">
        <f>ROUND($P49*X63/1000,2)</f>
        <v>62.65</v>
      </c>
      <c r="O63" s="744">
        <f t="shared" si="44"/>
        <v>76.38</v>
      </c>
      <c r="P63" s="744">
        <f t="shared" si="43"/>
        <v>93.09</v>
      </c>
      <c r="Q63" s="744">
        <f t="shared" si="42"/>
        <v>112.75</v>
      </c>
      <c r="R63" s="743"/>
      <c r="S63" s="743"/>
      <c r="T63" s="766"/>
      <c r="U63" s="772" t="s">
        <v>30</v>
      </c>
      <c r="V63" s="773"/>
      <c r="W63" s="774">
        <v>3.0977</v>
      </c>
      <c r="X63" s="771">
        <v>3.7968</v>
      </c>
      <c r="Y63" s="771">
        <v>4.6293</v>
      </c>
      <c r="Z63" s="771">
        <v>5.6419</v>
      </c>
      <c r="AA63" s="771">
        <v>6.8332</v>
      </c>
      <c r="AB63" s="771"/>
      <c r="AC63" s="771"/>
    </row>
    <row r="64" customFormat="1" ht="15" spans="11:29">
      <c r="K64" s="740" t="s">
        <v>31</v>
      </c>
      <c r="L64" s="740"/>
      <c r="M64" s="744">
        <f t="shared" si="45"/>
        <v>63.97</v>
      </c>
      <c r="N64" s="744">
        <f t="shared" si="46"/>
        <v>78.6</v>
      </c>
      <c r="O64" s="744">
        <f t="shared" si="44"/>
        <v>96.82</v>
      </c>
      <c r="P64" s="744">
        <f>ROUND($P49*Z64/1000,2)</f>
        <v>117.92</v>
      </c>
      <c r="Q64" s="744">
        <f t="shared" si="42"/>
        <v>145.13</v>
      </c>
      <c r="R64" s="743"/>
      <c r="S64" s="743"/>
      <c r="T64" s="775"/>
      <c r="U64" s="772" t="s">
        <v>31</v>
      </c>
      <c r="V64" s="773"/>
      <c r="W64" s="774">
        <v>3.877</v>
      </c>
      <c r="X64" s="771">
        <v>4.7635</v>
      </c>
      <c r="Y64" s="771">
        <v>5.8678</v>
      </c>
      <c r="Z64" s="771">
        <v>7.1464</v>
      </c>
      <c r="AA64" s="771">
        <v>8.7957</v>
      </c>
      <c r="AB64" s="771"/>
      <c r="AC64" s="771"/>
    </row>
    <row r="65" customFormat="1" ht="15" spans="11:29">
      <c r="K65" s="740" t="s">
        <v>32</v>
      </c>
      <c r="L65" s="740"/>
      <c r="M65" s="744">
        <f t="shared" si="45"/>
        <v>79.18</v>
      </c>
      <c r="N65" s="744">
        <f t="shared" si="46"/>
        <v>97.68</v>
      </c>
      <c r="O65" s="744">
        <f t="shared" si="44"/>
        <v>119.24</v>
      </c>
      <c r="P65" s="744">
        <f t="shared" ref="P65:P71" si="47">ROUND($P$49*Z65/1000,2)</f>
        <v>145.25</v>
      </c>
      <c r="Q65" s="744">
        <f t="shared" si="42"/>
        <v>179.15</v>
      </c>
      <c r="R65" s="743"/>
      <c r="S65" s="743"/>
      <c r="T65" s="775"/>
      <c r="U65" s="772" t="s">
        <v>32</v>
      </c>
      <c r="V65" s="773"/>
      <c r="W65" s="774">
        <v>4.7987</v>
      </c>
      <c r="X65" s="771">
        <v>5.9199</v>
      </c>
      <c r="Y65" s="771">
        <v>7.2266</v>
      </c>
      <c r="Z65" s="771">
        <v>8.8028</v>
      </c>
      <c r="AA65" s="771">
        <v>10.8573</v>
      </c>
      <c r="AB65" s="771"/>
      <c r="AC65" s="771"/>
    </row>
    <row r="66" customFormat="1" ht="15" spans="11:29">
      <c r="K66" s="740" t="s">
        <v>33</v>
      </c>
      <c r="L66" s="740"/>
      <c r="M66" s="744">
        <f t="shared" si="45"/>
        <v>99.31</v>
      </c>
      <c r="N66" s="744">
        <f t="shared" si="46"/>
        <v>124.08</v>
      </c>
      <c r="O66" s="744">
        <f t="shared" si="44"/>
        <v>151.4</v>
      </c>
      <c r="P66" s="744">
        <f t="shared" si="47"/>
        <v>187.77</v>
      </c>
      <c r="Q66" s="744">
        <f t="shared" si="42"/>
        <v>227.18</v>
      </c>
      <c r="R66" s="743"/>
      <c r="S66" s="743"/>
      <c r="T66" s="775"/>
      <c r="U66" s="772" t="s">
        <v>33</v>
      </c>
      <c r="V66" s="773"/>
      <c r="W66" s="774">
        <v>6.0189</v>
      </c>
      <c r="X66" s="771">
        <v>7.52</v>
      </c>
      <c r="Y66" s="771">
        <v>9.1758</v>
      </c>
      <c r="Z66" s="771">
        <v>11.3797</v>
      </c>
      <c r="AA66" s="771">
        <v>13.7685</v>
      </c>
      <c r="AB66" s="771"/>
      <c r="AC66" s="771"/>
    </row>
    <row r="67" customFormat="1" ht="15" spans="11:29">
      <c r="K67" s="740" t="s">
        <v>34</v>
      </c>
      <c r="L67" s="740"/>
      <c r="M67" s="744">
        <f t="shared" si="45"/>
        <v>123.43</v>
      </c>
      <c r="N67" s="744">
        <f t="shared" si="46"/>
        <v>151.09</v>
      </c>
      <c r="O67" s="744">
        <f t="shared" si="44"/>
        <v>185.77</v>
      </c>
      <c r="P67" s="744">
        <f t="shared" si="47"/>
        <v>231</v>
      </c>
      <c r="Q67" s="744">
        <f t="shared" si="42"/>
        <v>278.92</v>
      </c>
      <c r="R67" s="743"/>
      <c r="S67" s="743"/>
      <c r="T67" s="775"/>
      <c r="U67" s="772" t="s">
        <v>34</v>
      </c>
      <c r="V67" s="773"/>
      <c r="W67" s="774">
        <v>7.4806</v>
      </c>
      <c r="X67" s="771">
        <v>9.1568</v>
      </c>
      <c r="Y67" s="771">
        <v>11.2588</v>
      </c>
      <c r="Z67" s="771">
        <v>13.9998</v>
      </c>
      <c r="AA67" s="771">
        <v>16.9043</v>
      </c>
      <c r="AB67" s="771"/>
      <c r="AC67" s="771"/>
    </row>
    <row r="68" customFormat="1" ht="15" spans="11:29">
      <c r="K68" s="740" t="s">
        <v>35</v>
      </c>
      <c r="L68" s="740"/>
      <c r="M68" s="744">
        <f t="shared" si="45"/>
        <v>155.82</v>
      </c>
      <c r="N68" s="744">
        <f t="shared" si="46"/>
        <v>192.84</v>
      </c>
      <c r="O68" s="744">
        <f t="shared" si="44"/>
        <v>240.07</v>
      </c>
      <c r="P68" s="744">
        <f t="shared" si="47"/>
        <v>292.94</v>
      </c>
      <c r="Q68" s="744">
        <f t="shared" si="42"/>
        <v>353.48</v>
      </c>
      <c r="R68" s="743"/>
      <c r="S68" s="743"/>
      <c r="T68" s="775"/>
      <c r="U68" s="772" t="s">
        <v>35</v>
      </c>
      <c r="V68" s="773"/>
      <c r="W68" s="774">
        <v>9.4438</v>
      </c>
      <c r="X68" s="771">
        <v>11.6873</v>
      </c>
      <c r="Y68" s="771">
        <v>14.5496</v>
      </c>
      <c r="Z68" s="771">
        <v>17.7539</v>
      </c>
      <c r="AA68" s="771">
        <v>21.4229</v>
      </c>
      <c r="AB68" s="771"/>
      <c r="AC68" s="771"/>
    </row>
    <row r="69" customFormat="1" ht="15" spans="11:29">
      <c r="K69" s="740" t="s">
        <v>36</v>
      </c>
      <c r="L69" s="740"/>
      <c r="M69" s="744">
        <f t="shared" si="45"/>
        <v>196.09</v>
      </c>
      <c r="N69" s="744">
        <f t="shared" si="46"/>
        <v>240.18</v>
      </c>
      <c r="O69" s="744">
        <f t="shared" si="44"/>
        <v>301.79</v>
      </c>
      <c r="P69" s="744">
        <f t="shared" si="47"/>
        <v>367.36</v>
      </c>
      <c r="Q69" s="744">
        <f t="shared" si="42"/>
        <v>443.14</v>
      </c>
      <c r="R69" s="743"/>
      <c r="S69" s="743"/>
      <c r="T69" s="775"/>
      <c r="U69" s="772" t="s">
        <v>36</v>
      </c>
      <c r="V69" s="773"/>
      <c r="W69" s="774">
        <v>11.8841</v>
      </c>
      <c r="X69" s="771">
        <v>14.5562</v>
      </c>
      <c r="Y69" s="771">
        <v>18.2905</v>
      </c>
      <c r="Z69" s="771">
        <v>22.2643</v>
      </c>
      <c r="AA69" s="771">
        <v>26.857</v>
      </c>
      <c r="AB69" s="771"/>
      <c r="AC69" s="771"/>
    </row>
    <row r="70" customFormat="1" ht="15" spans="11:29">
      <c r="K70" s="740" t="s">
        <v>37</v>
      </c>
      <c r="L70" s="740"/>
      <c r="M70" s="744">
        <f t="shared" si="45"/>
        <v>249.74</v>
      </c>
      <c r="N70" s="744">
        <f t="shared" si="46"/>
        <v>310.58</v>
      </c>
      <c r="O70" s="744">
        <f t="shared" si="44"/>
        <v>383.06</v>
      </c>
      <c r="P70" s="744">
        <f t="shared" si="47"/>
        <v>466.02</v>
      </c>
      <c r="Q70" s="744">
        <f t="shared" si="42"/>
        <v>563.01</v>
      </c>
      <c r="R70" s="743"/>
      <c r="S70" s="743"/>
      <c r="T70" s="775"/>
      <c r="U70" s="772" t="s">
        <v>37</v>
      </c>
      <c r="V70" s="773"/>
      <c r="W70" s="774">
        <v>15.136</v>
      </c>
      <c r="X70" s="771">
        <v>18.8229</v>
      </c>
      <c r="Y70" s="771">
        <v>23.2159</v>
      </c>
      <c r="Z70" s="771">
        <v>28.2436</v>
      </c>
      <c r="AA70" s="771">
        <v>34.1218</v>
      </c>
      <c r="AB70" s="771"/>
      <c r="AC70" s="771"/>
    </row>
    <row r="71" customFormat="1" ht="15" spans="11:29">
      <c r="K71" s="740" t="s">
        <v>38</v>
      </c>
      <c r="L71" s="740"/>
      <c r="M71" s="744">
        <f t="shared" si="45"/>
        <v>316.71</v>
      </c>
      <c r="N71" s="744">
        <f t="shared" si="46"/>
        <v>396.06</v>
      </c>
      <c r="O71" s="744">
        <f t="shared" si="44"/>
        <v>484.76</v>
      </c>
      <c r="P71" s="744">
        <f t="shared" si="47"/>
        <v>591.02</v>
      </c>
      <c r="Q71" s="744">
        <f t="shared" si="42"/>
        <v>714.99</v>
      </c>
      <c r="R71" s="743"/>
      <c r="S71" s="743"/>
      <c r="T71" s="775"/>
      <c r="U71" s="772" t="s">
        <v>38</v>
      </c>
      <c r="V71" s="773"/>
      <c r="W71" s="774">
        <v>19.1947</v>
      </c>
      <c r="X71" s="771">
        <v>24.0038</v>
      </c>
      <c r="Y71" s="771">
        <v>29.3794</v>
      </c>
      <c r="Z71" s="771">
        <v>35.8193</v>
      </c>
      <c r="AA71" s="771">
        <v>43.3328</v>
      </c>
      <c r="AB71" s="771"/>
      <c r="AC71" s="771"/>
    </row>
    <row r="72" customFormat="1" ht="15" spans="11:29">
      <c r="K72" s="740" t="s">
        <v>39</v>
      </c>
      <c r="L72" s="740"/>
      <c r="M72" s="744">
        <f t="shared" si="45"/>
        <v>407.51</v>
      </c>
      <c r="N72" s="744">
        <f t="shared" si="46"/>
        <v>500.77</v>
      </c>
      <c r="O72" s="744">
        <f t="shared" si="44"/>
        <v>614.38</v>
      </c>
      <c r="P72" s="744">
        <f>ROUND($P49*Z72/1000,2)</f>
        <v>749.18</v>
      </c>
      <c r="Q72" s="744">
        <f t="shared" si="42"/>
        <v>905.14</v>
      </c>
      <c r="R72" s="743"/>
      <c r="S72" s="743"/>
      <c r="U72" s="772" t="s">
        <v>39</v>
      </c>
      <c r="V72" s="773"/>
      <c r="W72" s="774">
        <v>24.6974</v>
      </c>
      <c r="X72" s="771">
        <v>30.3494</v>
      </c>
      <c r="Y72" s="771">
        <v>37.2349</v>
      </c>
      <c r="Z72" s="771">
        <v>45.4049</v>
      </c>
      <c r="AA72" s="771">
        <v>54.8567</v>
      </c>
      <c r="AB72" s="771"/>
      <c r="AC72" s="771"/>
    </row>
    <row r="73" customFormat="1" ht="15" spans="11:29">
      <c r="K73" s="740" t="s">
        <v>40</v>
      </c>
      <c r="L73" s="740"/>
      <c r="M73" s="744">
        <f t="shared" si="45"/>
        <v>502.84</v>
      </c>
      <c r="N73" s="744">
        <f t="shared" si="46"/>
        <v>618.63</v>
      </c>
      <c r="O73" s="744">
        <f t="shared" si="44"/>
        <v>759.33</v>
      </c>
      <c r="P73" s="744">
        <f t="shared" ref="P73:P76" si="48">ROUND($P$49*Z73/1000,2)</f>
        <v>924.84</v>
      </c>
      <c r="Q73" s="744">
        <f t="shared" si="42"/>
        <v>1117.67</v>
      </c>
      <c r="R73" s="743"/>
      <c r="S73" s="743"/>
      <c r="U73" s="772" t="s">
        <v>40</v>
      </c>
      <c r="V73" s="773"/>
      <c r="W73" s="774">
        <v>30.4753</v>
      </c>
      <c r="X73" s="771">
        <v>37.4926</v>
      </c>
      <c r="Y73" s="771">
        <v>46.02</v>
      </c>
      <c r="Z73" s="771">
        <v>56.0508</v>
      </c>
      <c r="AA73" s="771">
        <v>67.7377</v>
      </c>
      <c r="AB73" s="771"/>
      <c r="AC73" s="771"/>
    </row>
    <row r="74" customFormat="1" ht="15" spans="11:29">
      <c r="K74" s="740" t="s">
        <v>44</v>
      </c>
      <c r="L74" s="740"/>
      <c r="M74" s="744">
        <f t="shared" si="45"/>
        <v>629.31</v>
      </c>
      <c r="N74" s="744">
        <f t="shared" si="46"/>
        <v>777.65</v>
      </c>
      <c r="O74" s="744">
        <f t="shared" si="44"/>
        <v>955.02</v>
      </c>
      <c r="P74" s="744">
        <f t="shared" si="48"/>
        <v>1166.55</v>
      </c>
      <c r="Q74" s="744">
        <f t="shared" si="42"/>
        <v>1412.4</v>
      </c>
      <c r="R74" s="743"/>
      <c r="S74" s="743"/>
      <c r="U74" s="772" t="s">
        <v>44</v>
      </c>
      <c r="V74" s="773"/>
      <c r="W74" s="774">
        <v>38.14</v>
      </c>
      <c r="X74" s="771">
        <v>47.13</v>
      </c>
      <c r="Y74" s="771">
        <v>57.88</v>
      </c>
      <c r="Z74" s="771">
        <v>70.7</v>
      </c>
      <c r="AA74" s="771">
        <v>85.6</v>
      </c>
      <c r="AB74" s="771"/>
      <c r="AC74" s="771"/>
    </row>
    <row r="75" customFormat="1" ht="15" spans="11:29">
      <c r="K75" s="740" t="s">
        <v>45</v>
      </c>
      <c r="L75" s="740"/>
      <c r="M75" s="744">
        <f t="shared" si="45"/>
        <v>799.26</v>
      </c>
      <c r="N75" s="744">
        <f t="shared" si="46"/>
        <v>983.07</v>
      </c>
      <c r="O75" s="744">
        <f t="shared" si="44"/>
        <v>1209.62</v>
      </c>
      <c r="P75" s="744">
        <f t="shared" si="48"/>
        <v>1473.29</v>
      </c>
      <c r="Q75" s="744">
        <f t="shared" si="42"/>
        <v>1783.16</v>
      </c>
      <c r="R75" s="743"/>
      <c r="S75" s="743"/>
      <c r="U75" s="772" t="s">
        <v>45</v>
      </c>
      <c r="V75" s="773"/>
      <c r="W75" s="774">
        <v>48.44</v>
      </c>
      <c r="X75" s="771">
        <v>59.58</v>
      </c>
      <c r="Y75" s="771">
        <v>73.31</v>
      </c>
      <c r="Z75" s="771">
        <v>89.29</v>
      </c>
      <c r="AA75" s="771">
        <v>108.07</v>
      </c>
      <c r="AB75" s="771"/>
      <c r="AC75" s="771"/>
    </row>
    <row r="76" customFormat="1" ht="15" spans="11:29">
      <c r="K76" s="740" t="s">
        <v>46</v>
      </c>
      <c r="L76" s="740"/>
      <c r="M76" s="744">
        <f t="shared" si="45"/>
        <v>1016.24</v>
      </c>
      <c r="N76" s="744">
        <f t="shared" si="46"/>
        <v>1252.35</v>
      </c>
      <c r="O76" s="744">
        <f t="shared" si="44"/>
        <v>1535.82</v>
      </c>
      <c r="P76" s="744">
        <f t="shared" si="48"/>
        <v>1872.26</v>
      </c>
      <c r="Q76" s="744"/>
      <c r="R76" s="743"/>
      <c r="S76" s="743"/>
      <c r="U76" s="772" t="s">
        <v>46</v>
      </c>
      <c r="V76" s="773"/>
      <c r="W76" s="774">
        <v>61.59</v>
      </c>
      <c r="X76" s="771">
        <v>75.9</v>
      </c>
      <c r="Y76" s="771">
        <v>93.08</v>
      </c>
      <c r="Z76" s="771">
        <v>113.47</v>
      </c>
      <c r="AA76" s="771"/>
      <c r="AB76" s="771"/>
      <c r="AC76" s="771"/>
    </row>
    <row r="77" ht="22.5" spans="21:28">
      <c r="U77" s="778"/>
      <c r="V77" s="778"/>
      <c r="AB77" s="779" t="s">
        <v>47</v>
      </c>
    </row>
  </sheetData>
  <mergeCells count="10">
    <mergeCell ref="C3:I3"/>
    <mergeCell ref="M3:S3"/>
    <mergeCell ref="V3:AC3"/>
    <mergeCell ref="M50:S50"/>
    <mergeCell ref="V50:AC50"/>
    <mergeCell ref="A3:A4"/>
    <mergeCell ref="K3:K4"/>
    <mergeCell ref="K50:K51"/>
    <mergeCell ref="U3:U4"/>
    <mergeCell ref="U50:U51"/>
  </mergeCells>
  <pageMargins left="0.75" right="0.75" top="1" bottom="1" header="0.5" footer="0.5"/>
  <pageSetup paperSize="9" orientation="portrait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F0"/>
  </sheetPr>
  <dimension ref="A1:H13"/>
  <sheetViews>
    <sheetView workbookViewId="0">
      <selection activeCell="A1" sqref="A1:H1"/>
    </sheetView>
  </sheetViews>
  <sheetFormatPr defaultColWidth="9" defaultRowHeight="13.5" outlineLevelCol="7"/>
  <cols>
    <col min="1" max="1" width="7.2" style="608" customWidth="1"/>
    <col min="2" max="2" width="20.875" style="608" customWidth="1"/>
    <col min="3" max="3" width="6.7" style="608" customWidth="1"/>
    <col min="4" max="16384" width="9" style="608"/>
  </cols>
  <sheetData>
    <row r="1" ht="33" customHeight="1" spans="1:8">
      <c r="A1" s="609" t="s">
        <v>483</v>
      </c>
      <c r="B1" s="609"/>
      <c r="C1" s="609"/>
      <c r="D1" s="609"/>
      <c r="E1" s="609"/>
      <c r="F1" s="609"/>
      <c r="G1" s="609"/>
      <c r="H1" s="609"/>
    </row>
    <row r="2" ht="22" customHeight="1" spans="1:8">
      <c r="A2" s="610" t="s">
        <v>50</v>
      </c>
      <c r="B2" s="610" t="s">
        <v>454</v>
      </c>
      <c r="C2" s="610" t="s">
        <v>52</v>
      </c>
      <c r="D2" s="610" t="s">
        <v>53</v>
      </c>
      <c r="E2" s="611" t="s">
        <v>455</v>
      </c>
      <c r="F2" s="611"/>
      <c r="G2" s="612" t="s">
        <v>456</v>
      </c>
      <c r="H2" s="612"/>
    </row>
    <row r="3" ht="22" customHeight="1" spans="1:8">
      <c r="A3" s="610"/>
      <c r="B3" s="610"/>
      <c r="C3" s="610"/>
      <c r="D3" s="610"/>
      <c r="E3" s="611" t="s">
        <v>123</v>
      </c>
      <c r="F3" s="611" t="s">
        <v>457</v>
      </c>
      <c r="G3" s="612" t="s">
        <v>123</v>
      </c>
      <c r="H3" s="612" t="s">
        <v>457</v>
      </c>
    </row>
    <row r="4" ht="22" customHeight="1" spans="1:8">
      <c r="A4" s="613"/>
      <c r="B4" s="614" t="s">
        <v>278</v>
      </c>
      <c r="C4" s="613"/>
      <c r="D4" s="613"/>
      <c r="E4" s="615"/>
      <c r="F4" s="615"/>
      <c r="G4" s="616">
        <f>G5</f>
        <v>811.5</v>
      </c>
      <c r="H4" s="616">
        <f>H5</f>
        <v>8662.1133</v>
      </c>
    </row>
    <row r="5" ht="22" customHeight="1" spans="1:8">
      <c r="A5" s="613" t="s">
        <v>57</v>
      </c>
      <c r="B5" s="613" t="s">
        <v>484</v>
      </c>
      <c r="C5" s="613" t="s">
        <v>74</v>
      </c>
      <c r="D5" s="613">
        <v>1</v>
      </c>
      <c r="E5" s="615"/>
      <c r="F5" s="615"/>
      <c r="G5" s="617">
        <f>SUM(G6:G12)</f>
        <v>811.5</v>
      </c>
      <c r="H5" s="617">
        <f>SUM(H6:H13)</f>
        <v>8662.1133</v>
      </c>
    </row>
    <row r="6" ht="22" customHeight="1" spans="1:8">
      <c r="A6" s="613"/>
      <c r="B6" s="613" t="s">
        <v>485</v>
      </c>
      <c r="C6" s="613" t="s">
        <v>90</v>
      </c>
      <c r="D6" s="613">
        <v>20</v>
      </c>
      <c r="E6" s="618">
        <f>F6*0.1</f>
        <v>16.5</v>
      </c>
      <c r="F6" s="618">
        <f>建筑工程概算表!E65</f>
        <v>165</v>
      </c>
      <c r="G6" s="617">
        <f>D6*E6</f>
        <v>330</v>
      </c>
      <c r="H6" s="617">
        <f>D6*F6</f>
        <v>3300</v>
      </c>
    </row>
    <row r="7" ht="22" customHeight="1" spans="1:8">
      <c r="A7" s="613"/>
      <c r="B7" s="613" t="s">
        <v>486</v>
      </c>
      <c r="C7" s="613" t="s">
        <v>267</v>
      </c>
      <c r="D7" s="613">
        <v>2</v>
      </c>
      <c r="E7" s="618">
        <f t="shared" ref="E7:E12" si="0">F7*0.1</f>
        <v>102</v>
      </c>
      <c r="F7" s="618">
        <v>1020</v>
      </c>
      <c r="G7" s="617">
        <f t="shared" ref="G7:G12" si="1">D7*E7</f>
        <v>204</v>
      </c>
      <c r="H7" s="617">
        <f t="shared" ref="H7:H12" si="2">D7*F7</f>
        <v>2040</v>
      </c>
    </row>
    <row r="8" ht="22" customHeight="1" spans="1:8">
      <c r="A8" s="613"/>
      <c r="B8" s="613" t="s">
        <v>487</v>
      </c>
      <c r="C8" s="613" t="s">
        <v>267</v>
      </c>
      <c r="D8" s="613">
        <v>3</v>
      </c>
      <c r="E8" s="618">
        <f t="shared" si="0"/>
        <v>37.5</v>
      </c>
      <c r="F8" s="618">
        <v>375</v>
      </c>
      <c r="G8" s="617">
        <f t="shared" si="1"/>
        <v>112.5</v>
      </c>
      <c r="H8" s="617">
        <f t="shared" si="2"/>
        <v>1125</v>
      </c>
    </row>
    <row r="9" ht="22" customHeight="1" spans="1:8">
      <c r="A9" s="613"/>
      <c r="B9" s="613" t="s">
        <v>488</v>
      </c>
      <c r="C9" s="613" t="s">
        <v>267</v>
      </c>
      <c r="D9" s="613">
        <v>2</v>
      </c>
      <c r="E9" s="618">
        <f t="shared" si="0"/>
        <v>45.5</v>
      </c>
      <c r="F9" s="618">
        <v>455</v>
      </c>
      <c r="G9" s="617">
        <f t="shared" si="1"/>
        <v>91</v>
      </c>
      <c r="H9" s="617">
        <f t="shared" si="2"/>
        <v>910</v>
      </c>
    </row>
    <row r="10" ht="22" customHeight="1" spans="1:8">
      <c r="A10" s="613"/>
      <c r="B10" s="613" t="s">
        <v>489</v>
      </c>
      <c r="C10" s="613" t="s">
        <v>155</v>
      </c>
      <c r="D10" s="613">
        <v>1</v>
      </c>
      <c r="E10" s="618">
        <f t="shared" si="0"/>
        <v>31.5</v>
      </c>
      <c r="F10" s="618">
        <v>315</v>
      </c>
      <c r="G10" s="617">
        <f t="shared" si="1"/>
        <v>31.5</v>
      </c>
      <c r="H10" s="617">
        <f t="shared" si="2"/>
        <v>315</v>
      </c>
    </row>
    <row r="11" ht="22" customHeight="1" spans="1:8">
      <c r="A11" s="613"/>
      <c r="B11" s="613" t="s">
        <v>490</v>
      </c>
      <c r="C11" s="613" t="s">
        <v>90</v>
      </c>
      <c r="D11" s="613">
        <v>10</v>
      </c>
      <c r="E11" s="618">
        <f t="shared" si="0"/>
        <v>1.5</v>
      </c>
      <c r="F11" s="618">
        <v>15</v>
      </c>
      <c r="G11" s="617">
        <f t="shared" si="1"/>
        <v>15</v>
      </c>
      <c r="H11" s="617">
        <f t="shared" si="2"/>
        <v>150</v>
      </c>
    </row>
    <row r="12" ht="22" customHeight="1" spans="1:8">
      <c r="A12" s="613"/>
      <c r="B12" s="613" t="s">
        <v>491</v>
      </c>
      <c r="C12" s="613" t="s">
        <v>155</v>
      </c>
      <c r="D12" s="613">
        <v>1</v>
      </c>
      <c r="E12" s="618">
        <f t="shared" si="0"/>
        <v>27.5</v>
      </c>
      <c r="F12" s="618">
        <v>275</v>
      </c>
      <c r="G12" s="617">
        <f t="shared" si="1"/>
        <v>27.5</v>
      </c>
      <c r="H12" s="617">
        <f t="shared" si="2"/>
        <v>275</v>
      </c>
    </row>
    <row r="13" ht="22" customHeight="1" spans="1:8">
      <c r="A13" s="615"/>
      <c r="B13" s="619" t="s">
        <v>482</v>
      </c>
      <c r="C13" s="386"/>
      <c r="D13" s="386"/>
      <c r="E13" s="620"/>
      <c r="F13" s="620"/>
      <c r="G13" s="621"/>
      <c r="H13" s="621">
        <f>SUM(H6:H12)*0.06742</f>
        <v>547.1133</v>
      </c>
    </row>
  </sheetData>
  <mergeCells count="7">
    <mergeCell ref="A1:H1"/>
    <mergeCell ref="E2:F2"/>
    <mergeCell ref="G2:H2"/>
    <mergeCell ref="A2:A3"/>
    <mergeCell ref="B2:B3"/>
    <mergeCell ref="C2:C3"/>
    <mergeCell ref="D2:D3"/>
  </mergeCells>
  <pageMargins left="0.75" right="0.75" top="1" bottom="1" header="0.5" footer="0.5"/>
  <pageSetup paperSize="9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C000"/>
  </sheetPr>
  <dimension ref="A1:E69"/>
  <sheetViews>
    <sheetView topLeftCell="B46" workbookViewId="0">
      <selection activeCell="D122" sqref="D122"/>
    </sheetView>
  </sheetViews>
  <sheetFormatPr defaultColWidth="9" defaultRowHeight="15.95" customHeight="1" outlineLevelCol="4"/>
  <cols>
    <col min="1" max="1" width="12.125" hidden="1" customWidth="1"/>
    <col min="2" max="2" width="6.5" customWidth="1"/>
    <col min="3" max="3" width="24.625" customWidth="1"/>
    <col min="4" max="4" width="17.375" customWidth="1"/>
    <col min="5" max="5" width="19.5" customWidth="1"/>
  </cols>
  <sheetData>
    <row r="1" ht="30" customHeight="1" spans="1:5">
      <c r="A1" s="575"/>
      <c r="B1" s="576" t="s">
        <v>492</v>
      </c>
      <c r="C1" s="576"/>
      <c r="D1" s="576"/>
      <c r="E1" s="576"/>
    </row>
    <row r="2" customHeight="1" spans="1:5">
      <c r="A2" s="1"/>
      <c r="B2" s="577"/>
      <c r="C2" s="577"/>
      <c r="D2" s="577"/>
      <c r="E2" s="577"/>
    </row>
    <row r="3" customHeight="1" spans="1:5">
      <c r="A3" s="57"/>
      <c r="B3" s="578" t="s">
        <v>50</v>
      </c>
      <c r="C3" s="578" t="s">
        <v>304</v>
      </c>
      <c r="D3" s="579" t="s">
        <v>305</v>
      </c>
      <c r="E3" s="580"/>
    </row>
    <row r="4" customHeight="1" spans="1:5">
      <c r="A4" s="88"/>
      <c r="B4" s="578" t="s">
        <v>57</v>
      </c>
      <c r="C4" s="578" t="s">
        <v>493</v>
      </c>
      <c r="D4" s="581">
        <f>E15+E16+E17+E18</f>
        <v>9.01482165922415</v>
      </c>
      <c r="E4" s="582"/>
    </row>
    <row r="5" customHeight="1" spans="1:5">
      <c r="A5" s="88"/>
      <c r="B5" s="578">
        <v>1</v>
      </c>
      <c r="C5" s="583" t="s">
        <v>494</v>
      </c>
      <c r="D5" s="584">
        <f>D6*D10*D11*D12*(1+D13)</f>
        <v>9.01482165922415</v>
      </c>
      <c r="E5" s="585"/>
    </row>
    <row r="6" customHeight="1" spans="1:5">
      <c r="A6" s="88"/>
      <c r="B6" s="578">
        <v>1.1</v>
      </c>
      <c r="C6" s="583" t="s">
        <v>495</v>
      </c>
      <c r="D6" s="584">
        <f>D9+(D7-D8)/(E8-D8)*(E9-D9)</f>
        <v>20.0329370204981</v>
      </c>
      <c r="E6" s="585"/>
    </row>
    <row r="7" customHeight="1" spans="1:5">
      <c r="A7" s="84"/>
      <c r="B7" s="583"/>
      <c r="C7" s="586" t="s">
        <v>309</v>
      </c>
      <c r="D7" s="587">
        <f>总概算核!F16</f>
        <v>422.551908323019</v>
      </c>
      <c r="E7" s="588">
        <v>14592.221176207</v>
      </c>
    </row>
    <row r="8" customHeight="1" spans="1:5">
      <c r="A8" s="245"/>
      <c r="B8" s="578"/>
      <c r="C8" s="589" t="s">
        <v>310</v>
      </c>
      <c r="D8" s="245">
        <v>1000</v>
      </c>
      <c r="E8" s="245">
        <v>3000</v>
      </c>
    </row>
    <row r="9" customHeight="1" spans="1:5">
      <c r="A9" s="57"/>
      <c r="B9" s="578"/>
      <c r="C9" s="589" t="s">
        <v>311</v>
      </c>
      <c r="D9" s="245">
        <v>38.8</v>
      </c>
      <c r="E9" s="245">
        <v>103.8</v>
      </c>
    </row>
    <row r="10" customHeight="1" spans="1:5">
      <c r="A10" s="88"/>
      <c r="B10" s="578">
        <v>1.2</v>
      </c>
      <c r="C10" s="583" t="s">
        <v>312</v>
      </c>
      <c r="D10" s="584">
        <v>0.75</v>
      </c>
      <c r="E10" s="585"/>
    </row>
    <row r="11" customHeight="1" spans="1:5">
      <c r="A11" s="88"/>
      <c r="B11" s="578">
        <v>1.3</v>
      </c>
      <c r="C11" s="583" t="s">
        <v>313</v>
      </c>
      <c r="D11" s="584">
        <v>0.75</v>
      </c>
      <c r="E11" s="585"/>
    </row>
    <row r="12" customHeight="1" spans="1:5">
      <c r="A12" s="88"/>
      <c r="B12" s="578">
        <v>1.4</v>
      </c>
      <c r="C12" s="583" t="s">
        <v>496</v>
      </c>
      <c r="D12" s="584">
        <v>0.8</v>
      </c>
      <c r="E12" s="585"/>
    </row>
    <row r="13" customHeight="1" spans="1:5">
      <c r="A13" s="100"/>
      <c r="B13" s="578">
        <v>2</v>
      </c>
      <c r="C13" s="583" t="s">
        <v>315</v>
      </c>
      <c r="D13" s="590"/>
      <c r="E13" s="591"/>
    </row>
    <row r="14" customHeight="1" spans="1:5">
      <c r="A14" s="57"/>
      <c r="B14" s="578">
        <v>3</v>
      </c>
      <c r="C14" s="583" t="s">
        <v>497</v>
      </c>
      <c r="D14" s="100" t="s">
        <v>498</v>
      </c>
      <c r="E14" s="100" t="s">
        <v>282</v>
      </c>
    </row>
    <row r="15" customHeight="1" spans="1:5">
      <c r="A15" s="88"/>
      <c r="B15" s="578">
        <v>3.1</v>
      </c>
      <c r="C15" s="583" t="s">
        <v>499</v>
      </c>
      <c r="D15" s="100">
        <v>0.25</v>
      </c>
      <c r="E15" s="592">
        <f>D5*D15</f>
        <v>2.25370541480604</v>
      </c>
    </row>
    <row r="16" customHeight="1" spans="1:5">
      <c r="A16" s="88"/>
      <c r="B16" s="578">
        <v>3.2</v>
      </c>
      <c r="C16" s="583" t="s">
        <v>500</v>
      </c>
      <c r="D16" s="100">
        <v>0.2</v>
      </c>
      <c r="E16" s="592">
        <f>D5*D16</f>
        <v>1.80296433184483</v>
      </c>
    </row>
    <row r="17" customHeight="1" spans="1:5">
      <c r="A17" s="88"/>
      <c r="B17" s="578">
        <v>3.3</v>
      </c>
      <c r="C17" s="583" t="s">
        <v>501</v>
      </c>
      <c r="D17" s="100">
        <v>0.55</v>
      </c>
      <c r="E17" s="592">
        <f>D5*D17</f>
        <v>4.95815191257328</v>
      </c>
    </row>
    <row r="18" customHeight="1" spans="1:5">
      <c r="A18" s="84"/>
      <c r="B18" s="578">
        <v>4</v>
      </c>
      <c r="C18" s="583" t="s">
        <v>502</v>
      </c>
      <c r="D18" s="100"/>
      <c r="E18" s="592">
        <f>D5*D18</f>
        <v>0</v>
      </c>
    </row>
    <row r="19" customHeight="1" spans="1:5">
      <c r="A19" s="245"/>
      <c r="B19" s="578"/>
      <c r="C19" s="583"/>
      <c r="D19" s="100"/>
      <c r="E19" s="100"/>
    </row>
    <row r="20" customHeight="1" spans="1:5">
      <c r="A20" s="57"/>
      <c r="B20" s="593" t="s">
        <v>72</v>
      </c>
      <c r="C20" s="593" t="s">
        <v>503</v>
      </c>
      <c r="D20" s="581">
        <f>6+12+4</f>
        <v>22</v>
      </c>
      <c r="E20" s="582"/>
    </row>
    <row r="21" customHeight="1" spans="1:5">
      <c r="A21" s="88"/>
      <c r="B21" s="578">
        <v>3</v>
      </c>
      <c r="C21" s="583" t="s">
        <v>497</v>
      </c>
      <c r="D21" s="100" t="s">
        <v>498</v>
      </c>
      <c r="E21" s="100" t="s">
        <v>282</v>
      </c>
    </row>
    <row r="22" customHeight="1" spans="1:5">
      <c r="A22" s="88"/>
      <c r="B22" s="578">
        <v>3.1</v>
      </c>
      <c r="C22" s="583" t="s">
        <v>504</v>
      </c>
      <c r="D22" s="100"/>
      <c r="E22" s="592"/>
    </row>
    <row r="23" customHeight="1" spans="1:5">
      <c r="A23" s="88"/>
      <c r="B23" s="578">
        <v>3.2</v>
      </c>
      <c r="C23" s="583" t="s">
        <v>505</v>
      </c>
      <c r="D23" s="100"/>
      <c r="E23" s="592"/>
    </row>
    <row r="24" customHeight="1" spans="1:5">
      <c r="A24" s="100"/>
      <c r="B24" s="578">
        <v>4</v>
      </c>
      <c r="C24" s="583" t="s">
        <v>502</v>
      </c>
      <c r="D24" s="100"/>
      <c r="E24" s="592"/>
    </row>
    <row r="25" customHeight="1" spans="1:5">
      <c r="A25" s="57"/>
      <c r="B25" s="578">
        <v>2</v>
      </c>
      <c r="C25" s="583" t="s">
        <v>498</v>
      </c>
      <c r="D25" s="594"/>
      <c r="E25" s="595"/>
    </row>
    <row r="26" customHeight="1" spans="1:5">
      <c r="A26" s="592"/>
      <c r="B26" s="578"/>
      <c r="C26" s="583"/>
      <c r="D26" s="590"/>
      <c r="E26" s="591"/>
    </row>
    <row r="27" customHeight="1" spans="1:5">
      <c r="A27" s="88"/>
      <c r="B27" s="583"/>
      <c r="C27" s="583"/>
      <c r="D27" s="579"/>
      <c r="E27" s="580"/>
    </row>
    <row r="28" customHeight="1" spans="1:5">
      <c r="A28" s="61"/>
      <c r="B28" s="583"/>
      <c r="C28" s="593" t="s">
        <v>506</v>
      </c>
      <c r="D28" s="596">
        <f>D4+D20</f>
        <v>31.0148216592241</v>
      </c>
      <c r="E28" s="597"/>
    </row>
    <row r="29" customHeight="1" spans="1:5">
      <c r="A29" s="61"/>
      <c r="B29" s="583"/>
      <c r="C29" s="593" t="s">
        <v>507</v>
      </c>
      <c r="D29" s="598"/>
      <c r="E29" s="598"/>
    </row>
    <row r="30" ht="40.5" customHeight="1" spans="1:5">
      <c r="A30" s="61"/>
      <c r="B30" s="599" t="s">
        <v>508</v>
      </c>
      <c r="C30" s="600"/>
      <c r="D30" s="600"/>
      <c r="E30" s="600"/>
    </row>
    <row r="31" customHeight="1" spans="1:5">
      <c r="A31" s="575"/>
      <c r="B31" s="576" t="s">
        <v>509</v>
      </c>
      <c r="C31" s="576"/>
      <c r="D31" s="576"/>
      <c r="E31" s="576"/>
    </row>
    <row r="32" customHeight="1" spans="1:5">
      <c r="A32" s="1"/>
      <c r="B32" s="577"/>
      <c r="C32" s="577"/>
      <c r="D32" s="577"/>
      <c r="E32" s="577"/>
    </row>
    <row r="33" customHeight="1" spans="1:5">
      <c r="A33" s="57"/>
      <c r="B33" s="578" t="s">
        <v>50</v>
      </c>
      <c r="C33" s="578" t="s">
        <v>304</v>
      </c>
      <c r="D33" s="579" t="s">
        <v>305</v>
      </c>
      <c r="E33" s="580"/>
    </row>
    <row r="34" customHeight="1" spans="1:5">
      <c r="A34" s="88"/>
      <c r="B34" s="593" t="s">
        <v>57</v>
      </c>
      <c r="C34" s="593" t="s">
        <v>510</v>
      </c>
      <c r="D34" s="581">
        <f>E45+E46+E47+E48</f>
        <v>11.9195975271964</v>
      </c>
      <c r="E34" s="582"/>
    </row>
    <row r="35" customHeight="1" spans="1:5">
      <c r="A35" s="88"/>
      <c r="B35" s="578">
        <v>1</v>
      </c>
      <c r="C35" s="583" t="s">
        <v>511</v>
      </c>
      <c r="D35" s="584">
        <f>D36*D40*D41*D42*(1+D43)</f>
        <v>11.9195975271964</v>
      </c>
      <c r="E35" s="585"/>
    </row>
    <row r="36" customHeight="1" spans="1:5">
      <c r="A36" s="88"/>
      <c r="B36" s="578">
        <v>1.1</v>
      </c>
      <c r="C36" s="583" t="s">
        <v>512</v>
      </c>
      <c r="D36" s="584">
        <f>D39+(D37-D38)/(E38-D38)*(E39-D39)</f>
        <v>20.0329370204981</v>
      </c>
      <c r="E36" s="585"/>
    </row>
    <row r="37" customHeight="1" spans="1:5">
      <c r="A37" s="84"/>
      <c r="B37" s="583"/>
      <c r="C37" s="586" t="s">
        <v>309</v>
      </c>
      <c r="D37" s="587">
        <f>D7</f>
        <v>422.551908323019</v>
      </c>
      <c r="E37" s="588"/>
    </row>
    <row r="38" customHeight="1" spans="1:5">
      <c r="A38" s="245"/>
      <c r="B38" s="578"/>
      <c r="C38" s="589" t="s">
        <v>310</v>
      </c>
      <c r="D38" s="245">
        <f>D8</f>
        <v>1000</v>
      </c>
      <c r="E38" s="245">
        <f>E8</f>
        <v>3000</v>
      </c>
    </row>
    <row r="39" customHeight="1" spans="1:5">
      <c r="A39" s="57"/>
      <c r="B39" s="578"/>
      <c r="C39" s="589" t="s">
        <v>311</v>
      </c>
      <c r="D39" s="57">
        <f>D9</f>
        <v>38.8</v>
      </c>
      <c r="E39" s="57">
        <f>E9</f>
        <v>103.8</v>
      </c>
    </row>
    <row r="40" customHeight="1" spans="1:5">
      <c r="A40" s="88"/>
      <c r="B40" s="578">
        <v>1.2</v>
      </c>
      <c r="C40" s="583" t="s">
        <v>312</v>
      </c>
      <c r="D40" s="584">
        <v>0.7</v>
      </c>
      <c r="E40" s="585"/>
    </row>
    <row r="41" customHeight="1" spans="1:5">
      <c r="A41" s="88"/>
      <c r="B41" s="578">
        <v>1.3</v>
      </c>
      <c r="C41" s="583" t="s">
        <v>313</v>
      </c>
      <c r="D41" s="584">
        <v>0.85</v>
      </c>
      <c r="E41" s="585"/>
    </row>
    <row r="42" customHeight="1" spans="1:5">
      <c r="A42" s="88"/>
      <c r="B42" s="578">
        <v>1.4</v>
      </c>
      <c r="C42" s="583" t="s">
        <v>496</v>
      </c>
      <c r="D42" s="584">
        <v>1</v>
      </c>
      <c r="E42" s="585"/>
    </row>
    <row r="43" customHeight="1" spans="1:5">
      <c r="A43" s="100"/>
      <c r="B43" s="578">
        <v>2</v>
      </c>
      <c r="C43" s="583" t="s">
        <v>315</v>
      </c>
      <c r="D43" s="590"/>
      <c r="E43" s="591"/>
    </row>
    <row r="44" customHeight="1" spans="1:5">
      <c r="A44" s="100"/>
      <c r="B44" s="578">
        <v>3</v>
      </c>
      <c r="C44" s="583" t="s">
        <v>497</v>
      </c>
      <c r="D44" s="100" t="s">
        <v>498</v>
      </c>
      <c r="E44" s="100" t="s">
        <v>282</v>
      </c>
    </row>
    <row r="45" customHeight="1" spans="1:5">
      <c r="A45" s="88"/>
      <c r="B45" s="578">
        <v>3.1</v>
      </c>
      <c r="C45" s="583" t="s">
        <v>499</v>
      </c>
      <c r="D45" s="601">
        <v>0.73</v>
      </c>
      <c r="E45" s="592">
        <f>D35*D45</f>
        <v>8.70130619485335</v>
      </c>
    </row>
    <row r="46" customHeight="1" spans="1:5">
      <c r="A46" s="88"/>
      <c r="B46" s="578">
        <v>3.2</v>
      </c>
      <c r="C46" s="583" t="s">
        <v>500</v>
      </c>
      <c r="D46" s="601">
        <v>0.03</v>
      </c>
      <c r="E46" s="592">
        <f>D35*D46</f>
        <v>0.357587925815891</v>
      </c>
    </row>
    <row r="47" customHeight="1" spans="1:5">
      <c r="A47" s="88"/>
      <c r="B47" s="578">
        <v>3.3</v>
      </c>
      <c r="C47" s="583" t="s">
        <v>501</v>
      </c>
      <c r="D47" s="601">
        <v>0.24</v>
      </c>
      <c r="E47" s="592">
        <f>D35*D47</f>
        <v>2.86070340652713</v>
      </c>
    </row>
    <row r="48" customHeight="1" spans="1:5">
      <c r="A48" s="84"/>
      <c r="B48" s="578">
        <v>4</v>
      </c>
      <c r="C48" s="583" t="s">
        <v>502</v>
      </c>
      <c r="D48" s="100"/>
      <c r="E48" s="592">
        <f>D35*D48</f>
        <v>0</v>
      </c>
    </row>
    <row r="49" customHeight="1" spans="1:5">
      <c r="A49" s="245"/>
      <c r="B49" s="578"/>
      <c r="C49" s="583"/>
      <c r="D49" s="100"/>
      <c r="E49" s="100"/>
    </row>
    <row r="50" customHeight="1" spans="1:5">
      <c r="A50" s="57"/>
      <c r="B50" s="593" t="s">
        <v>72</v>
      </c>
      <c r="C50" s="593" t="s">
        <v>513</v>
      </c>
      <c r="D50" s="581"/>
      <c r="E50" s="602"/>
    </row>
    <row r="51" customHeight="1" spans="1:5">
      <c r="A51" s="88"/>
      <c r="B51" s="578">
        <v>1</v>
      </c>
      <c r="C51" s="583" t="s">
        <v>511</v>
      </c>
      <c r="D51" s="584"/>
      <c r="E51" s="585"/>
    </row>
    <row r="52" customHeight="1" spans="1:5">
      <c r="A52" s="88"/>
      <c r="B52" s="578">
        <v>1.1</v>
      </c>
      <c r="C52" s="583" t="s">
        <v>512</v>
      </c>
      <c r="D52" s="584"/>
      <c r="E52" s="585"/>
    </row>
    <row r="53" customHeight="1" spans="1:5">
      <c r="A53" s="88"/>
      <c r="B53" s="578"/>
      <c r="C53" s="583"/>
      <c r="D53" s="584"/>
      <c r="E53" s="585"/>
    </row>
    <row r="54" customHeight="1" spans="1:5">
      <c r="A54" s="100"/>
      <c r="B54" s="578"/>
      <c r="C54" s="589" t="s">
        <v>310</v>
      </c>
      <c r="D54" s="245"/>
      <c r="E54" s="245"/>
    </row>
    <row r="55" customHeight="1" spans="1:5">
      <c r="A55" s="57"/>
      <c r="B55" s="578"/>
      <c r="C55" s="589" t="s">
        <v>311</v>
      </c>
      <c r="D55" s="57"/>
      <c r="E55" s="57"/>
    </row>
    <row r="56" customHeight="1" spans="1:5">
      <c r="A56" s="592"/>
      <c r="B56" s="578">
        <v>1.2</v>
      </c>
      <c r="C56" s="583" t="s">
        <v>514</v>
      </c>
      <c r="D56" s="584"/>
      <c r="E56" s="585"/>
    </row>
    <row r="57" customHeight="1" spans="1:5">
      <c r="A57" s="88"/>
      <c r="B57" s="578">
        <v>1.3</v>
      </c>
      <c r="C57" s="583" t="s">
        <v>313</v>
      </c>
      <c r="D57" s="584"/>
      <c r="E57" s="585"/>
    </row>
    <row r="58" customHeight="1" spans="1:5">
      <c r="A58" s="61"/>
      <c r="B58" s="578">
        <v>1.4</v>
      </c>
      <c r="C58" s="583" t="s">
        <v>496</v>
      </c>
      <c r="D58" s="584"/>
      <c r="E58" s="585"/>
    </row>
    <row r="59" customHeight="1" spans="1:5">
      <c r="A59" s="61"/>
      <c r="B59" s="578">
        <v>1.5</v>
      </c>
      <c r="C59" s="583" t="s">
        <v>515</v>
      </c>
      <c r="D59" s="584"/>
      <c r="E59" s="585"/>
    </row>
    <row r="60" customHeight="1" spans="1:5">
      <c r="A60" s="61"/>
      <c r="B60" s="578">
        <v>2</v>
      </c>
      <c r="C60" s="583" t="s">
        <v>516</v>
      </c>
      <c r="D60" s="590"/>
      <c r="E60" s="591"/>
    </row>
    <row r="61" customHeight="1" spans="2:5">
      <c r="B61" s="578">
        <v>3</v>
      </c>
      <c r="C61" s="583" t="s">
        <v>497</v>
      </c>
      <c r="D61" s="100"/>
      <c r="E61" s="100"/>
    </row>
    <row r="62" customHeight="1" spans="2:5">
      <c r="B62" s="578">
        <v>3.1</v>
      </c>
      <c r="C62" s="583" t="s">
        <v>504</v>
      </c>
      <c r="D62" s="100"/>
      <c r="E62" s="592"/>
    </row>
    <row r="63" customHeight="1" spans="2:5">
      <c r="B63" s="578">
        <v>3.2</v>
      </c>
      <c r="C63" s="583" t="s">
        <v>505</v>
      </c>
      <c r="D63" s="100"/>
      <c r="E63" s="592"/>
    </row>
    <row r="64" customHeight="1" spans="2:5">
      <c r="B64" s="578">
        <v>4</v>
      </c>
      <c r="C64" s="583" t="s">
        <v>502</v>
      </c>
      <c r="D64" s="100"/>
      <c r="E64" s="592"/>
    </row>
    <row r="65" customHeight="1" spans="2:5">
      <c r="B65" s="578"/>
      <c r="C65" s="583"/>
      <c r="D65" s="590"/>
      <c r="E65" s="591"/>
    </row>
    <row r="66" customHeight="1" spans="2:5">
      <c r="B66" s="583"/>
      <c r="C66" s="583"/>
      <c r="D66" s="579"/>
      <c r="E66" s="580"/>
    </row>
    <row r="67" customHeight="1" spans="2:5">
      <c r="B67" s="583"/>
      <c r="C67" s="593" t="s">
        <v>517</v>
      </c>
      <c r="D67" s="603">
        <f>D34+D50</f>
        <v>11.9195975271964</v>
      </c>
      <c r="E67" s="604"/>
    </row>
    <row r="68" customHeight="1" spans="2:5">
      <c r="B68" s="583"/>
      <c r="C68" s="593" t="s">
        <v>518</v>
      </c>
      <c r="D68" s="605"/>
      <c r="E68" s="605"/>
    </row>
    <row r="69" ht="58.5" customHeight="1" spans="2:5">
      <c r="B69" s="606" t="s">
        <v>519</v>
      </c>
      <c r="C69" s="607"/>
      <c r="D69" s="607"/>
      <c r="E69" s="607"/>
    </row>
  </sheetData>
  <mergeCells count="38">
    <mergeCell ref="B1:E1"/>
    <mergeCell ref="D3:E3"/>
    <mergeCell ref="D4:E4"/>
    <mergeCell ref="D5:E5"/>
    <mergeCell ref="D6:E6"/>
    <mergeCell ref="D7:E7"/>
    <mergeCell ref="D10:E10"/>
    <mergeCell ref="D11:E11"/>
    <mergeCell ref="D12:E12"/>
    <mergeCell ref="D13:E13"/>
    <mergeCell ref="D20:E20"/>
    <mergeCell ref="D25:E25"/>
    <mergeCell ref="D26:E26"/>
    <mergeCell ref="D27:E27"/>
    <mergeCell ref="D28:E28"/>
    <mergeCell ref="B30:E30"/>
    <mergeCell ref="B31:E31"/>
    <mergeCell ref="D33:E33"/>
    <mergeCell ref="D34:E34"/>
    <mergeCell ref="D35:E35"/>
    <mergeCell ref="D36:E36"/>
    <mergeCell ref="D37:E37"/>
    <mergeCell ref="D40:E40"/>
    <mergeCell ref="D41:E41"/>
    <mergeCell ref="D42:E42"/>
    <mergeCell ref="D43:E43"/>
    <mergeCell ref="D50:E50"/>
    <mergeCell ref="D51:E51"/>
    <mergeCell ref="D52:E52"/>
    <mergeCell ref="D53:E53"/>
    <mergeCell ref="D56:E56"/>
    <mergeCell ref="D57:E57"/>
    <mergeCell ref="D58:E58"/>
    <mergeCell ref="D59:E59"/>
    <mergeCell ref="D60:E60"/>
    <mergeCell ref="D66:E66"/>
    <mergeCell ref="D67:E67"/>
    <mergeCell ref="B69:E69"/>
  </mergeCells>
  <pageMargins left="0.75" right="0.75" top="1" bottom="1" header="0.5" footer="0.5"/>
  <pageSetup paperSize="9" orientation="portrait"/>
  <headerFooter alignWithMargins="0" scaleWithDoc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L1868"/>
  <sheetViews>
    <sheetView topLeftCell="A1743" workbookViewId="0">
      <selection activeCell="D122" sqref="D122"/>
    </sheetView>
  </sheetViews>
  <sheetFormatPr defaultColWidth="26.25" defaultRowHeight="23.25" customHeight="1"/>
  <cols>
    <col min="1" max="1" width="6.375" style="495" customWidth="1"/>
    <col min="2" max="2" width="27.5" style="496" customWidth="1"/>
    <col min="3" max="3" width="7" style="495" customWidth="1"/>
    <col min="4" max="4" width="9.875" style="495" customWidth="1"/>
    <col min="5" max="5" width="12.25" style="495" customWidth="1"/>
    <col min="6" max="6" width="12.625" style="495" customWidth="1"/>
    <col min="7" max="7" width="8.875" style="495" customWidth="1"/>
    <col min="8" max="16384" width="26.25" style="497"/>
  </cols>
  <sheetData>
    <row r="1" ht="26.1" customHeight="1" spans="1:7">
      <c r="A1" s="498" t="s">
        <v>520</v>
      </c>
      <c r="B1" s="499"/>
      <c r="C1" s="498"/>
      <c r="D1" s="498"/>
      <c r="E1" s="498"/>
      <c r="F1" s="498"/>
      <c r="G1" s="498"/>
    </row>
    <row r="2" ht="25.15" customHeight="1" spans="1:7">
      <c r="A2" s="500" t="s">
        <v>521</v>
      </c>
      <c r="B2" s="500"/>
      <c r="C2" s="501"/>
      <c r="D2" s="501"/>
      <c r="E2" s="501"/>
      <c r="F2" s="501"/>
      <c r="G2" s="501"/>
    </row>
    <row r="3" ht="34.15" customHeight="1" spans="1:7">
      <c r="A3" s="502" t="s">
        <v>50</v>
      </c>
      <c r="B3" s="503" t="s">
        <v>51</v>
      </c>
      <c r="C3" s="502" t="s">
        <v>52</v>
      </c>
      <c r="D3" s="502" t="s">
        <v>53</v>
      </c>
      <c r="E3" s="502" t="s">
        <v>54</v>
      </c>
      <c r="F3" s="502" t="s">
        <v>55</v>
      </c>
      <c r="G3" s="502" t="s">
        <v>56</v>
      </c>
    </row>
    <row r="4" customFormat="1" ht="34.15" customHeight="1" spans="1:7">
      <c r="A4" s="504" t="s">
        <v>522</v>
      </c>
      <c r="B4" s="505" t="s">
        <v>523</v>
      </c>
      <c r="C4" s="506"/>
      <c r="D4" s="506"/>
      <c r="E4" s="506"/>
      <c r="F4" s="506"/>
      <c r="G4" s="506"/>
    </row>
    <row r="5" customFormat="1" ht="19.9" customHeight="1" spans="1:7">
      <c r="A5" s="506" t="s">
        <v>57</v>
      </c>
      <c r="B5" s="507" t="s">
        <v>524</v>
      </c>
      <c r="C5" s="506"/>
      <c r="D5" s="506"/>
      <c r="E5" s="502"/>
      <c r="F5" s="508" t="e">
        <f>F6+F11+F17+F22+F28</f>
        <v>#REF!</v>
      </c>
      <c r="G5" s="502"/>
    </row>
    <row r="6" customFormat="1" ht="19.9" customHeight="1" spans="1:7">
      <c r="A6" s="509">
        <v>1</v>
      </c>
      <c r="B6" s="503" t="s">
        <v>525</v>
      </c>
      <c r="C6" s="509" t="s">
        <v>373</v>
      </c>
      <c r="D6" s="509">
        <v>0.85</v>
      </c>
      <c r="E6" s="502"/>
      <c r="F6" s="510" t="e">
        <f>SUM(F7:F10)</f>
        <v>#REF!</v>
      </c>
      <c r="G6" s="502"/>
    </row>
    <row r="7" customFormat="1" ht="19.9" customHeight="1" spans="1:7">
      <c r="A7" s="509"/>
      <c r="B7" s="503" t="s">
        <v>526</v>
      </c>
      <c r="C7" s="509" t="s">
        <v>62</v>
      </c>
      <c r="D7" s="509">
        <v>85989</v>
      </c>
      <c r="E7" s="511" t="e">
        <f>单价汇总表!#REF!/100*0.6+单价汇总表!D6/100*0.4</f>
        <v>#REF!</v>
      </c>
      <c r="F7" s="510" t="e">
        <f>D7*E7</f>
        <v>#REF!</v>
      </c>
      <c r="G7" s="502"/>
    </row>
    <row r="8" customFormat="1" ht="19.9" customHeight="1" spans="1:7">
      <c r="A8" s="509"/>
      <c r="B8" s="503" t="s">
        <v>527</v>
      </c>
      <c r="C8" s="509" t="s">
        <v>62</v>
      </c>
      <c r="D8" s="509">
        <v>12808</v>
      </c>
      <c r="E8" s="511">
        <f>单价汇总表!D8/100</f>
        <v>12.3309153919751</v>
      </c>
      <c r="F8" s="510">
        <f t="shared" ref="F8:F35" si="0">D8*E8</f>
        <v>157934.364340417</v>
      </c>
      <c r="G8" s="502"/>
    </row>
    <row r="9" customFormat="1" ht="19.9" customHeight="1" spans="1:7">
      <c r="A9" s="509"/>
      <c r="B9" s="503" t="s">
        <v>63</v>
      </c>
      <c r="C9" s="509" t="s">
        <v>62</v>
      </c>
      <c r="D9" s="509">
        <v>2215</v>
      </c>
      <c r="E9" s="511">
        <f>单价汇总表!D10/100*0.6+单价汇总表!D11/100*0.4</f>
        <v>12.4804472232673</v>
      </c>
      <c r="F9" s="510">
        <f t="shared" si="0"/>
        <v>27644.190599537</v>
      </c>
      <c r="G9" s="502"/>
    </row>
    <row r="10" customFormat="1" ht="19.9" customHeight="1" spans="1:7">
      <c r="A10" s="509"/>
      <c r="B10" s="503" t="s">
        <v>528</v>
      </c>
      <c r="C10" s="509" t="s">
        <v>62</v>
      </c>
      <c r="D10" s="509">
        <v>96582</v>
      </c>
      <c r="E10" s="511">
        <f>E8</f>
        <v>12.3309153919751</v>
      </c>
      <c r="F10" s="510">
        <f t="shared" si="0"/>
        <v>1190944.47038774</v>
      </c>
      <c r="G10" s="502"/>
    </row>
    <row r="11" customFormat="1" ht="19.9" customHeight="1" spans="1:7">
      <c r="A11" s="509">
        <v>2</v>
      </c>
      <c r="B11" s="503" t="s">
        <v>529</v>
      </c>
      <c r="C11" s="509" t="s">
        <v>373</v>
      </c>
      <c r="D11" s="509">
        <v>0.66</v>
      </c>
      <c r="E11" s="511"/>
      <c r="F11" s="510" t="e">
        <f>SUM(F12:F16)</f>
        <v>#REF!</v>
      </c>
      <c r="G11" s="502"/>
    </row>
    <row r="12" customFormat="1" ht="19.9" customHeight="1" spans="1:7">
      <c r="A12" s="509"/>
      <c r="B12" s="503" t="s">
        <v>530</v>
      </c>
      <c r="C12" s="509" t="s">
        <v>531</v>
      </c>
      <c r="D12" s="509">
        <v>28050</v>
      </c>
      <c r="E12" s="511" t="e">
        <f>单价汇总表!#REF!/100</f>
        <v>#REF!</v>
      </c>
      <c r="F12" s="510" t="e">
        <f t="shared" si="0"/>
        <v>#REF!</v>
      </c>
      <c r="G12" s="502"/>
    </row>
    <row r="13" customFormat="1" ht="19.9" customHeight="1" spans="1:7">
      <c r="A13" s="509"/>
      <c r="B13" s="503" t="s">
        <v>532</v>
      </c>
      <c r="C13" s="509" t="s">
        <v>62</v>
      </c>
      <c r="D13" s="509">
        <v>3135</v>
      </c>
      <c r="E13" s="511" t="e">
        <f>单价汇总表!#REF!/100</f>
        <v>#REF!</v>
      </c>
      <c r="F13" s="510" t="e">
        <f t="shared" si="0"/>
        <v>#REF!</v>
      </c>
      <c r="G13" s="502"/>
    </row>
    <row r="14" customFormat="1" ht="19.9" customHeight="1" spans="1:7">
      <c r="A14" s="509"/>
      <c r="B14" s="503" t="s">
        <v>533</v>
      </c>
      <c r="C14" s="509" t="s">
        <v>62</v>
      </c>
      <c r="D14" s="509">
        <v>3210.74</v>
      </c>
      <c r="E14" s="511" t="e">
        <f>单价汇总表!#REF!/100</f>
        <v>#REF!</v>
      </c>
      <c r="F14" s="510" t="e">
        <f t="shared" si="0"/>
        <v>#REF!</v>
      </c>
      <c r="G14" s="502"/>
    </row>
    <row r="15" customFormat="1" ht="19.9" customHeight="1" spans="1:7">
      <c r="A15" s="509"/>
      <c r="B15" s="512" t="s">
        <v>534</v>
      </c>
      <c r="C15" s="513" t="s">
        <v>62</v>
      </c>
      <c r="D15" s="513">
        <v>1410</v>
      </c>
      <c r="E15" s="514"/>
      <c r="F15" s="515">
        <f t="shared" si="0"/>
        <v>0</v>
      </c>
      <c r="G15" s="516"/>
    </row>
    <row r="16" customFormat="1" ht="19.9" customHeight="1" spans="1:7">
      <c r="A16" s="509"/>
      <c r="B16" s="503" t="s">
        <v>535</v>
      </c>
      <c r="C16" s="181" t="s">
        <v>394</v>
      </c>
      <c r="D16" s="509">
        <v>10738</v>
      </c>
      <c r="E16" s="511" t="e">
        <f>单价汇总表!#REF!/100</f>
        <v>#REF!</v>
      </c>
      <c r="F16" s="510" t="e">
        <f t="shared" si="0"/>
        <v>#REF!</v>
      </c>
      <c r="G16" s="502"/>
    </row>
    <row r="17" customFormat="1" ht="19.9" customHeight="1" spans="1:7">
      <c r="A17" s="509">
        <v>3</v>
      </c>
      <c r="B17" s="503" t="s">
        <v>536</v>
      </c>
      <c r="C17" s="509" t="s">
        <v>373</v>
      </c>
      <c r="D17" s="509">
        <v>0.815</v>
      </c>
      <c r="E17" s="511"/>
      <c r="F17" s="510" t="e">
        <f>SUM(F18:F21)</f>
        <v>#REF!</v>
      </c>
      <c r="G17" s="502"/>
    </row>
    <row r="18" customFormat="1" ht="33" customHeight="1" spans="1:7">
      <c r="A18" s="509"/>
      <c r="B18" s="517" t="s">
        <v>537</v>
      </c>
      <c r="C18" s="181" t="s">
        <v>394</v>
      </c>
      <c r="D18" s="509">
        <v>4205.4</v>
      </c>
      <c r="E18" s="511" t="e">
        <f>单价汇总表!#REF!/1000</f>
        <v>#REF!</v>
      </c>
      <c r="F18" s="510" t="e">
        <f t="shared" si="0"/>
        <v>#REF!</v>
      </c>
      <c r="G18" s="502"/>
    </row>
    <row r="19" customFormat="1" ht="19.9" customHeight="1" spans="1:7">
      <c r="A19" s="509"/>
      <c r="B19" s="503" t="s">
        <v>538</v>
      </c>
      <c r="C19" s="181" t="s">
        <v>394</v>
      </c>
      <c r="D19" s="509">
        <v>3260</v>
      </c>
      <c r="E19" s="511">
        <f>单价汇总表!D16/1000</f>
        <v>20.0328972549866</v>
      </c>
      <c r="F19" s="510">
        <f t="shared" si="0"/>
        <v>65307.2450512563</v>
      </c>
      <c r="G19" s="502"/>
    </row>
    <row r="20" customFormat="1" ht="19.9" customHeight="1" spans="1:7">
      <c r="A20" s="509"/>
      <c r="B20" s="503" t="s">
        <v>539</v>
      </c>
      <c r="C20" s="509" t="s">
        <v>62</v>
      </c>
      <c r="D20" s="509">
        <v>39.12</v>
      </c>
      <c r="E20" s="511">
        <f>单价汇总表!D28/100</f>
        <v>0</v>
      </c>
      <c r="F20" s="510">
        <f t="shared" si="0"/>
        <v>0</v>
      </c>
      <c r="G20" s="502"/>
    </row>
    <row r="21" customFormat="1" ht="36" customHeight="1" spans="1:7">
      <c r="A21" s="509"/>
      <c r="B21" s="517" t="s">
        <v>540</v>
      </c>
      <c r="C21" s="509" t="s">
        <v>90</v>
      </c>
      <c r="D21" s="509">
        <v>815</v>
      </c>
      <c r="E21" s="511">
        <v>145</v>
      </c>
      <c r="F21" s="510">
        <f t="shared" si="0"/>
        <v>118175</v>
      </c>
      <c r="G21" s="502"/>
    </row>
    <row r="22" customFormat="1" ht="19.9" customHeight="1" spans="1:7">
      <c r="A22" s="509">
        <v>4</v>
      </c>
      <c r="B22" s="503" t="s">
        <v>541</v>
      </c>
      <c r="C22" s="509" t="s">
        <v>373</v>
      </c>
      <c r="D22" s="509">
        <v>0.05</v>
      </c>
      <c r="E22" s="511"/>
      <c r="F22" s="510" t="e">
        <f>SUM(F23:F27)</f>
        <v>#REF!</v>
      </c>
      <c r="G22" s="502"/>
    </row>
    <row r="23" customFormat="1" ht="40.15" customHeight="1" spans="1:7">
      <c r="A23" s="509"/>
      <c r="B23" s="517" t="s">
        <v>542</v>
      </c>
      <c r="C23" s="509" t="s">
        <v>543</v>
      </c>
      <c r="D23" s="509">
        <v>3.39</v>
      </c>
      <c r="E23" s="511" t="e">
        <f>单价汇总表!#REF!/100+单价汇总表!D8/100</f>
        <v>#REF!</v>
      </c>
      <c r="F23" s="510" t="e">
        <f t="shared" si="0"/>
        <v>#REF!</v>
      </c>
      <c r="G23" s="502"/>
    </row>
    <row r="24" customFormat="1" ht="39" customHeight="1" spans="1:7">
      <c r="A24" s="509"/>
      <c r="B24" s="517" t="s">
        <v>544</v>
      </c>
      <c r="C24" s="509" t="s">
        <v>543</v>
      </c>
      <c r="D24" s="509">
        <v>15</v>
      </c>
      <c r="E24" s="511">
        <f>单价汇总表!D5/100*0.3+单价汇总表!D6/100*0.7</f>
        <v>4.59324741483794</v>
      </c>
      <c r="F24" s="510">
        <f t="shared" si="0"/>
        <v>68.8987112225691</v>
      </c>
      <c r="G24" s="502"/>
    </row>
    <row r="25" customFormat="1" ht="19.9" customHeight="1" spans="1:7">
      <c r="A25" s="509"/>
      <c r="B25" s="503" t="s">
        <v>63</v>
      </c>
      <c r="C25" s="509" t="s">
        <v>543</v>
      </c>
      <c r="D25" s="509">
        <v>20</v>
      </c>
      <c r="E25" s="511">
        <f>单价汇总表!D10/100</f>
        <v>6.31435138821432</v>
      </c>
      <c r="F25" s="510">
        <f t="shared" si="0"/>
        <v>126.287027764286</v>
      </c>
      <c r="G25" s="502"/>
    </row>
    <row r="26" customFormat="1" ht="19.9" customHeight="1" spans="1:7">
      <c r="A26" s="509"/>
      <c r="B26" s="503" t="s">
        <v>545</v>
      </c>
      <c r="C26" s="509" t="s">
        <v>543</v>
      </c>
      <c r="D26" s="509">
        <v>3.39</v>
      </c>
      <c r="E26" s="511" t="e">
        <f>单价汇总表!#REF!/100</f>
        <v>#REF!</v>
      </c>
      <c r="F26" s="510" t="e">
        <f t="shared" si="0"/>
        <v>#REF!</v>
      </c>
      <c r="G26" s="502"/>
    </row>
    <row r="27" customFormat="1" ht="19.9" customHeight="1" spans="1:7">
      <c r="A27" s="509"/>
      <c r="B27" s="503" t="s">
        <v>546</v>
      </c>
      <c r="C27" s="509" t="s">
        <v>543</v>
      </c>
      <c r="D27" s="509">
        <v>0.01</v>
      </c>
      <c r="E27" s="511">
        <v>6000</v>
      </c>
      <c r="F27" s="510">
        <f t="shared" si="0"/>
        <v>60</v>
      </c>
      <c r="G27" s="502"/>
    </row>
    <row r="28" customFormat="1" ht="57" customHeight="1" spans="1:7">
      <c r="A28" s="509">
        <v>5</v>
      </c>
      <c r="B28" s="517" t="s">
        <v>547</v>
      </c>
      <c r="C28" s="509" t="s">
        <v>90</v>
      </c>
      <c r="D28" s="509">
        <v>2328</v>
      </c>
      <c r="E28" s="511"/>
      <c r="F28" s="510">
        <f>F29</f>
        <v>337560</v>
      </c>
      <c r="G28" s="502"/>
    </row>
    <row r="29" customFormat="1" ht="43.15" customHeight="1" spans="1:7">
      <c r="A29" s="509"/>
      <c r="B29" s="517" t="s">
        <v>540</v>
      </c>
      <c r="C29" s="509" t="s">
        <v>90</v>
      </c>
      <c r="D29" s="509">
        <v>2328</v>
      </c>
      <c r="E29" s="511">
        <f>E21</f>
        <v>145</v>
      </c>
      <c r="F29" s="510">
        <f t="shared" si="0"/>
        <v>337560</v>
      </c>
      <c r="G29" s="502"/>
    </row>
    <row r="30" customFormat="1" ht="19.9" customHeight="1" spans="1:7">
      <c r="A30" s="509">
        <v>6</v>
      </c>
      <c r="B30" s="503" t="s">
        <v>548</v>
      </c>
      <c r="C30" s="509"/>
      <c r="D30" s="509"/>
      <c r="E30" s="511"/>
      <c r="F30" s="510">
        <f>F31+F33</f>
        <v>3503.30096087832</v>
      </c>
      <c r="G30" s="502"/>
    </row>
    <row r="31" customFormat="1" ht="19.9" customHeight="1" spans="1:7">
      <c r="A31" s="509">
        <v>6.1</v>
      </c>
      <c r="B31" s="503" t="s">
        <v>549</v>
      </c>
      <c r="C31" s="509"/>
      <c r="D31" s="509"/>
      <c r="E31" s="511"/>
      <c r="F31" s="510">
        <f>F32</f>
        <v>143.30096087832</v>
      </c>
      <c r="G31" s="502"/>
    </row>
    <row r="32" customFormat="1" ht="19.9" customHeight="1" spans="1:7">
      <c r="A32" s="509"/>
      <c r="B32" s="503" t="s">
        <v>550</v>
      </c>
      <c r="C32" s="509" t="s">
        <v>551</v>
      </c>
      <c r="D32" s="509">
        <v>1.4</v>
      </c>
      <c r="E32" s="511">
        <f>新定额单价!M3898</f>
        <v>102.3578291988</v>
      </c>
      <c r="F32" s="510">
        <f t="shared" si="0"/>
        <v>143.30096087832</v>
      </c>
      <c r="G32" s="502"/>
    </row>
    <row r="33" customFormat="1" ht="19.9" customHeight="1" spans="1:7">
      <c r="A33" s="509">
        <v>6.2</v>
      </c>
      <c r="B33" s="503" t="s">
        <v>552</v>
      </c>
      <c r="C33" s="518"/>
      <c r="D33" s="509"/>
      <c r="E33" s="511"/>
      <c r="F33" s="510">
        <f>F34+F35</f>
        <v>3360</v>
      </c>
      <c r="G33" s="502"/>
    </row>
    <row r="34" customFormat="1" ht="19.9" customHeight="1" spans="1:7">
      <c r="A34" s="509"/>
      <c r="B34" s="503" t="s">
        <v>553</v>
      </c>
      <c r="C34" s="509" t="s">
        <v>184</v>
      </c>
      <c r="D34" s="509">
        <v>42</v>
      </c>
      <c r="E34" s="511">
        <v>40</v>
      </c>
      <c r="F34" s="510">
        <f t="shared" si="0"/>
        <v>1680</v>
      </c>
      <c r="G34" s="502"/>
    </row>
    <row r="35" customFormat="1" ht="19.9" customHeight="1" spans="1:7">
      <c r="A35" s="509"/>
      <c r="B35" s="503" t="s">
        <v>554</v>
      </c>
      <c r="C35" s="509" t="s">
        <v>184</v>
      </c>
      <c r="D35" s="509">
        <v>42</v>
      </c>
      <c r="E35" s="511">
        <v>40</v>
      </c>
      <c r="F35" s="510">
        <f t="shared" si="0"/>
        <v>1680</v>
      </c>
      <c r="G35" s="502"/>
    </row>
    <row r="36" s="490" customFormat="1" ht="17.25" spans="1:7">
      <c r="A36" s="506" t="s">
        <v>72</v>
      </c>
      <c r="B36" s="507" t="s">
        <v>555</v>
      </c>
      <c r="C36" s="506"/>
      <c r="D36" s="519"/>
      <c r="E36" s="520"/>
      <c r="F36" s="520"/>
      <c r="G36" s="520"/>
    </row>
    <row r="37" s="490" customFormat="1" ht="17.25" spans="1:7">
      <c r="A37" s="506">
        <v>1</v>
      </c>
      <c r="B37" s="507" t="s">
        <v>556</v>
      </c>
      <c r="C37" s="506" t="s">
        <v>90</v>
      </c>
      <c r="D37" s="519">
        <f>D38+D49</f>
        <v>711.5</v>
      </c>
      <c r="E37" s="506"/>
      <c r="F37" s="508" t="e">
        <f>F38+F49</f>
        <v>#REF!</v>
      </c>
      <c r="G37" s="506"/>
    </row>
    <row r="38" s="490" customFormat="1" ht="17.25" spans="1:7">
      <c r="A38" s="521">
        <v>1.1</v>
      </c>
      <c r="B38" s="522" t="s">
        <v>557</v>
      </c>
      <c r="C38" s="521" t="s">
        <v>90</v>
      </c>
      <c r="D38" s="523">
        <v>204</v>
      </c>
      <c r="E38" s="524"/>
      <c r="F38" s="525" t="e">
        <f>SUM(F39:F48)</f>
        <v>#REF!</v>
      </c>
      <c r="G38" s="524"/>
    </row>
    <row r="39" s="490" customFormat="1" ht="17.25" spans="1:7">
      <c r="A39" s="521"/>
      <c r="B39" s="526" t="s">
        <v>61</v>
      </c>
      <c r="C39" s="527" t="s">
        <v>62</v>
      </c>
      <c r="D39" s="511">
        <v>1020</v>
      </c>
      <c r="E39" s="523" t="e">
        <f>单价汇总表!D6/100+单价汇总表!#REF!/100*0.85</f>
        <v>#REF!</v>
      </c>
      <c r="F39" s="525" t="e">
        <f>D39*E39</f>
        <v>#REF!</v>
      </c>
      <c r="G39" s="524"/>
    </row>
    <row r="40" s="490" customFormat="1" ht="17.25" spans="1:7">
      <c r="A40" s="521"/>
      <c r="B40" s="526" t="s">
        <v>63</v>
      </c>
      <c r="C40" s="527" t="s">
        <v>62</v>
      </c>
      <c r="D40" s="511">
        <v>3060</v>
      </c>
      <c r="E40" s="523">
        <f>E9</f>
        <v>12.4804472232673</v>
      </c>
      <c r="F40" s="525">
        <f t="shared" ref="F40:F103" si="1">D40*E40</f>
        <v>38190.1685031979</v>
      </c>
      <c r="G40" s="524"/>
    </row>
    <row r="41" s="490" customFormat="1" ht="17.25" spans="1:7">
      <c r="A41" s="521"/>
      <c r="B41" s="526" t="s">
        <v>558</v>
      </c>
      <c r="C41" s="527" t="s">
        <v>559</v>
      </c>
      <c r="D41" s="511">
        <v>856.8</v>
      </c>
      <c r="E41" s="523" t="e">
        <f>E14</f>
        <v>#REF!</v>
      </c>
      <c r="F41" s="525" t="e">
        <f t="shared" si="1"/>
        <v>#REF!</v>
      </c>
      <c r="G41" s="524"/>
    </row>
    <row r="42" s="490" customFormat="1" ht="17.25" spans="1:7">
      <c r="A42" s="521"/>
      <c r="B42" s="526" t="s">
        <v>560</v>
      </c>
      <c r="C42" s="527" t="s">
        <v>62</v>
      </c>
      <c r="D42" s="511">
        <v>408</v>
      </c>
      <c r="E42" s="523" t="e">
        <f>单价汇总表!#REF!/100</f>
        <v>#REF!</v>
      </c>
      <c r="F42" s="525" t="e">
        <f t="shared" si="1"/>
        <v>#REF!</v>
      </c>
      <c r="G42" s="524"/>
    </row>
    <row r="43" s="490" customFormat="1" ht="17.25" spans="1:7">
      <c r="A43" s="521"/>
      <c r="B43" s="526" t="s">
        <v>561</v>
      </c>
      <c r="C43" s="527" t="s">
        <v>62</v>
      </c>
      <c r="D43" s="511">
        <v>255</v>
      </c>
      <c r="E43" s="523" t="e">
        <f>单价汇总表!#REF!/100</f>
        <v>#REF!</v>
      </c>
      <c r="F43" s="525" t="e">
        <f t="shared" si="1"/>
        <v>#REF!</v>
      </c>
      <c r="G43" s="524"/>
    </row>
    <row r="44" s="490" customFormat="1" ht="17.25" spans="1:7">
      <c r="A44" s="521"/>
      <c r="B44" s="526" t="s">
        <v>562</v>
      </c>
      <c r="C44" s="527" t="s">
        <v>559</v>
      </c>
      <c r="D44" s="511">
        <v>3060</v>
      </c>
      <c r="E44" s="523" t="e">
        <f>单价汇总表!#REF!/100</f>
        <v>#REF!</v>
      </c>
      <c r="F44" s="525" t="e">
        <f t="shared" si="1"/>
        <v>#REF!</v>
      </c>
      <c r="G44" s="524"/>
    </row>
    <row r="45" s="490" customFormat="1" ht="17.25" spans="1:7">
      <c r="A45" s="521"/>
      <c r="B45" s="526" t="s">
        <v>563</v>
      </c>
      <c r="C45" s="527" t="s">
        <v>62</v>
      </c>
      <c r="D45" s="511">
        <v>20.4</v>
      </c>
      <c r="E45" s="523" t="e">
        <f>单价汇总表!#REF!/100</f>
        <v>#REF!</v>
      </c>
      <c r="F45" s="525" t="e">
        <f t="shared" si="1"/>
        <v>#REF!</v>
      </c>
      <c r="G45" s="524"/>
    </row>
    <row r="46" s="490" customFormat="1" ht="17.25" spans="1:7">
      <c r="A46" s="521"/>
      <c r="B46" s="526" t="s">
        <v>564</v>
      </c>
      <c r="C46" s="527" t="s">
        <v>62</v>
      </c>
      <c r="D46" s="511">
        <v>183.6</v>
      </c>
      <c r="E46" s="523">
        <f>材料预算价!K15*1.09+单价汇总表!D11/100</f>
        <v>79.2891773758467</v>
      </c>
      <c r="F46" s="525">
        <f t="shared" si="1"/>
        <v>14557.4929662055</v>
      </c>
      <c r="G46" s="524"/>
    </row>
    <row r="47" s="490" customFormat="1" ht="17.25" spans="1:7">
      <c r="A47" s="521"/>
      <c r="B47" s="526" t="s">
        <v>565</v>
      </c>
      <c r="C47" s="527" t="s">
        <v>62</v>
      </c>
      <c r="D47" s="511">
        <v>489.6</v>
      </c>
      <c r="E47" s="523" t="e">
        <f>E42</f>
        <v>#REF!</v>
      </c>
      <c r="F47" s="525" t="e">
        <f t="shared" si="1"/>
        <v>#REF!</v>
      </c>
      <c r="G47" s="524"/>
    </row>
    <row r="48" s="490" customFormat="1" ht="17.25" spans="1:7">
      <c r="A48" s="521"/>
      <c r="B48" s="526" t="s">
        <v>566</v>
      </c>
      <c r="C48" s="527" t="s">
        <v>559</v>
      </c>
      <c r="D48" s="511">
        <v>1632</v>
      </c>
      <c r="E48" s="523" t="e">
        <f>E16</f>
        <v>#REF!</v>
      </c>
      <c r="F48" s="525" t="e">
        <f t="shared" si="1"/>
        <v>#REF!</v>
      </c>
      <c r="G48" s="524"/>
    </row>
    <row r="49" s="490" customFormat="1" ht="17.25" spans="1:7">
      <c r="A49" s="521">
        <v>1.2</v>
      </c>
      <c r="B49" s="522" t="s">
        <v>567</v>
      </c>
      <c r="C49" s="521" t="s">
        <v>90</v>
      </c>
      <c r="D49" s="523">
        <v>507.5</v>
      </c>
      <c r="E49" s="523"/>
      <c r="F49" s="525" t="e">
        <f>SUM(F50:F59)</f>
        <v>#REF!</v>
      </c>
      <c r="G49" s="524"/>
    </row>
    <row r="50" s="490" customFormat="1" ht="17.25" spans="1:7">
      <c r="A50" s="521"/>
      <c r="B50" s="526" t="s">
        <v>61</v>
      </c>
      <c r="C50" s="527" t="s">
        <v>62</v>
      </c>
      <c r="D50" s="511">
        <v>2537.5</v>
      </c>
      <c r="E50" s="523" t="e">
        <f>E39</f>
        <v>#REF!</v>
      </c>
      <c r="F50" s="525" t="e">
        <f t="shared" si="1"/>
        <v>#REF!</v>
      </c>
      <c r="G50" s="524"/>
    </row>
    <row r="51" s="490" customFormat="1" ht="17.25" spans="1:7">
      <c r="A51" s="521"/>
      <c r="B51" s="526" t="s">
        <v>63</v>
      </c>
      <c r="C51" s="527" t="s">
        <v>62</v>
      </c>
      <c r="D51" s="511">
        <v>7612.5</v>
      </c>
      <c r="E51" s="523">
        <f>E40</f>
        <v>12.4804472232673</v>
      </c>
      <c r="F51" s="525">
        <f t="shared" si="1"/>
        <v>95007.4044871222</v>
      </c>
      <c r="G51" s="524"/>
    </row>
    <row r="52" s="490" customFormat="1" ht="17.25" spans="1:7">
      <c r="A52" s="521"/>
      <c r="B52" s="526" t="s">
        <v>558</v>
      </c>
      <c r="C52" s="527" t="s">
        <v>559</v>
      </c>
      <c r="D52" s="511">
        <v>2131.5</v>
      </c>
      <c r="E52" s="523" t="e">
        <f>E41</f>
        <v>#REF!</v>
      </c>
      <c r="F52" s="525" t="e">
        <f t="shared" si="1"/>
        <v>#REF!</v>
      </c>
      <c r="G52" s="524"/>
    </row>
    <row r="53" s="490" customFormat="1" ht="17.25" spans="1:7">
      <c r="A53" s="521"/>
      <c r="B53" s="526" t="s">
        <v>560</v>
      </c>
      <c r="C53" s="527" t="s">
        <v>62</v>
      </c>
      <c r="D53" s="511">
        <v>1015</v>
      </c>
      <c r="E53" s="523" t="e">
        <f t="shared" ref="E53:E59" si="2">E42</f>
        <v>#REF!</v>
      </c>
      <c r="F53" s="525" t="e">
        <f t="shared" si="1"/>
        <v>#REF!</v>
      </c>
      <c r="G53" s="524"/>
    </row>
    <row r="54" s="490" customFormat="1" ht="17.25" spans="1:7">
      <c r="A54" s="521"/>
      <c r="B54" s="526" t="s">
        <v>561</v>
      </c>
      <c r="C54" s="527" t="s">
        <v>62</v>
      </c>
      <c r="D54" s="511">
        <v>634.375</v>
      </c>
      <c r="E54" s="523" t="e">
        <f t="shared" si="2"/>
        <v>#REF!</v>
      </c>
      <c r="F54" s="525" t="e">
        <f t="shared" si="1"/>
        <v>#REF!</v>
      </c>
      <c r="G54" s="524"/>
    </row>
    <row r="55" s="490" customFormat="1" ht="17.25" spans="1:7">
      <c r="A55" s="521"/>
      <c r="B55" s="526" t="s">
        <v>562</v>
      </c>
      <c r="C55" s="527" t="s">
        <v>559</v>
      </c>
      <c r="D55" s="511">
        <v>7612.5</v>
      </c>
      <c r="E55" s="523" t="e">
        <f t="shared" si="2"/>
        <v>#REF!</v>
      </c>
      <c r="F55" s="525" t="e">
        <f t="shared" si="1"/>
        <v>#REF!</v>
      </c>
      <c r="G55" s="524"/>
    </row>
    <row r="56" s="490" customFormat="1" ht="17.25" spans="1:7">
      <c r="A56" s="521"/>
      <c r="B56" s="526" t="s">
        <v>563</v>
      </c>
      <c r="C56" s="527" t="s">
        <v>62</v>
      </c>
      <c r="D56" s="511">
        <v>50.75</v>
      </c>
      <c r="E56" s="523" t="e">
        <f t="shared" si="2"/>
        <v>#REF!</v>
      </c>
      <c r="F56" s="525" t="e">
        <f t="shared" si="1"/>
        <v>#REF!</v>
      </c>
      <c r="G56" s="524"/>
    </row>
    <row r="57" s="490" customFormat="1" ht="17.25" spans="1:7">
      <c r="A57" s="521"/>
      <c r="B57" s="526" t="s">
        <v>564</v>
      </c>
      <c r="C57" s="527" t="s">
        <v>62</v>
      </c>
      <c r="D57" s="511">
        <v>456.75</v>
      </c>
      <c r="E57" s="523">
        <f t="shared" si="2"/>
        <v>79.2891773758467</v>
      </c>
      <c r="F57" s="525">
        <f t="shared" si="1"/>
        <v>36215.331766418</v>
      </c>
      <c r="G57" s="524"/>
    </row>
    <row r="58" s="490" customFormat="1" ht="17.25" spans="1:7">
      <c r="A58" s="521"/>
      <c r="B58" s="526" t="s">
        <v>565</v>
      </c>
      <c r="C58" s="527" t="s">
        <v>62</v>
      </c>
      <c r="D58" s="511">
        <v>1218</v>
      </c>
      <c r="E58" s="523" t="e">
        <f t="shared" si="2"/>
        <v>#REF!</v>
      </c>
      <c r="F58" s="525" t="e">
        <f t="shared" si="1"/>
        <v>#REF!</v>
      </c>
      <c r="G58" s="524"/>
    </row>
    <row r="59" s="490" customFormat="1" ht="17.25" spans="1:7">
      <c r="A59" s="521"/>
      <c r="B59" s="526" t="s">
        <v>566</v>
      </c>
      <c r="C59" s="527" t="s">
        <v>559</v>
      </c>
      <c r="D59" s="511">
        <v>4060</v>
      </c>
      <c r="E59" s="523" t="e">
        <f t="shared" si="2"/>
        <v>#REF!</v>
      </c>
      <c r="F59" s="525" t="e">
        <f t="shared" si="1"/>
        <v>#REF!</v>
      </c>
      <c r="G59" s="524"/>
    </row>
    <row r="60" s="490" customFormat="1" ht="17.25" spans="1:7">
      <c r="A60" s="506">
        <v>2</v>
      </c>
      <c r="B60" s="507" t="s">
        <v>568</v>
      </c>
      <c r="C60" s="506" t="s">
        <v>90</v>
      </c>
      <c r="D60" s="519">
        <v>711.5</v>
      </c>
      <c r="E60" s="523"/>
      <c r="F60" s="528" t="e">
        <f>F61+F72</f>
        <v>#REF!</v>
      </c>
      <c r="G60" s="524"/>
    </row>
    <row r="61" s="490" customFormat="1" ht="17.25" spans="1:7">
      <c r="A61" s="502">
        <v>2.1</v>
      </c>
      <c r="B61" s="522" t="s">
        <v>557</v>
      </c>
      <c r="C61" s="521" t="s">
        <v>90</v>
      </c>
      <c r="D61" s="523">
        <v>204</v>
      </c>
      <c r="E61" s="523"/>
      <c r="F61" s="525" t="e">
        <f>SUM(F62:F71)</f>
        <v>#REF!</v>
      </c>
      <c r="G61" s="524"/>
    </row>
    <row r="62" s="490" customFormat="1" ht="17.25" spans="1:7">
      <c r="A62" s="521"/>
      <c r="B62" s="526" t="s">
        <v>61</v>
      </c>
      <c r="C62" s="527" t="s">
        <v>62</v>
      </c>
      <c r="D62" s="511">
        <v>1632</v>
      </c>
      <c r="E62" s="523" t="e">
        <f>E50</f>
        <v>#REF!</v>
      </c>
      <c r="F62" s="525" t="e">
        <f>D62*E62</f>
        <v>#REF!</v>
      </c>
      <c r="G62" s="524"/>
    </row>
    <row r="63" s="490" customFormat="1" ht="17.25" spans="1:7">
      <c r="A63" s="521"/>
      <c r="B63" s="526" t="s">
        <v>63</v>
      </c>
      <c r="C63" s="527" t="s">
        <v>62</v>
      </c>
      <c r="D63" s="511">
        <v>4080</v>
      </c>
      <c r="E63" s="523">
        <f t="shared" ref="E63:E71" si="3">E51</f>
        <v>12.4804472232673</v>
      </c>
      <c r="F63" s="525">
        <f t="shared" si="1"/>
        <v>50920.2246709305</v>
      </c>
      <c r="G63" s="524"/>
    </row>
    <row r="64" s="490" customFormat="1" ht="17.25" spans="1:7">
      <c r="A64" s="521"/>
      <c r="B64" s="526" t="s">
        <v>558</v>
      </c>
      <c r="C64" s="527" t="s">
        <v>559</v>
      </c>
      <c r="D64" s="511">
        <v>1132.2</v>
      </c>
      <c r="E64" s="523" t="e">
        <f t="shared" si="3"/>
        <v>#REF!</v>
      </c>
      <c r="F64" s="525" t="e">
        <f t="shared" si="1"/>
        <v>#REF!</v>
      </c>
      <c r="G64" s="524"/>
    </row>
    <row r="65" s="490" customFormat="1" ht="17.25" spans="1:7">
      <c r="A65" s="521"/>
      <c r="B65" s="526" t="s">
        <v>560</v>
      </c>
      <c r="C65" s="527" t="s">
        <v>62</v>
      </c>
      <c r="D65" s="511">
        <v>408</v>
      </c>
      <c r="E65" s="523" t="e">
        <f t="shared" si="3"/>
        <v>#REF!</v>
      </c>
      <c r="F65" s="525" t="e">
        <f t="shared" si="1"/>
        <v>#REF!</v>
      </c>
      <c r="G65" s="524"/>
    </row>
    <row r="66" s="490" customFormat="1" ht="17.25" spans="1:7">
      <c r="A66" s="521"/>
      <c r="B66" s="526" t="s">
        <v>561</v>
      </c>
      <c r="C66" s="527" t="s">
        <v>62</v>
      </c>
      <c r="D66" s="511">
        <v>255</v>
      </c>
      <c r="E66" s="523" t="e">
        <f t="shared" si="3"/>
        <v>#REF!</v>
      </c>
      <c r="F66" s="525" t="e">
        <f t="shared" si="1"/>
        <v>#REF!</v>
      </c>
      <c r="G66" s="524"/>
    </row>
    <row r="67" s="490" customFormat="1" ht="17.25" spans="1:7">
      <c r="A67" s="521"/>
      <c r="B67" s="526" t="s">
        <v>562</v>
      </c>
      <c r="C67" s="527" t="s">
        <v>559</v>
      </c>
      <c r="D67" s="511">
        <v>3060</v>
      </c>
      <c r="E67" s="523" t="e">
        <f t="shared" si="3"/>
        <v>#REF!</v>
      </c>
      <c r="F67" s="525" t="e">
        <f t="shared" si="1"/>
        <v>#REF!</v>
      </c>
      <c r="G67" s="524"/>
    </row>
    <row r="68" s="490" customFormat="1" ht="17.25" spans="1:7">
      <c r="A68" s="521"/>
      <c r="B68" s="526" t="s">
        <v>563</v>
      </c>
      <c r="C68" s="527" t="s">
        <v>62</v>
      </c>
      <c r="D68" s="511">
        <v>20.4</v>
      </c>
      <c r="E68" s="523" t="e">
        <f t="shared" si="3"/>
        <v>#REF!</v>
      </c>
      <c r="F68" s="525" t="e">
        <f t="shared" si="1"/>
        <v>#REF!</v>
      </c>
      <c r="G68" s="524"/>
    </row>
    <row r="69" s="490" customFormat="1" ht="17.25" spans="1:7">
      <c r="A69" s="521"/>
      <c r="B69" s="526" t="s">
        <v>564</v>
      </c>
      <c r="C69" s="527" t="s">
        <v>62</v>
      </c>
      <c r="D69" s="511">
        <v>20.4</v>
      </c>
      <c r="E69" s="523">
        <f t="shared" si="3"/>
        <v>79.2891773758467</v>
      </c>
      <c r="F69" s="525">
        <f t="shared" si="1"/>
        <v>1617.49921846727</v>
      </c>
      <c r="G69" s="524"/>
    </row>
    <row r="70" s="490" customFormat="1" ht="17.25" spans="1:7">
      <c r="A70" s="521"/>
      <c r="B70" s="526" t="s">
        <v>565</v>
      </c>
      <c r="C70" s="527" t="s">
        <v>62</v>
      </c>
      <c r="D70" s="511">
        <v>489.6</v>
      </c>
      <c r="E70" s="523" t="e">
        <f t="shared" si="3"/>
        <v>#REF!</v>
      </c>
      <c r="F70" s="525" t="e">
        <f t="shared" si="1"/>
        <v>#REF!</v>
      </c>
      <c r="G70" s="524"/>
    </row>
    <row r="71" s="490" customFormat="1" ht="17.25" spans="1:7">
      <c r="A71" s="521"/>
      <c r="B71" s="526" t="s">
        <v>566</v>
      </c>
      <c r="C71" s="527" t="s">
        <v>559</v>
      </c>
      <c r="D71" s="511">
        <v>1632</v>
      </c>
      <c r="E71" s="523" t="e">
        <f t="shared" si="3"/>
        <v>#REF!</v>
      </c>
      <c r="F71" s="525" t="e">
        <f t="shared" si="1"/>
        <v>#REF!</v>
      </c>
      <c r="G71" s="524"/>
    </row>
    <row r="72" s="490" customFormat="1" ht="17.25" spans="1:7">
      <c r="A72" s="521">
        <v>2.2</v>
      </c>
      <c r="B72" s="522" t="s">
        <v>567</v>
      </c>
      <c r="C72" s="521" t="s">
        <v>90</v>
      </c>
      <c r="D72" s="523">
        <v>507.5</v>
      </c>
      <c r="E72" s="523"/>
      <c r="F72" s="525" t="e">
        <f>SUM(F73:F82)</f>
        <v>#REF!</v>
      </c>
      <c r="G72" s="524"/>
    </row>
    <row r="73" s="490" customFormat="1" ht="17.25" spans="1:7">
      <c r="A73" s="521"/>
      <c r="B73" s="526" t="s">
        <v>61</v>
      </c>
      <c r="C73" s="527" t="s">
        <v>62</v>
      </c>
      <c r="D73" s="511">
        <v>4060</v>
      </c>
      <c r="E73" s="523" t="e">
        <f>E62</f>
        <v>#REF!</v>
      </c>
      <c r="F73" s="525" t="e">
        <f t="shared" si="1"/>
        <v>#REF!</v>
      </c>
      <c r="G73" s="524"/>
    </row>
    <row r="74" s="490" customFormat="1" ht="17.25" spans="1:7">
      <c r="A74" s="521"/>
      <c r="B74" s="526" t="s">
        <v>63</v>
      </c>
      <c r="C74" s="527" t="s">
        <v>62</v>
      </c>
      <c r="D74" s="511">
        <v>10150</v>
      </c>
      <c r="E74" s="523">
        <f t="shared" ref="E74:E82" si="4">E63</f>
        <v>12.4804472232673</v>
      </c>
      <c r="F74" s="525">
        <f t="shared" si="1"/>
        <v>126676.539316163</v>
      </c>
      <c r="G74" s="524"/>
    </row>
    <row r="75" s="490" customFormat="1" ht="17.25" spans="1:7">
      <c r="A75" s="521"/>
      <c r="B75" s="526" t="s">
        <v>558</v>
      </c>
      <c r="C75" s="527" t="s">
        <v>559</v>
      </c>
      <c r="D75" s="511">
        <v>2816.625</v>
      </c>
      <c r="E75" s="523" t="e">
        <f t="shared" si="4"/>
        <v>#REF!</v>
      </c>
      <c r="F75" s="525" t="e">
        <f t="shared" si="1"/>
        <v>#REF!</v>
      </c>
      <c r="G75" s="524"/>
    </row>
    <row r="76" s="490" customFormat="1" ht="17.25" spans="1:7">
      <c r="A76" s="521"/>
      <c r="B76" s="526" t="s">
        <v>560</v>
      </c>
      <c r="C76" s="527" t="s">
        <v>62</v>
      </c>
      <c r="D76" s="511">
        <v>1015</v>
      </c>
      <c r="E76" s="523" t="e">
        <f t="shared" si="4"/>
        <v>#REF!</v>
      </c>
      <c r="F76" s="525" t="e">
        <f t="shared" si="1"/>
        <v>#REF!</v>
      </c>
      <c r="G76" s="524"/>
    </row>
    <row r="77" s="490" customFormat="1" ht="17.25" spans="1:7">
      <c r="A77" s="521"/>
      <c r="B77" s="526" t="s">
        <v>561</v>
      </c>
      <c r="C77" s="527" t="s">
        <v>62</v>
      </c>
      <c r="D77" s="511">
        <v>634.375</v>
      </c>
      <c r="E77" s="523" t="e">
        <f t="shared" si="4"/>
        <v>#REF!</v>
      </c>
      <c r="F77" s="525" t="e">
        <f t="shared" si="1"/>
        <v>#REF!</v>
      </c>
      <c r="G77" s="524"/>
    </row>
    <row r="78" s="490" customFormat="1" ht="17.25" spans="1:7">
      <c r="A78" s="521"/>
      <c r="B78" s="526" t="s">
        <v>562</v>
      </c>
      <c r="C78" s="527" t="s">
        <v>559</v>
      </c>
      <c r="D78" s="511">
        <v>7612.5</v>
      </c>
      <c r="E78" s="523" t="e">
        <f t="shared" si="4"/>
        <v>#REF!</v>
      </c>
      <c r="F78" s="525" t="e">
        <f t="shared" si="1"/>
        <v>#REF!</v>
      </c>
      <c r="G78" s="524"/>
    </row>
    <row r="79" s="490" customFormat="1" ht="17.25" spans="1:7">
      <c r="A79" s="521"/>
      <c r="B79" s="526" t="s">
        <v>563</v>
      </c>
      <c r="C79" s="527" t="s">
        <v>62</v>
      </c>
      <c r="D79" s="511">
        <v>50.75</v>
      </c>
      <c r="E79" s="523" t="e">
        <f t="shared" si="4"/>
        <v>#REF!</v>
      </c>
      <c r="F79" s="525" t="e">
        <f t="shared" si="1"/>
        <v>#REF!</v>
      </c>
      <c r="G79" s="524"/>
    </row>
    <row r="80" s="490" customFormat="1" ht="17.25" spans="1:7">
      <c r="A80" s="521"/>
      <c r="B80" s="526" t="s">
        <v>564</v>
      </c>
      <c r="C80" s="527" t="s">
        <v>62</v>
      </c>
      <c r="D80" s="511">
        <v>50.75</v>
      </c>
      <c r="E80" s="523">
        <f t="shared" si="4"/>
        <v>79.2891773758467</v>
      </c>
      <c r="F80" s="525">
        <f t="shared" si="1"/>
        <v>4023.92575182422</v>
      </c>
      <c r="G80" s="524"/>
    </row>
    <row r="81" s="490" customFormat="1" ht="17.25" spans="1:7">
      <c r="A81" s="521"/>
      <c r="B81" s="526" t="s">
        <v>565</v>
      </c>
      <c r="C81" s="527" t="s">
        <v>62</v>
      </c>
      <c r="D81" s="511">
        <v>1218</v>
      </c>
      <c r="E81" s="523" t="e">
        <f t="shared" si="4"/>
        <v>#REF!</v>
      </c>
      <c r="F81" s="525" t="e">
        <f t="shared" si="1"/>
        <v>#REF!</v>
      </c>
      <c r="G81" s="524"/>
    </row>
    <row r="82" s="490" customFormat="1" ht="17.25" spans="1:7">
      <c r="A82" s="521"/>
      <c r="B82" s="526" t="s">
        <v>566</v>
      </c>
      <c r="C82" s="527" t="s">
        <v>559</v>
      </c>
      <c r="D82" s="511">
        <v>4060</v>
      </c>
      <c r="E82" s="523" t="e">
        <f t="shared" si="4"/>
        <v>#REF!</v>
      </c>
      <c r="F82" s="525" t="e">
        <f t="shared" si="1"/>
        <v>#REF!</v>
      </c>
      <c r="G82" s="524"/>
    </row>
    <row r="83" s="490" customFormat="1" ht="17.25" spans="1:8">
      <c r="A83" s="529">
        <v>3</v>
      </c>
      <c r="B83" s="530" t="s">
        <v>569</v>
      </c>
      <c r="C83" s="506" t="s">
        <v>90</v>
      </c>
      <c r="D83" s="519">
        <f>D84+D96+D108+D120+D132+D144+D156+D168+D180+D192+D204+D216+D228+D240+D252+D264+D276+D288+D300+D312+D324+D336+D348+D360+D372+D384+D396+D408+D420+D432+D444+D456+D468+D480+D492+D504</f>
        <v>10047</v>
      </c>
      <c r="E83" s="523"/>
      <c r="F83" s="528" t="e">
        <f>F84+F96+F108+F120+F132+F144+F156+F168+F180+F192+F204+F216+F228+F240+F252+F264+F276+F288+F300+F312+F324+F336+F348+F360+F372+F384+F396+F408+F420+F432+F444+F456+F468+F480+F492+F504</f>
        <v>#REF!</v>
      </c>
      <c r="G83" s="524"/>
      <c r="H83" s="490">
        <v>9614</v>
      </c>
    </row>
    <row r="84" s="490" customFormat="1" ht="17.25" spans="1:7">
      <c r="A84" s="521">
        <v>3.1</v>
      </c>
      <c r="B84" s="522" t="s">
        <v>570</v>
      </c>
      <c r="C84" s="521" t="s">
        <v>90</v>
      </c>
      <c r="D84" s="523">
        <v>600</v>
      </c>
      <c r="E84" s="523"/>
      <c r="F84" s="525" t="e">
        <f>SUM(F85:F95)</f>
        <v>#REF!</v>
      </c>
      <c r="G84" s="524"/>
    </row>
    <row r="85" s="490" customFormat="1" ht="17.25" spans="1:7">
      <c r="A85" s="521"/>
      <c r="B85" s="526" t="s">
        <v>61</v>
      </c>
      <c r="C85" s="527" t="s">
        <v>62</v>
      </c>
      <c r="D85" s="511">
        <f>10*D84</f>
        <v>6000</v>
      </c>
      <c r="E85" s="523" t="e">
        <f>E73</f>
        <v>#REF!</v>
      </c>
      <c r="F85" s="525" t="e">
        <f t="shared" si="1"/>
        <v>#REF!</v>
      </c>
      <c r="G85" s="524"/>
    </row>
    <row r="86" s="490" customFormat="1" ht="17.25" spans="1:7">
      <c r="A86" s="521"/>
      <c r="B86" s="526" t="s">
        <v>63</v>
      </c>
      <c r="C86" s="527" t="s">
        <v>62</v>
      </c>
      <c r="D86" s="511">
        <f>38*D84</f>
        <v>22800</v>
      </c>
      <c r="E86" s="523">
        <f>E74</f>
        <v>12.4804472232673</v>
      </c>
      <c r="F86" s="525">
        <f t="shared" si="1"/>
        <v>284554.196690494</v>
      </c>
      <c r="G86" s="524"/>
    </row>
    <row r="87" s="491" customFormat="1" ht="17.25" spans="1:7">
      <c r="A87" s="531"/>
      <c r="B87" s="532" t="s">
        <v>571</v>
      </c>
      <c r="C87" s="533" t="s">
        <v>62</v>
      </c>
      <c r="D87" s="534">
        <f>3.6*D84</f>
        <v>2160</v>
      </c>
      <c r="E87" s="535"/>
      <c r="F87" s="536">
        <f t="shared" si="1"/>
        <v>0</v>
      </c>
      <c r="G87" s="537"/>
    </row>
    <row r="88" s="491" customFormat="1" ht="17.25" spans="1:7">
      <c r="A88" s="531"/>
      <c r="B88" s="532" t="s">
        <v>572</v>
      </c>
      <c r="C88" s="533" t="s">
        <v>62</v>
      </c>
      <c r="D88" s="534">
        <f>D87</f>
        <v>2160</v>
      </c>
      <c r="E88" s="535"/>
      <c r="F88" s="536">
        <f t="shared" si="1"/>
        <v>0</v>
      </c>
      <c r="G88" s="537"/>
    </row>
    <row r="89" s="490" customFormat="1" ht="17.25" spans="1:7">
      <c r="A89" s="521"/>
      <c r="B89" s="526" t="s">
        <v>560</v>
      </c>
      <c r="C89" s="527" t="s">
        <v>62</v>
      </c>
      <c r="D89" s="511">
        <f>2*D84</f>
        <v>1200</v>
      </c>
      <c r="E89" s="523" t="e">
        <f t="shared" ref="E89:E95" si="5">E76</f>
        <v>#REF!</v>
      </c>
      <c r="F89" s="525" t="e">
        <f t="shared" si="1"/>
        <v>#REF!</v>
      </c>
      <c r="G89" s="524"/>
    </row>
    <row r="90" s="490" customFormat="1" ht="17.25" spans="1:7">
      <c r="A90" s="521"/>
      <c r="B90" s="526" t="s">
        <v>561</v>
      </c>
      <c r="C90" s="527" t="s">
        <v>62</v>
      </c>
      <c r="D90" s="511">
        <f>1.25*D84</f>
        <v>750</v>
      </c>
      <c r="E90" s="523" t="e">
        <f t="shared" si="5"/>
        <v>#REF!</v>
      </c>
      <c r="F90" s="525" t="e">
        <f t="shared" si="1"/>
        <v>#REF!</v>
      </c>
      <c r="G90" s="524"/>
    </row>
    <row r="91" s="490" customFormat="1" ht="17.25" spans="1:7">
      <c r="A91" s="521"/>
      <c r="B91" s="526" t="s">
        <v>562</v>
      </c>
      <c r="C91" s="527" t="s">
        <v>559</v>
      </c>
      <c r="D91" s="511">
        <f>15*D84</f>
        <v>9000</v>
      </c>
      <c r="E91" s="523" t="e">
        <f t="shared" si="5"/>
        <v>#REF!</v>
      </c>
      <c r="F91" s="525" t="e">
        <f t="shared" si="1"/>
        <v>#REF!</v>
      </c>
      <c r="G91" s="524"/>
    </row>
    <row r="92" s="490" customFormat="1" ht="17.25" spans="1:7">
      <c r="A92" s="521"/>
      <c r="B92" s="526" t="s">
        <v>563</v>
      </c>
      <c r="C92" s="527" t="s">
        <v>62</v>
      </c>
      <c r="D92" s="511">
        <f>0.1*D84</f>
        <v>60</v>
      </c>
      <c r="E92" s="523" t="e">
        <f t="shared" si="5"/>
        <v>#REF!</v>
      </c>
      <c r="F92" s="525" t="e">
        <f t="shared" si="1"/>
        <v>#REF!</v>
      </c>
      <c r="G92" s="524"/>
    </row>
    <row r="93" s="490" customFormat="1" ht="17.25" spans="1:7">
      <c r="A93" s="521"/>
      <c r="B93" s="526" t="s">
        <v>564</v>
      </c>
      <c r="C93" s="527" t="s">
        <v>62</v>
      </c>
      <c r="D93" s="511">
        <f>0.1*D84</f>
        <v>60</v>
      </c>
      <c r="E93" s="523">
        <f t="shared" si="5"/>
        <v>79.2891773758467</v>
      </c>
      <c r="F93" s="525">
        <f t="shared" si="1"/>
        <v>4757.3506425508</v>
      </c>
      <c r="G93" s="524"/>
    </row>
    <row r="94" s="490" customFormat="1" ht="17.25" spans="1:7">
      <c r="A94" s="521"/>
      <c r="B94" s="526" t="s">
        <v>565</v>
      </c>
      <c r="C94" s="527" t="s">
        <v>62</v>
      </c>
      <c r="D94" s="511">
        <f>2.4*D84</f>
        <v>1440</v>
      </c>
      <c r="E94" s="523" t="e">
        <f t="shared" si="5"/>
        <v>#REF!</v>
      </c>
      <c r="F94" s="525" t="e">
        <f t="shared" si="1"/>
        <v>#REF!</v>
      </c>
      <c r="G94" s="524"/>
    </row>
    <row r="95" s="490" customFormat="1" ht="17.25" spans="1:7">
      <c r="A95" s="521"/>
      <c r="B95" s="526" t="s">
        <v>566</v>
      </c>
      <c r="C95" s="527" t="s">
        <v>559</v>
      </c>
      <c r="D95" s="511">
        <f>8*D84</f>
        <v>4800</v>
      </c>
      <c r="E95" s="523" t="e">
        <f t="shared" si="5"/>
        <v>#REF!</v>
      </c>
      <c r="F95" s="525" t="e">
        <f t="shared" si="1"/>
        <v>#REF!</v>
      </c>
      <c r="G95" s="524"/>
    </row>
    <row r="96" s="490" customFormat="1" ht="17.25" spans="1:7">
      <c r="A96" s="521">
        <v>3.2</v>
      </c>
      <c r="B96" s="522" t="s">
        <v>573</v>
      </c>
      <c r="C96" s="521" t="s">
        <v>90</v>
      </c>
      <c r="D96" s="523">
        <v>373</v>
      </c>
      <c r="E96" s="523"/>
      <c r="F96" s="525" t="e">
        <f>SUM(F97:F107)</f>
        <v>#REF!</v>
      </c>
      <c r="G96" s="524"/>
    </row>
    <row r="97" s="490" customFormat="1" ht="17.25" spans="1:7">
      <c r="A97" s="521"/>
      <c r="B97" s="526" t="s">
        <v>61</v>
      </c>
      <c r="C97" s="527" t="s">
        <v>62</v>
      </c>
      <c r="D97" s="511">
        <f>10*D96</f>
        <v>3730</v>
      </c>
      <c r="E97" s="523" t="e">
        <f>E85</f>
        <v>#REF!</v>
      </c>
      <c r="F97" s="525" t="e">
        <f t="shared" si="1"/>
        <v>#REF!</v>
      </c>
      <c r="G97" s="524"/>
    </row>
    <row r="98" s="490" customFormat="1" ht="17.25" spans="1:7">
      <c r="A98" s="521"/>
      <c r="B98" s="526" t="s">
        <v>63</v>
      </c>
      <c r="C98" s="527" t="s">
        <v>62</v>
      </c>
      <c r="D98" s="511">
        <f>38*D96</f>
        <v>14174</v>
      </c>
      <c r="E98" s="523">
        <f t="shared" ref="E98:E107" si="6">E86</f>
        <v>12.4804472232673</v>
      </c>
      <c r="F98" s="525">
        <f t="shared" si="1"/>
        <v>176897.858942591</v>
      </c>
      <c r="G98" s="524"/>
    </row>
    <row r="99" s="490" customFormat="1" ht="17.25" spans="1:7">
      <c r="A99" s="521"/>
      <c r="B99" s="526" t="s">
        <v>571</v>
      </c>
      <c r="C99" s="527" t="s">
        <v>62</v>
      </c>
      <c r="D99" s="511">
        <f>3.6*D96</f>
        <v>1342.8</v>
      </c>
      <c r="E99" s="523">
        <f t="shared" si="6"/>
        <v>0</v>
      </c>
      <c r="F99" s="525">
        <f t="shared" si="1"/>
        <v>0</v>
      </c>
      <c r="G99" s="524"/>
    </row>
    <row r="100" s="490" customFormat="1" ht="17.25" spans="1:7">
      <c r="A100" s="521"/>
      <c r="B100" s="526" t="s">
        <v>572</v>
      </c>
      <c r="C100" s="527" t="s">
        <v>62</v>
      </c>
      <c r="D100" s="511">
        <f>D99</f>
        <v>1342.8</v>
      </c>
      <c r="E100" s="523">
        <f t="shared" si="6"/>
        <v>0</v>
      </c>
      <c r="F100" s="525">
        <f t="shared" si="1"/>
        <v>0</v>
      </c>
      <c r="G100" s="524"/>
    </row>
    <row r="101" s="490" customFormat="1" ht="17.25" spans="1:7">
      <c r="A101" s="521"/>
      <c r="B101" s="526" t="s">
        <v>560</v>
      </c>
      <c r="C101" s="527" t="s">
        <v>62</v>
      </c>
      <c r="D101" s="511">
        <f>2*D96</f>
        <v>746</v>
      </c>
      <c r="E101" s="523" t="e">
        <f t="shared" si="6"/>
        <v>#REF!</v>
      </c>
      <c r="F101" s="525" t="e">
        <f t="shared" si="1"/>
        <v>#REF!</v>
      </c>
      <c r="G101" s="524"/>
    </row>
    <row r="102" s="490" customFormat="1" ht="17.25" spans="1:7">
      <c r="A102" s="521"/>
      <c r="B102" s="526" t="s">
        <v>561</v>
      </c>
      <c r="C102" s="527" t="s">
        <v>62</v>
      </c>
      <c r="D102" s="511">
        <f>1.25*D96</f>
        <v>466.25</v>
      </c>
      <c r="E102" s="523" t="e">
        <f t="shared" si="6"/>
        <v>#REF!</v>
      </c>
      <c r="F102" s="525" t="e">
        <f t="shared" si="1"/>
        <v>#REF!</v>
      </c>
      <c r="G102" s="524"/>
    </row>
    <row r="103" s="490" customFormat="1" ht="17.25" spans="1:7">
      <c r="A103" s="521"/>
      <c r="B103" s="526" t="s">
        <v>562</v>
      </c>
      <c r="C103" s="527" t="s">
        <v>559</v>
      </c>
      <c r="D103" s="511">
        <f>15*D96</f>
        <v>5595</v>
      </c>
      <c r="E103" s="523" t="e">
        <f t="shared" si="6"/>
        <v>#REF!</v>
      </c>
      <c r="F103" s="525" t="e">
        <f t="shared" si="1"/>
        <v>#REF!</v>
      </c>
      <c r="G103" s="524"/>
    </row>
    <row r="104" s="490" customFormat="1" ht="17.25" spans="1:7">
      <c r="A104" s="521"/>
      <c r="B104" s="526" t="s">
        <v>563</v>
      </c>
      <c r="C104" s="527" t="s">
        <v>62</v>
      </c>
      <c r="D104" s="511">
        <f>0.1*D96</f>
        <v>37.3</v>
      </c>
      <c r="E104" s="523" t="e">
        <f t="shared" si="6"/>
        <v>#REF!</v>
      </c>
      <c r="F104" s="525" t="e">
        <f t="shared" ref="F104:F167" si="7">D104*E104</f>
        <v>#REF!</v>
      </c>
      <c r="G104" s="524"/>
    </row>
    <row r="105" s="490" customFormat="1" ht="17.25" spans="1:7">
      <c r="A105" s="521"/>
      <c r="B105" s="526" t="s">
        <v>564</v>
      </c>
      <c r="C105" s="527" t="s">
        <v>62</v>
      </c>
      <c r="D105" s="511">
        <f>0.1*D96</f>
        <v>37.3</v>
      </c>
      <c r="E105" s="523">
        <f t="shared" si="6"/>
        <v>79.2891773758467</v>
      </c>
      <c r="F105" s="525">
        <f t="shared" si="7"/>
        <v>2957.48631611908</v>
      </c>
      <c r="G105" s="524"/>
    </row>
    <row r="106" s="490" customFormat="1" ht="17.25" spans="1:7">
      <c r="A106" s="521"/>
      <c r="B106" s="526" t="s">
        <v>565</v>
      </c>
      <c r="C106" s="527" t="s">
        <v>62</v>
      </c>
      <c r="D106" s="511">
        <f>2.4*D96</f>
        <v>895.2</v>
      </c>
      <c r="E106" s="523" t="e">
        <f t="shared" si="6"/>
        <v>#REF!</v>
      </c>
      <c r="F106" s="525" t="e">
        <f t="shared" si="7"/>
        <v>#REF!</v>
      </c>
      <c r="G106" s="524"/>
    </row>
    <row r="107" s="490" customFormat="1" ht="17.25" spans="1:7">
      <c r="A107" s="521"/>
      <c r="B107" s="526" t="s">
        <v>566</v>
      </c>
      <c r="C107" s="527" t="s">
        <v>559</v>
      </c>
      <c r="D107" s="511">
        <f>8*D96</f>
        <v>2984</v>
      </c>
      <c r="E107" s="523" t="e">
        <f t="shared" si="6"/>
        <v>#REF!</v>
      </c>
      <c r="F107" s="525" t="e">
        <f t="shared" si="7"/>
        <v>#REF!</v>
      </c>
      <c r="G107" s="524"/>
    </row>
    <row r="108" s="490" customFormat="1" ht="17.25" spans="1:7">
      <c r="A108" s="521">
        <v>3.3</v>
      </c>
      <c r="B108" s="522" t="s">
        <v>574</v>
      </c>
      <c r="C108" s="521" t="s">
        <v>90</v>
      </c>
      <c r="D108" s="523">
        <v>396</v>
      </c>
      <c r="E108" s="523"/>
      <c r="F108" s="525" t="e">
        <f>SUM(F109:F119)</f>
        <v>#REF!</v>
      </c>
      <c r="G108" s="524"/>
    </row>
    <row r="109" s="490" customFormat="1" ht="17.25" spans="1:7">
      <c r="A109" s="521"/>
      <c r="B109" s="526" t="s">
        <v>61</v>
      </c>
      <c r="C109" s="527" t="s">
        <v>62</v>
      </c>
      <c r="D109" s="511">
        <f>10*D108</f>
        <v>3960</v>
      </c>
      <c r="E109" s="523" t="e">
        <f>E97</f>
        <v>#REF!</v>
      </c>
      <c r="F109" s="525" t="e">
        <f t="shared" si="7"/>
        <v>#REF!</v>
      </c>
      <c r="G109" s="524"/>
    </row>
    <row r="110" s="490" customFormat="1" ht="17.25" spans="1:7">
      <c r="A110" s="521"/>
      <c r="B110" s="526" t="s">
        <v>63</v>
      </c>
      <c r="C110" s="527" t="s">
        <v>62</v>
      </c>
      <c r="D110" s="511">
        <f>38*D108</f>
        <v>15048</v>
      </c>
      <c r="E110" s="523">
        <f t="shared" ref="E110:E119" si="8">E98</f>
        <v>12.4804472232673</v>
      </c>
      <c r="F110" s="525">
        <f t="shared" si="7"/>
        <v>187805.769815726</v>
      </c>
      <c r="G110" s="524"/>
    </row>
    <row r="111" s="490" customFormat="1" ht="17.25" spans="1:7">
      <c r="A111" s="521"/>
      <c r="B111" s="526" t="s">
        <v>571</v>
      </c>
      <c r="C111" s="527" t="s">
        <v>62</v>
      </c>
      <c r="D111" s="511">
        <f>3.6*D108</f>
        <v>1425.6</v>
      </c>
      <c r="E111" s="523">
        <f t="shared" si="8"/>
        <v>0</v>
      </c>
      <c r="F111" s="525">
        <f t="shared" si="7"/>
        <v>0</v>
      </c>
      <c r="G111" s="524"/>
    </row>
    <row r="112" s="490" customFormat="1" ht="17.25" spans="1:7">
      <c r="A112" s="521"/>
      <c r="B112" s="526" t="s">
        <v>572</v>
      </c>
      <c r="C112" s="527" t="s">
        <v>62</v>
      </c>
      <c r="D112" s="511">
        <f>D111</f>
        <v>1425.6</v>
      </c>
      <c r="E112" s="523">
        <f t="shared" si="8"/>
        <v>0</v>
      </c>
      <c r="F112" s="525">
        <f t="shared" si="7"/>
        <v>0</v>
      </c>
      <c r="G112" s="524"/>
    </row>
    <row r="113" s="490" customFormat="1" ht="17.25" spans="1:7">
      <c r="A113" s="521"/>
      <c r="B113" s="526" t="s">
        <v>560</v>
      </c>
      <c r="C113" s="527" t="s">
        <v>62</v>
      </c>
      <c r="D113" s="511">
        <f>2*D108</f>
        <v>792</v>
      </c>
      <c r="E113" s="523" t="e">
        <f t="shared" si="8"/>
        <v>#REF!</v>
      </c>
      <c r="F113" s="525" t="e">
        <f t="shared" si="7"/>
        <v>#REF!</v>
      </c>
      <c r="G113" s="524"/>
    </row>
    <row r="114" s="490" customFormat="1" ht="17.25" spans="1:7">
      <c r="A114" s="521"/>
      <c r="B114" s="526" t="s">
        <v>561</v>
      </c>
      <c r="C114" s="527" t="s">
        <v>62</v>
      </c>
      <c r="D114" s="511">
        <f>1.25*D108</f>
        <v>495</v>
      </c>
      <c r="E114" s="523" t="e">
        <f t="shared" si="8"/>
        <v>#REF!</v>
      </c>
      <c r="F114" s="525" t="e">
        <f t="shared" si="7"/>
        <v>#REF!</v>
      </c>
      <c r="G114" s="524"/>
    </row>
    <row r="115" s="490" customFormat="1" ht="17.25" spans="1:7">
      <c r="A115" s="521"/>
      <c r="B115" s="526" t="s">
        <v>562</v>
      </c>
      <c r="C115" s="527" t="s">
        <v>559</v>
      </c>
      <c r="D115" s="511">
        <f>15*D108</f>
        <v>5940</v>
      </c>
      <c r="E115" s="523" t="e">
        <f t="shared" si="8"/>
        <v>#REF!</v>
      </c>
      <c r="F115" s="525" t="e">
        <f t="shared" si="7"/>
        <v>#REF!</v>
      </c>
      <c r="G115" s="524"/>
    </row>
    <row r="116" s="490" customFormat="1" ht="17.25" spans="1:7">
      <c r="A116" s="521"/>
      <c r="B116" s="526" t="s">
        <v>563</v>
      </c>
      <c r="C116" s="527" t="s">
        <v>62</v>
      </c>
      <c r="D116" s="511">
        <f>0.1*D108</f>
        <v>39.6</v>
      </c>
      <c r="E116" s="523" t="e">
        <f t="shared" si="8"/>
        <v>#REF!</v>
      </c>
      <c r="F116" s="525" t="e">
        <f t="shared" si="7"/>
        <v>#REF!</v>
      </c>
      <c r="G116" s="524"/>
    </row>
    <row r="117" s="490" customFormat="1" ht="17.25" spans="1:7">
      <c r="A117" s="521"/>
      <c r="B117" s="526" t="s">
        <v>564</v>
      </c>
      <c r="C117" s="527" t="s">
        <v>62</v>
      </c>
      <c r="D117" s="511">
        <f>0.1*D108</f>
        <v>39.6</v>
      </c>
      <c r="E117" s="523">
        <f t="shared" si="8"/>
        <v>79.2891773758467</v>
      </c>
      <c r="F117" s="525">
        <f t="shared" si="7"/>
        <v>3139.85142408353</v>
      </c>
      <c r="G117" s="524"/>
    </row>
    <row r="118" s="490" customFormat="1" ht="17.25" spans="1:7">
      <c r="A118" s="521"/>
      <c r="B118" s="526" t="s">
        <v>565</v>
      </c>
      <c r="C118" s="527" t="s">
        <v>62</v>
      </c>
      <c r="D118" s="511">
        <f>2.4*D108</f>
        <v>950.4</v>
      </c>
      <c r="E118" s="523" t="e">
        <f t="shared" si="8"/>
        <v>#REF!</v>
      </c>
      <c r="F118" s="525" t="e">
        <f t="shared" si="7"/>
        <v>#REF!</v>
      </c>
      <c r="G118" s="524"/>
    </row>
    <row r="119" s="490" customFormat="1" ht="17.25" spans="1:7">
      <c r="A119" s="521"/>
      <c r="B119" s="526" t="s">
        <v>566</v>
      </c>
      <c r="C119" s="527" t="s">
        <v>559</v>
      </c>
      <c r="D119" s="511">
        <f>8*D108</f>
        <v>3168</v>
      </c>
      <c r="E119" s="523" t="e">
        <f t="shared" si="8"/>
        <v>#REF!</v>
      </c>
      <c r="F119" s="525" t="e">
        <f t="shared" si="7"/>
        <v>#REF!</v>
      </c>
      <c r="G119" s="524"/>
    </row>
    <row r="120" s="490" customFormat="1" ht="17.25" spans="1:7">
      <c r="A120" s="521">
        <v>3.4</v>
      </c>
      <c r="B120" s="522" t="s">
        <v>575</v>
      </c>
      <c r="C120" s="521" t="s">
        <v>90</v>
      </c>
      <c r="D120" s="523">
        <v>386</v>
      </c>
      <c r="E120" s="523"/>
      <c r="F120" s="525" t="e">
        <f>SUM(F121:F131)</f>
        <v>#REF!</v>
      </c>
      <c r="G120" s="524"/>
    </row>
    <row r="121" s="490" customFormat="1" ht="17.25" spans="1:7">
      <c r="A121" s="521"/>
      <c r="B121" s="526" t="s">
        <v>61</v>
      </c>
      <c r="C121" s="527" t="s">
        <v>62</v>
      </c>
      <c r="D121" s="511">
        <f>10*D120</f>
        <v>3860</v>
      </c>
      <c r="E121" s="523" t="e">
        <f>E109</f>
        <v>#REF!</v>
      </c>
      <c r="F121" s="525" t="e">
        <f t="shared" si="7"/>
        <v>#REF!</v>
      </c>
      <c r="G121" s="524"/>
    </row>
    <row r="122" s="490" customFormat="1" ht="17.25" spans="1:7">
      <c r="A122" s="521"/>
      <c r="B122" s="526" t="s">
        <v>63</v>
      </c>
      <c r="C122" s="527" t="s">
        <v>62</v>
      </c>
      <c r="D122" s="511">
        <f>38*D120</f>
        <v>14668</v>
      </c>
      <c r="E122" s="523">
        <f t="shared" ref="E122:E131" si="9">E110</f>
        <v>12.4804472232673</v>
      </c>
      <c r="F122" s="525">
        <f t="shared" si="7"/>
        <v>183063.199870885</v>
      </c>
      <c r="G122" s="524"/>
    </row>
    <row r="123" s="490" customFormat="1" ht="17.25" spans="1:7">
      <c r="A123" s="521"/>
      <c r="B123" s="526" t="s">
        <v>571</v>
      </c>
      <c r="C123" s="527" t="s">
        <v>62</v>
      </c>
      <c r="D123" s="511">
        <f>3.6*D120</f>
        <v>1389.6</v>
      </c>
      <c r="E123" s="523">
        <f t="shared" si="9"/>
        <v>0</v>
      </c>
      <c r="F123" s="525">
        <f t="shared" si="7"/>
        <v>0</v>
      </c>
      <c r="G123" s="524"/>
    </row>
    <row r="124" s="490" customFormat="1" ht="17.25" spans="1:7">
      <c r="A124" s="521"/>
      <c r="B124" s="526" t="s">
        <v>572</v>
      </c>
      <c r="C124" s="527" t="s">
        <v>62</v>
      </c>
      <c r="D124" s="511">
        <f>D123</f>
        <v>1389.6</v>
      </c>
      <c r="E124" s="523">
        <f t="shared" si="9"/>
        <v>0</v>
      </c>
      <c r="F124" s="525">
        <f t="shared" si="7"/>
        <v>0</v>
      </c>
      <c r="G124" s="524"/>
    </row>
    <row r="125" s="490" customFormat="1" ht="17.25" spans="1:7">
      <c r="A125" s="521"/>
      <c r="B125" s="526" t="s">
        <v>560</v>
      </c>
      <c r="C125" s="527" t="s">
        <v>62</v>
      </c>
      <c r="D125" s="511">
        <f>2*D120</f>
        <v>772</v>
      </c>
      <c r="E125" s="523" t="e">
        <f t="shared" si="9"/>
        <v>#REF!</v>
      </c>
      <c r="F125" s="525" t="e">
        <f t="shared" si="7"/>
        <v>#REF!</v>
      </c>
      <c r="G125" s="524"/>
    </row>
    <row r="126" s="490" customFormat="1" ht="17.25" spans="1:7">
      <c r="A126" s="521"/>
      <c r="B126" s="526" t="s">
        <v>561</v>
      </c>
      <c r="C126" s="527" t="s">
        <v>62</v>
      </c>
      <c r="D126" s="511">
        <f>1.25*D120</f>
        <v>482.5</v>
      </c>
      <c r="E126" s="523" t="e">
        <f t="shared" si="9"/>
        <v>#REF!</v>
      </c>
      <c r="F126" s="525" t="e">
        <f t="shared" si="7"/>
        <v>#REF!</v>
      </c>
      <c r="G126" s="524"/>
    </row>
    <row r="127" s="490" customFormat="1" ht="17.25" spans="1:7">
      <c r="A127" s="521"/>
      <c r="B127" s="526" t="s">
        <v>562</v>
      </c>
      <c r="C127" s="527" t="s">
        <v>559</v>
      </c>
      <c r="D127" s="511">
        <f>15*D120</f>
        <v>5790</v>
      </c>
      <c r="E127" s="523" t="e">
        <f t="shared" si="9"/>
        <v>#REF!</v>
      </c>
      <c r="F127" s="525" t="e">
        <f t="shared" si="7"/>
        <v>#REF!</v>
      </c>
      <c r="G127" s="524"/>
    </row>
    <row r="128" s="490" customFormat="1" ht="17.25" spans="1:7">
      <c r="A128" s="521"/>
      <c r="B128" s="526" t="s">
        <v>563</v>
      </c>
      <c r="C128" s="527" t="s">
        <v>62</v>
      </c>
      <c r="D128" s="511">
        <f>0.1*D120</f>
        <v>38.6</v>
      </c>
      <c r="E128" s="523" t="e">
        <f t="shared" si="9"/>
        <v>#REF!</v>
      </c>
      <c r="F128" s="525" t="e">
        <f t="shared" si="7"/>
        <v>#REF!</v>
      </c>
      <c r="G128" s="524"/>
    </row>
    <row r="129" s="490" customFormat="1" ht="17.25" spans="1:7">
      <c r="A129" s="521"/>
      <c r="B129" s="526" t="s">
        <v>564</v>
      </c>
      <c r="C129" s="527" t="s">
        <v>62</v>
      </c>
      <c r="D129" s="511">
        <f>0.1*D120</f>
        <v>38.6</v>
      </c>
      <c r="E129" s="523">
        <f t="shared" si="9"/>
        <v>79.2891773758467</v>
      </c>
      <c r="F129" s="525">
        <f t="shared" si="7"/>
        <v>3060.56224670768</v>
      </c>
      <c r="G129" s="524"/>
    </row>
    <row r="130" s="490" customFormat="1" ht="17.25" spans="1:7">
      <c r="A130" s="521"/>
      <c r="B130" s="526" t="s">
        <v>565</v>
      </c>
      <c r="C130" s="527" t="s">
        <v>62</v>
      </c>
      <c r="D130" s="511">
        <f>2.4*D120</f>
        <v>926.4</v>
      </c>
      <c r="E130" s="523" t="e">
        <f t="shared" si="9"/>
        <v>#REF!</v>
      </c>
      <c r="F130" s="525" t="e">
        <f t="shared" si="7"/>
        <v>#REF!</v>
      </c>
      <c r="G130" s="524"/>
    </row>
    <row r="131" s="490" customFormat="1" ht="17.25" spans="1:7">
      <c r="A131" s="521"/>
      <c r="B131" s="526" t="s">
        <v>566</v>
      </c>
      <c r="C131" s="527" t="s">
        <v>559</v>
      </c>
      <c r="D131" s="511">
        <f>8*D120</f>
        <v>3088</v>
      </c>
      <c r="E131" s="523" t="e">
        <f t="shared" si="9"/>
        <v>#REF!</v>
      </c>
      <c r="F131" s="525" t="e">
        <f t="shared" si="7"/>
        <v>#REF!</v>
      </c>
      <c r="G131" s="524"/>
    </row>
    <row r="132" s="490" customFormat="1" ht="17.25" spans="1:7">
      <c r="A132" s="521">
        <v>3.5</v>
      </c>
      <c r="B132" s="522" t="s">
        <v>576</v>
      </c>
      <c r="C132" s="521" t="s">
        <v>90</v>
      </c>
      <c r="D132" s="523">
        <v>403</v>
      </c>
      <c r="E132" s="523"/>
      <c r="F132" s="525" t="e">
        <f>SUM(F133:F143)</f>
        <v>#REF!</v>
      </c>
      <c r="G132" s="524"/>
    </row>
    <row r="133" s="490" customFormat="1" ht="17.25" spans="1:7">
      <c r="A133" s="521"/>
      <c r="B133" s="526" t="s">
        <v>61</v>
      </c>
      <c r="C133" s="527" t="s">
        <v>62</v>
      </c>
      <c r="D133" s="511">
        <f>10*D132</f>
        <v>4030</v>
      </c>
      <c r="E133" s="523" t="e">
        <f>E121</f>
        <v>#REF!</v>
      </c>
      <c r="F133" s="525" t="e">
        <f t="shared" si="7"/>
        <v>#REF!</v>
      </c>
      <c r="G133" s="524"/>
    </row>
    <row r="134" s="490" customFormat="1" ht="17.25" spans="1:7">
      <c r="A134" s="521"/>
      <c r="B134" s="526" t="s">
        <v>63</v>
      </c>
      <c r="C134" s="527" t="s">
        <v>62</v>
      </c>
      <c r="D134" s="511">
        <f>38*D132</f>
        <v>15314</v>
      </c>
      <c r="E134" s="523">
        <f t="shared" ref="E134:E143" si="10">E122</f>
        <v>12.4804472232673</v>
      </c>
      <c r="F134" s="525">
        <f t="shared" si="7"/>
        <v>191125.568777115</v>
      </c>
      <c r="G134" s="524"/>
    </row>
    <row r="135" s="490" customFormat="1" ht="17.25" spans="1:7">
      <c r="A135" s="521"/>
      <c r="B135" s="526" t="s">
        <v>571</v>
      </c>
      <c r="C135" s="527" t="s">
        <v>62</v>
      </c>
      <c r="D135" s="511">
        <f>3.6*D132</f>
        <v>1450.8</v>
      </c>
      <c r="E135" s="523">
        <f t="shared" si="10"/>
        <v>0</v>
      </c>
      <c r="F135" s="525">
        <f t="shared" si="7"/>
        <v>0</v>
      </c>
      <c r="G135" s="524"/>
    </row>
    <row r="136" s="490" customFormat="1" ht="17.25" spans="1:7">
      <c r="A136" s="521"/>
      <c r="B136" s="526" t="s">
        <v>572</v>
      </c>
      <c r="C136" s="527" t="s">
        <v>62</v>
      </c>
      <c r="D136" s="511">
        <f>D135</f>
        <v>1450.8</v>
      </c>
      <c r="E136" s="523">
        <f t="shared" si="10"/>
        <v>0</v>
      </c>
      <c r="F136" s="525">
        <f t="shared" si="7"/>
        <v>0</v>
      </c>
      <c r="G136" s="524"/>
    </row>
    <row r="137" s="490" customFormat="1" ht="17.25" spans="1:7">
      <c r="A137" s="521"/>
      <c r="B137" s="526" t="s">
        <v>560</v>
      </c>
      <c r="C137" s="527" t="s">
        <v>62</v>
      </c>
      <c r="D137" s="511">
        <f>2*D132</f>
        <v>806</v>
      </c>
      <c r="E137" s="523" t="e">
        <f t="shared" si="10"/>
        <v>#REF!</v>
      </c>
      <c r="F137" s="525" t="e">
        <f t="shared" si="7"/>
        <v>#REF!</v>
      </c>
      <c r="G137" s="524"/>
    </row>
    <row r="138" s="490" customFormat="1" ht="17.25" spans="1:7">
      <c r="A138" s="521"/>
      <c r="B138" s="526" t="s">
        <v>561</v>
      </c>
      <c r="C138" s="527" t="s">
        <v>62</v>
      </c>
      <c r="D138" s="511">
        <f>1.25*D132</f>
        <v>503.75</v>
      </c>
      <c r="E138" s="523" t="e">
        <f t="shared" si="10"/>
        <v>#REF!</v>
      </c>
      <c r="F138" s="525" t="e">
        <f t="shared" si="7"/>
        <v>#REF!</v>
      </c>
      <c r="G138" s="524"/>
    </row>
    <row r="139" s="490" customFormat="1" ht="17.25" spans="1:7">
      <c r="A139" s="521"/>
      <c r="B139" s="526" t="s">
        <v>562</v>
      </c>
      <c r="C139" s="527" t="s">
        <v>559</v>
      </c>
      <c r="D139" s="511">
        <f>15*D132</f>
        <v>6045</v>
      </c>
      <c r="E139" s="523" t="e">
        <f t="shared" si="10"/>
        <v>#REF!</v>
      </c>
      <c r="F139" s="525" t="e">
        <f t="shared" si="7"/>
        <v>#REF!</v>
      </c>
      <c r="G139" s="524"/>
    </row>
    <row r="140" s="490" customFormat="1" ht="17.25" spans="1:7">
      <c r="A140" s="521"/>
      <c r="B140" s="526" t="s">
        <v>563</v>
      </c>
      <c r="C140" s="527" t="s">
        <v>62</v>
      </c>
      <c r="D140" s="511">
        <f>0.1*D132</f>
        <v>40.3</v>
      </c>
      <c r="E140" s="523" t="e">
        <f t="shared" si="10"/>
        <v>#REF!</v>
      </c>
      <c r="F140" s="525" t="e">
        <f t="shared" si="7"/>
        <v>#REF!</v>
      </c>
      <c r="G140" s="524"/>
    </row>
    <row r="141" s="490" customFormat="1" ht="17.25" spans="1:7">
      <c r="A141" s="521"/>
      <c r="B141" s="526" t="s">
        <v>564</v>
      </c>
      <c r="C141" s="527" t="s">
        <v>62</v>
      </c>
      <c r="D141" s="511">
        <f>0.1*D132</f>
        <v>40.3</v>
      </c>
      <c r="E141" s="523">
        <f t="shared" si="10"/>
        <v>79.2891773758467</v>
      </c>
      <c r="F141" s="525">
        <f t="shared" si="7"/>
        <v>3195.35384824662</v>
      </c>
      <c r="G141" s="524"/>
    </row>
    <row r="142" s="490" customFormat="1" ht="17.25" spans="1:7">
      <c r="A142" s="521"/>
      <c r="B142" s="526" t="s">
        <v>565</v>
      </c>
      <c r="C142" s="527" t="s">
        <v>62</v>
      </c>
      <c r="D142" s="511">
        <f>2.4*D132</f>
        <v>967.2</v>
      </c>
      <c r="E142" s="523" t="e">
        <f t="shared" si="10"/>
        <v>#REF!</v>
      </c>
      <c r="F142" s="525" t="e">
        <f t="shared" si="7"/>
        <v>#REF!</v>
      </c>
      <c r="G142" s="524"/>
    </row>
    <row r="143" s="490" customFormat="1" ht="17.25" spans="1:7">
      <c r="A143" s="521"/>
      <c r="B143" s="526" t="s">
        <v>566</v>
      </c>
      <c r="C143" s="527" t="s">
        <v>559</v>
      </c>
      <c r="D143" s="511">
        <f>8*D132</f>
        <v>3224</v>
      </c>
      <c r="E143" s="523" t="e">
        <f t="shared" si="10"/>
        <v>#REF!</v>
      </c>
      <c r="F143" s="525" t="e">
        <f t="shared" si="7"/>
        <v>#REF!</v>
      </c>
      <c r="G143" s="524"/>
    </row>
    <row r="144" s="490" customFormat="1" ht="17.25" spans="1:7">
      <c r="A144" s="521">
        <v>3.6</v>
      </c>
      <c r="B144" s="522" t="s">
        <v>577</v>
      </c>
      <c r="C144" s="521" t="s">
        <v>90</v>
      </c>
      <c r="D144" s="523">
        <v>381</v>
      </c>
      <c r="E144" s="523"/>
      <c r="F144" s="525" t="e">
        <f>SUM(F145:F155)</f>
        <v>#REF!</v>
      </c>
      <c r="G144" s="524"/>
    </row>
    <row r="145" s="490" customFormat="1" ht="17.25" spans="1:7">
      <c r="A145" s="521"/>
      <c r="B145" s="526" t="s">
        <v>61</v>
      </c>
      <c r="C145" s="527" t="s">
        <v>62</v>
      </c>
      <c r="D145" s="511">
        <f>10*D144</f>
        <v>3810</v>
      </c>
      <c r="E145" s="523" t="e">
        <f>E133</f>
        <v>#REF!</v>
      </c>
      <c r="F145" s="525" t="e">
        <f t="shared" si="7"/>
        <v>#REF!</v>
      </c>
      <c r="G145" s="524"/>
    </row>
    <row r="146" s="490" customFormat="1" ht="17.25" spans="1:7">
      <c r="A146" s="521"/>
      <c r="B146" s="526" t="s">
        <v>63</v>
      </c>
      <c r="C146" s="527" t="s">
        <v>62</v>
      </c>
      <c r="D146" s="511">
        <f>38*D144</f>
        <v>14478</v>
      </c>
      <c r="E146" s="523">
        <f t="shared" ref="E146:E155" si="11">E134</f>
        <v>12.4804472232673</v>
      </c>
      <c r="F146" s="525">
        <f t="shared" si="7"/>
        <v>180691.914898464</v>
      </c>
      <c r="G146" s="524"/>
    </row>
    <row r="147" s="490" customFormat="1" ht="17.25" spans="1:7">
      <c r="A147" s="521"/>
      <c r="B147" s="526" t="s">
        <v>571</v>
      </c>
      <c r="C147" s="527" t="s">
        <v>62</v>
      </c>
      <c r="D147" s="511">
        <f>3.6*D144</f>
        <v>1371.6</v>
      </c>
      <c r="E147" s="523">
        <f t="shared" si="11"/>
        <v>0</v>
      </c>
      <c r="F147" s="525">
        <f t="shared" si="7"/>
        <v>0</v>
      </c>
      <c r="G147" s="524"/>
    </row>
    <row r="148" s="490" customFormat="1" ht="17.25" spans="1:7">
      <c r="A148" s="521"/>
      <c r="B148" s="526" t="s">
        <v>572</v>
      </c>
      <c r="C148" s="527" t="s">
        <v>62</v>
      </c>
      <c r="D148" s="511">
        <f>D147</f>
        <v>1371.6</v>
      </c>
      <c r="E148" s="523">
        <f t="shared" si="11"/>
        <v>0</v>
      </c>
      <c r="F148" s="525">
        <f t="shared" si="7"/>
        <v>0</v>
      </c>
      <c r="G148" s="524"/>
    </row>
    <row r="149" s="490" customFormat="1" ht="17.25" spans="1:7">
      <c r="A149" s="521"/>
      <c r="B149" s="526" t="s">
        <v>560</v>
      </c>
      <c r="C149" s="527" t="s">
        <v>62</v>
      </c>
      <c r="D149" s="511">
        <f>2*D144</f>
        <v>762</v>
      </c>
      <c r="E149" s="523" t="e">
        <f t="shared" si="11"/>
        <v>#REF!</v>
      </c>
      <c r="F149" s="525" t="e">
        <f t="shared" si="7"/>
        <v>#REF!</v>
      </c>
      <c r="G149" s="524"/>
    </row>
    <row r="150" s="490" customFormat="1" ht="17.25" spans="1:7">
      <c r="A150" s="521"/>
      <c r="B150" s="526" t="s">
        <v>561</v>
      </c>
      <c r="C150" s="527" t="s">
        <v>62</v>
      </c>
      <c r="D150" s="511">
        <f>1.25*D144</f>
        <v>476.25</v>
      </c>
      <c r="E150" s="523" t="e">
        <f t="shared" si="11"/>
        <v>#REF!</v>
      </c>
      <c r="F150" s="525" t="e">
        <f t="shared" si="7"/>
        <v>#REF!</v>
      </c>
      <c r="G150" s="524"/>
    </row>
    <row r="151" s="490" customFormat="1" ht="17.25" spans="1:7">
      <c r="A151" s="521"/>
      <c r="B151" s="526" t="s">
        <v>562</v>
      </c>
      <c r="C151" s="527" t="s">
        <v>559</v>
      </c>
      <c r="D151" s="511">
        <f>15*D144</f>
        <v>5715</v>
      </c>
      <c r="E151" s="523" t="e">
        <f t="shared" si="11"/>
        <v>#REF!</v>
      </c>
      <c r="F151" s="525" t="e">
        <f t="shared" si="7"/>
        <v>#REF!</v>
      </c>
      <c r="G151" s="524"/>
    </row>
    <row r="152" s="490" customFormat="1" ht="17.25" spans="1:7">
      <c r="A152" s="521"/>
      <c r="B152" s="526" t="s">
        <v>563</v>
      </c>
      <c r="C152" s="527" t="s">
        <v>62</v>
      </c>
      <c r="D152" s="511">
        <f>0.1*D144</f>
        <v>38.1</v>
      </c>
      <c r="E152" s="523" t="e">
        <f t="shared" si="11"/>
        <v>#REF!</v>
      </c>
      <c r="F152" s="525" t="e">
        <f t="shared" si="7"/>
        <v>#REF!</v>
      </c>
      <c r="G152" s="524"/>
    </row>
    <row r="153" s="490" customFormat="1" ht="17.25" spans="1:7">
      <c r="A153" s="521"/>
      <c r="B153" s="526" t="s">
        <v>564</v>
      </c>
      <c r="C153" s="527" t="s">
        <v>62</v>
      </c>
      <c r="D153" s="511">
        <f>0.1*D144</f>
        <v>38.1</v>
      </c>
      <c r="E153" s="523">
        <f t="shared" si="11"/>
        <v>79.2891773758467</v>
      </c>
      <c r="F153" s="525">
        <f t="shared" si="7"/>
        <v>3020.91765801976</v>
      </c>
      <c r="G153" s="524"/>
    </row>
    <row r="154" s="490" customFormat="1" ht="17.25" spans="1:7">
      <c r="A154" s="521"/>
      <c r="B154" s="526" t="s">
        <v>565</v>
      </c>
      <c r="C154" s="527" t="s">
        <v>62</v>
      </c>
      <c r="D154" s="511">
        <f>2.4*D144</f>
        <v>914.4</v>
      </c>
      <c r="E154" s="523" t="e">
        <f t="shared" si="11"/>
        <v>#REF!</v>
      </c>
      <c r="F154" s="525" t="e">
        <f t="shared" si="7"/>
        <v>#REF!</v>
      </c>
      <c r="G154" s="524"/>
    </row>
    <row r="155" s="490" customFormat="1" ht="17.25" spans="1:7">
      <c r="A155" s="521"/>
      <c r="B155" s="526" t="s">
        <v>566</v>
      </c>
      <c r="C155" s="527" t="s">
        <v>559</v>
      </c>
      <c r="D155" s="511">
        <f>8*D144</f>
        <v>3048</v>
      </c>
      <c r="E155" s="523" t="e">
        <f t="shared" si="11"/>
        <v>#REF!</v>
      </c>
      <c r="F155" s="525" t="e">
        <f t="shared" si="7"/>
        <v>#REF!</v>
      </c>
      <c r="G155" s="524"/>
    </row>
    <row r="156" s="490" customFormat="1" ht="17.25" spans="1:7">
      <c r="A156" s="521">
        <v>3.7</v>
      </c>
      <c r="B156" s="522" t="s">
        <v>578</v>
      </c>
      <c r="C156" s="521" t="s">
        <v>90</v>
      </c>
      <c r="D156" s="523">
        <v>411</v>
      </c>
      <c r="E156" s="523"/>
      <c r="F156" s="525" t="e">
        <f>SUM(F157:F167)</f>
        <v>#REF!</v>
      </c>
      <c r="G156" s="524"/>
    </row>
    <row r="157" s="490" customFormat="1" ht="17.25" spans="1:7">
      <c r="A157" s="521"/>
      <c r="B157" s="526" t="s">
        <v>61</v>
      </c>
      <c r="C157" s="527" t="s">
        <v>62</v>
      </c>
      <c r="D157" s="511">
        <f>10*D156</f>
        <v>4110</v>
      </c>
      <c r="E157" s="523" t="e">
        <f>E145</f>
        <v>#REF!</v>
      </c>
      <c r="F157" s="525" t="e">
        <f t="shared" si="7"/>
        <v>#REF!</v>
      </c>
      <c r="G157" s="524"/>
    </row>
    <row r="158" s="490" customFormat="1" ht="17.25" spans="1:7">
      <c r="A158" s="521"/>
      <c r="B158" s="526" t="s">
        <v>63</v>
      </c>
      <c r="C158" s="527" t="s">
        <v>62</v>
      </c>
      <c r="D158" s="511">
        <f>38*D156</f>
        <v>15618</v>
      </c>
      <c r="E158" s="523">
        <f t="shared" ref="E158:E167" si="12">E146</f>
        <v>12.4804472232673</v>
      </c>
      <c r="F158" s="525">
        <f t="shared" si="7"/>
        <v>194919.624732989</v>
      </c>
      <c r="G158" s="524"/>
    </row>
    <row r="159" s="490" customFormat="1" ht="17.25" spans="1:7">
      <c r="A159" s="521"/>
      <c r="B159" s="526" t="s">
        <v>571</v>
      </c>
      <c r="C159" s="527" t="s">
        <v>62</v>
      </c>
      <c r="D159" s="511">
        <f>3.6*D156</f>
        <v>1479.6</v>
      </c>
      <c r="E159" s="523">
        <f t="shared" si="12"/>
        <v>0</v>
      </c>
      <c r="F159" s="525">
        <f t="shared" si="7"/>
        <v>0</v>
      </c>
      <c r="G159" s="524"/>
    </row>
    <row r="160" s="490" customFormat="1" ht="17.25" spans="1:7">
      <c r="A160" s="521"/>
      <c r="B160" s="526" t="s">
        <v>572</v>
      </c>
      <c r="C160" s="527" t="s">
        <v>62</v>
      </c>
      <c r="D160" s="511">
        <f>D159</f>
        <v>1479.6</v>
      </c>
      <c r="E160" s="523">
        <f t="shared" si="12"/>
        <v>0</v>
      </c>
      <c r="F160" s="525">
        <f t="shared" si="7"/>
        <v>0</v>
      </c>
      <c r="G160" s="524"/>
    </row>
    <row r="161" s="490" customFormat="1" ht="17.25" spans="1:7">
      <c r="A161" s="521"/>
      <c r="B161" s="526" t="s">
        <v>560</v>
      </c>
      <c r="C161" s="527" t="s">
        <v>62</v>
      </c>
      <c r="D161" s="511">
        <f>2*D156</f>
        <v>822</v>
      </c>
      <c r="E161" s="523" t="e">
        <f t="shared" si="12"/>
        <v>#REF!</v>
      </c>
      <c r="F161" s="525" t="e">
        <f t="shared" si="7"/>
        <v>#REF!</v>
      </c>
      <c r="G161" s="524"/>
    </row>
    <row r="162" s="490" customFormat="1" ht="17.25" spans="1:7">
      <c r="A162" s="521"/>
      <c r="B162" s="526" t="s">
        <v>561</v>
      </c>
      <c r="C162" s="527" t="s">
        <v>62</v>
      </c>
      <c r="D162" s="511">
        <f>1.25*D156</f>
        <v>513.75</v>
      </c>
      <c r="E162" s="523" t="e">
        <f t="shared" si="12"/>
        <v>#REF!</v>
      </c>
      <c r="F162" s="525" t="e">
        <f t="shared" si="7"/>
        <v>#REF!</v>
      </c>
      <c r="G162" s="524"/>
    </row>
    <row r="163" s="490" customFormat="1" ht="17.25" spans="1:7">
      <c r="A163" s="521"/>
      <c r="B163" s="526" t="s">
        <v>562</v>
      </c>
      <c r="C163" s="527" t="s">
        <v>559</v>
      </c>
      <c r="D163" s="511">
        <f>15*D156</f>
        <v>6165</v>
      </c>
      <c r="E163" s="523" t="e">
        <f t="shared" si="12"/>
        <v>#REF!</v>
      </c>
      <c r="F163" s="525" t="e">
        <f t="shared" si="7"/>
        <v>#REF!</v>
      </c>
      <c r="G163" s="524"/>
    </row>
    <row r="164" s="490" customFormat="1" ht="17.25" spans="1:7">
      <c r="A164" s="521"/>
      <c r="B164" s="526" t="s">
        <v>563</v>
      </c>
      <c r="C164" s="527" t="s">
        <v>62</v>
      </c>
      <c r="D164" s="511">
        <f>0.1*D156</f>
        <v>41.1</v>
      </c>
      <c r="E164" s="523" t="e">
        <f t="shared" si="12"/>
        <v>#REF!</v>
      </c>
      <c r="F164" s="525" t="e">
        <f t="shared" si="7"/>
        <v>#REF!</v>
      </c>
      <c r="G164" s="524"/>
    </row>
    <row r="165" s="490" customFormat="1" ht="17.25" spans="1:7">
      <c r="A165" s="521"/>
      <c r="B165" s="526" t="s">
        <v>564</v>
      </c>
      <c r="C165" s="527" t="s">
        <v>62</v>
      </c>
      <c r="D165" s="511">
        <f>0.1*D156</f>
        <v>41.1</v>
      </c>
      <c r="E165" s="523">
        <f t="shared" si="12"/>
        <v>79.2891773758467</v>
      </c>
      <c r="F165" s="525">
        <f t="shared" si="7"/>
        <v>3258.7851901473</v>
      </c>
      <c r="G165" s="524"/>
    </row>
    <row r="166" s="490" customFormat="1" ht="17.25" spans="1:7">
      <c r="A166" s="521"/>
      <c r="B166" s="526" t="s">
        <v>565</v>
      </c>
      <c r="C166" s="527" t="s">
        <v>62</v>
      </c>
      <c r="D166" s="511">
        <f>2.4*D156</f>
        <v>986.4</v>
      </c>
      <c r="E166" s="523" t="e">
        <f t="shared" si="12"/>
        <v>#REF!</v>
      </c>
      <c r="F166" s="525" t="e">
        <f t="shared" si="7"/>
        <v>#REF!</v>
      </c>
      <c r="G166" s="524"/>
    </row>
    <row r="167" s="490" customFormat="1" ht="17.25" spans="1:7">
      <c r="A167" s="521"/>
      <c r="B167" s="526" t="s">
        <v>566</v>
      </c>
      <c r="C167" s="527" t="s">
        <v>559</v>
      </c>
      <c r="D167" s="511">
        <f>8*D156</f>
        <v>3288</v>
      </c>
      <c r="E167" s="523" t="e">
        <f t="shared" si="12"/>
        <v>#REF!</v>
      </c>
      <c r="F167" s="525" t="e">
        <f t="shared" si="7"/>
        <v>#REF!</v>
      </c>
      <c r="G167" s="524"/>
    </row>
    <row r="168" s="490" customFormat="1" ht="17.25" spans="1:7">
      <c r="A168" s="521">
        <v>3.8</v>
      </c>
      <c r="B168" s="522" t="s">
        <v>579</v>
      </c>
      <c r="C168" s="521" t="s">
        <v>90</v>
      </c>
      <c r="D168" s="523">
        <v>417</v>
      </c>
      <c r="E168" s="523"/>
      <c r="F168" s="525" t="e">
        <f>SUM(F169:F179)</f>
        <v>#REF!</v>
      </c>
      <c r="G168" s="524"/>
    </row>
    <row r="169" s="490" customFormat="1" ht="17.25" spans="1:7">
      <c r="A169" s="521"/>
      <c r="B169" s="526" t="s">
        <v>61</v>
      </c>
      <c r="C169" s="527" t="s">
        <v>62</v>
      </c>
      <c r="D169" s="511">
        <f>10*D168</f>
        <v>4170</v>
      </c>
      <c r="E169" s="523" t="e">
        <f>E157</f>
        <v>#REF!</v>
      </c>
      <c r="F169" s="525" t="e">
        <f t="shared" ref="F169:F231" si="13">D169*E169</f>
        <v>#REF!</v>
      </c>
      <c r="G169" s="524"/>
    </row>
    <row r="170" s="490" customFormat="1" ht="17.25" spans="1:7">
      <c r="A170" s="521"/>
      <c r="B170" s="526" t="s">
        <v>63</v>
      </c>
      <c r="C170" s="527" t="s">
        <v>62</v>
      </c>
      <c r="D170" s="511">
        <f>38*D168</f>
        <v>15846</v>
      </c>
      <c r="E170" s="523">
        <f t="shared" ref="E170:E179" si="14">E158</f>
        <v>12.4804472232673</v>
      </c>
      <c r="F170" s="525">
        <f t="shared" si="13"/>
        <v>197765.166699893</v>
      </c>
      <c r="G170" s="524"/>
    </row>
    <row r="171" s="490" customFormat="1" ht="17.25" spans="1:7">
      <c r="A171" s="521"/>
      <c r="B171" s="526" t="s">
        <v>571</v>
      </c>
      <c r="C171" s="527" t="s">
        <v>62</v>
      </c>
      <c r="D171" s="511">
        <f>3.6*D168</f>
        <v>1501.2</v>
      </c>
      <c r="E171" s="523">
        <f t="shared" si="14"/>
        <v>0</v>
      </c>
      <c r="F171" s="525">
        <f t="shared" si="13"/>
        <v>0</v>
      </c>
      <c r="G171" s="524"/>
    </row>
    <row r="172" s="490" customFormat="1" ht="17.25" spans="1:7">
      <c r="A172" s="521"/>
      <c r="B172" s="526" t="s">
        <v>572</v>
      </c>
      <c r="C172" s="527" t="s">
        <v>62</v>
      </c>
      <c r="D172" s="511">
        <f>D171</f>
        <v>1501.2</v>
      </c>
      <c r="E172" s="523">
        <f t="shared" si="14"/>
        <v>0</v>
      </c>
      <c r="F172" s="525">
        <f t="shared" si="13"/>
        <v>0</v>
      </c>
      <c r="G172" s="524"/>
    </row>
    <row r="173" s="490" customFormat="1" ht="17.25" spans="1:7">
      <c r="A173" s="521"/>
      <c r="B173" s="526" t="s">
        <v>560</v>
      </c>
      <c r="C173" s="527" t="s">
        <v>62</v>
      </c>
      <c r="D173" s="511">
        <f>2*D168</f>
        <v>834</v>
      </c>
      <c r="E173" s="523" t="e">
        <f t="shared" si="14"/>
        <v>#REF!</v>
      </c>
      <c r="F173" s="525" t="e">
        <f t="shared" si="13"/>
        <v>#REF!</v>
      </c>
      <c r="G173" s="524"/>
    </row>
    <row r="174" s="490" customFormat="1" ht="17.25" spans="1:7">
      <c r="A174" s="521"/>
      <c r="B174" s="526" t="s">
        <v>561</v>
      </c>
      <c r="C174" s="527" t="s">
        <v>62</v>
      </c>
      <c r="D174" s="511">
        <f>1.25*D168</f>
        <v>521.25</v>
      </c>
      <c r="E174" s="523" t="e">
        <f t="shared" si="14"/>
        <v>#REF!</v>
      </c>
      <c r="F174" s="525" t="e">
        <f t="shared" si="13"/>
        <v>#REF!</v>
      </c>
      <c r="G174" s="524"/>
    </row>
    <row r="175" s="490" customFormat="1" ht="17.25" spans="1:7">
      <c r="A175" s="521"/>
      <c r="B175" s="526" t="s">
        <v>562</v>
      </c>
      <c r="C175" s="527" t="s">
        <v>559</v>
      </c>
      <c r="D175" s="511">
        <f>15*D168</f>
        <v>6255</v>
      </c>
      <c r="E175" s="523" t="e">
        <f t="shared" si="14"/>
        <v>#REF!</v>
      </c>
      <c r="F175" s="525" t="e">
        <f t="shared" si="13"/>
        <v>#REF!</v>
      </c>
      <c r="G175" s="524"/>
    </row>
    <row r="176" s="490" customFormat="1" ht="17.25" spans="1:7">
      <c r="A176" s="521"/>
      <c r="B176" s="526" t="s">
        <v>563</v>
      </c>
      <c r="C176" s="527" t="s">
        <v>62</v>
      </c>
      <c r="D176" s="511">
        <f>0.1*D168</f>
        <v>41.7</v>
      </c>
      <c r="E176" s="523" t="e">
        <f t="shared" si="14"/>
        <v>#REF!</v>
      </c>
      <c r="F176" s="525" t="e">
        <f t="shared" si="13"/>
        <v>#REF!</v>
      </c>
      <c r="G176" s="524"/>
    </row>
    <row r="177" s="490" customFormat="1" ht="17.25" spans="1:7">
      <c r="A177" s="521"/>
      <c r="B177" s="526" t="s">
        <v>564</v>
      </c>
      <c r="C177" s="527" t="s">
        <v>62</v>
      </c>
      <c r="D177" s="511">
        <f>0.1*D168</f>
        <v>41.7</v>
      </c>
      <c r="E177" s="523">
        <f t="shared" si="14"/>
        <v>79.2891773758467</v>
      </c>
      <c r="F177" s="525">
        <f t="shared" si="13"/>
        <v>3306.35869657281</v>
      </c>
      <c r="G177" s="524"/>
    </row>
    <row r="178" s="490" customFormat="1" ht="17.25" spans="1:7">
      <c r="A178" s="521"/>
      <c r="B178" s="526" t="s">
        <v>565</v>
      </c>
      <c r="C178" s="527" t="s">
        <v>62</v>
      </c>
      <c r="D178" s="511">
        <f>2.4*D168</f>
        <v>1000.8</v>
      </c>
      <c r="E178" s="523" t="e">
        <f t="shared" si="14"/>
        <v>#REF!</v>
      </c>
      <c r="F178" s="525" t="e">
        <f t="shared" si="13"/>
        <v>#REF!</v>
      </c>
      <c r="G178" s="524"/>
    </row>
    <row r="179" s="490" customFormat="1" ht="17.25" spans="1:7">
      <c r="A179" s="521"/>
      <c r="B179" s="526" t="s">
        <v>566</v>
      </c>
      <c r="C179" s="527" t="s">
        <v>559</v>
      </c>
      <c r="D179" s="511">
        <f>8*D168</f>
        <v>3336</v>
      </c>
      <c r="E179" s="523" t="e">
        <f t="shared" si="14"/>
        <v>#REF!</v>
      </c>
      <c r="F179" s="525" t="e">
        <f t="shared" si="13"/>
        <v>#REF!</v>
      </c>
      <c r="G179" s="524"/>
    </row>
    <row r="180" s="490" customFormat="1" ht="17.25" spans="1:7">
      <c r="A180" s="521">
        <v>3.9</v>
      </c>
      <c r="B180" s="522" t="s">
        <v>580</v>
      </c>
      <c r="C180" s="521" t="s">
        <v>90</v>
      </c>
      <c r="D180" s="523">
        <v>190</v>
      </c>
      <c r="E180" s="523"/>
      <c r="F180" s="525" t="e">
        <f>SUM(F181:F191)</f>
        <v>#REF!</v>
      </c>
      <c r="G180" s="524"/>
    </row>
    <row r="181" s="490" customFormat="1" ht="17.25" spans="1:7">
      <c r="A181" s="521"/>
      <c r="B181" s="526" t="s">
        <v>61</v>
      </c>
      <c r="C181" s="527" t="s">
        <v>62</v>
      </c>
      <c r="D181" s="511">
        <f>10*D180</f>
        <v>1900</v>
      </c>
      <c r="E181" s="523" t="e">
        <f>E169</f>
        <v>#REF!</v>
      </c>
      <c r="F181" s="525" t="e">
        <f>D181*E181</f>
        <v>#REF!</v>
      </c>
      <c r="G181" s="524"/>
    </row>
    <row r="182" s="490" customFormat="1" ht="17.25" spans="1:7">
      <c r="A182" s="521"/>
      <c r="B182" s="526" t="s">
        <v>63</v>
      </c>
      <c r="C182" s="527" t="s">
        <v>62</v>
      </c>
      <c r="D182" s="511">
        <f>38*D180</f>
        <v>7220</v>
      </c>
      <c r="E182" s="523">
        <f t="shared" ref="E182:E191" si="15">E170</f>
        <v>12.4804472232673</v>
      </c>
      <c r="F182" s="525">
        <f t="shared" si="13"/>
        <v>90108.8289519898</v>
      </c>
      <c r="G182" s="524"/>
    </row>
    <row r="183" s="490" customFormat="1" ht="17.25" spans="1:7">
      <c r="A183" s="521"/>
      <c r="B183" s="526" t="s">
        <v>571</v>
      </c>
      <c r="C183" s="527" t="s">
        <v>62</v>
      </c>
      <c r="D183" s="511">
        <f>3.6*D180</f>
        <v>684</v>
      </c>
      <c r="E183" s="523">
        <f t="shared" si="15"/>
        <v>0</v>
      </c>
      <c r="F183" s="525">
        <f t="shared" si="13"/>
        <v>0</v>
      </c>
      <c r="G183" s="524"/>
    </row>
    <row r="184" s="490" customFormat="1" ht="17.25" spans="1:7">
      <c r="A184" s="521"/>
      <c r="B184" s="526" t="s">
        <v>572</v>
      </c>
      <c r="C184" s="527" t="s">
        <v>62</v>
      </c>
      <c r="D184" s="511">
        <f>D183</f>
        <v>684</v>
      </c>
      <c r="E184" s="523">
        <f t="shared" si="15"/>
        <v>0</v>
      </c>
      <c r="F184" s="525">
        <f t="shared" si="13"/>
        <v>0</v>
      </c>
      <c r="G184" s="524"/>
    </row>
    <row r="185" s="490" customFormat="1" ht="17.25" spans="1:7">
      <c r="A185" s="521"/>
      <c r="B185" s="526" t="s">
        <v>560</v>
      </c>
      <c r="C185" s="527" t="s">
        <v>62</v>
      </c>
      <c r="D185" s="511">
        <f>2*D180</f>
        <v>380</v>
      </c>
      <c r="E185" s="523" t="e">
        <f t="shared" si="15"/>
        <v>#REF!</v>
      </c>
      <c r="F185" s="525" t="e">
        <f t="shared" si="13"/>
        <v>#REF!</v>
      </c>
      <c r="G185" s="524"/>
    </row>
    <row r="186" s="490" customFormat="1" ht="17.25" spans="1:7">
      <c r="A186" s="521"/>
      <c r="B186" s="526" t="s">
        <v>561</v>
      </c>
      <c r="C186" s="527" t="s">
        <v>62</v>
      </c>
      <c r="D186" s="511">
        <f>1.25*D180</f>
        <v>237.5</v>
      </c>
      <c r="E186" s="523" t="e">
        <f t="shared" si="15"/>
        <v>#REF!</v>
      </c>
      <c r="F186" s="525" t="e">
        <f t="shared" si="13"/>
        <v>#REF!</v>
      </c>
      <c r="G186" s="524"/>
    </row>
    <row r="187" s="490" customFormat="1" ht="17.25" spans="1:7">
      <c r="A187" s="521"/>
      <c r="B187" s="526" t="s">
        <v>562</v>
      </c>
      <c r="C187" s="527" t="s">
        <v>559</v>
      </c>
      <c r="D187" s="511">
        <f>15*D180</f>
        <v>2850</v>
      </c>
      <c r="E187" s="523" t="e">
        <f t="shared" si="15"/>
        <v>#REF!</v>
      </c>
      <c r="F187" s="525" t="e">
        <f t="shared" si="13"/>
        <v>#REF!</v>
      </c>
      <c r="G187" s="524"/>
    </row>
    <row r="188" s="490" customFormat="1" ht="17.25" spans="1:7">
      <c r="A188" s="521"/>
      <c r="B188" s="526" t="s">
        <v>563</v>
      </c>
      <c r="C188" s="527" t="s">
        <v>62</v>
      </c>
      <c r="D188" s="511">
        <f>0.1*D180</f>
        <v>19</v>
      </c>
      <c r="E188" s="523" t="e">
        <f t="shared" si="15"/>
        <v>#REF!</v>
      </c>
      <c r="F188" s="525" t="e">
        <f t="shared" si="13"/>
        <v>#REF!</v>
      </c>
      <c r="G188" s="524"/>
    </row>
    <row r="189" s="490" customFormat="1" ht="17.25" spans="1:7">
      <c r="A189" s="521"/>
      <c r="B189" s="526" t="s">
        <v>564</v>
      </c>
      <c r="C189" s="527" t="s">
        <v>62</v>
      </c>
      <c r="D189" s="511">
        <f>0.1*D180</f>
        <v>19</v>
      </c>
      <c r="E189" s="523">
        <f t="shared" si="15"/>
        <v>79.2891773758467</v>
      </c>
      <c r="F189" s="525">
        <f t="shared" si="13"/>
        <v>1506.49437014109</v>
      </c>
      <c r="G189" s="524"/>
    </row>
    <row r="190" s="490" customFormat="1" ht="17.25" spans="1:7">
      <c r="A190" s="521"/>
      <c r="B190" s="526" t="s">
        <v>565</v>
      </c>
      <c r="C190" s="527" t="s">
        <v>62</v>
      </c>
      <c r="D190" s="511">
        <f>2.4*D180</f>
        <v>456</v>
      </c>
      <c r="E190" s="523" t="e">
        <f t="shared" si="15"/>
        <v>#REF!</v>
      </c>
      <c r="F190" s="525" t="e">
        <f t="shared" si="13"/>
        <v>#REF!</v>
      </c>
      <c r="G190" s="524"/>
    </row>
    <row r="191" s="490" customFormat="1" ht="17.25" spans="1:7">
      <c r="A191" s="521"/>
      <c r="B191" s="526" t="s">
        <v>566</v>
      </c>
      <c r="C191" s="527" t="s">
        <v>559</v>
      </c>
      <c r="D191" s="511">
        <f>8*D180</f>
        <v>1520</v>
      </c>
      <c r="E191" s="523" t="e">
        <f t="shared" si="15"/>
        <v>#REF!</v>
      </c>
      <c r="F191" s="525" t="e">
        <f t="shared" si="13"/>
        <v>#REF!</v>
      </c>
      <c r="G191" s="524"/>
    </row>
    <row r="192" s="490" customFormat="1" ht="17.25" spans="1:7">
      <c r="A192" s="523">
        <v>3.1</v>
      </c>
      <c r="B192" s="522" t="s">
        <v>581</v>
      </c>
      <c r="C192" s="521" t="s">
        <v>90</v>
      </c>
      <c r="D192" s="523">
        <v>543</v>
      </c>
      <c r="E192" s="523"/>
      <c r="F192" s="525" t="e">
        <f>SUM(F193:F203)</f>
        <v>#REF!</v>
      </c>
      <c r="G192" s="524"/>
    </row>
    <row r="193" s="490" customFormat="1" ht="17.25" spans="1:7">
      <c r="A193" s="521"/>
      <c r="B193" s="526" t="s">
        <v>61</v>
      </c>
      <c r="C193" s="527" t="s">
        <v>62</v>
      </c>
      <c r="D193" s="511">
        <f>10*D192</f>
        <v>5430</v>
      </c>
      <c r="E193" s="523" t="e">
        <f>E181</f>
        <v>#REF!</v>
      </c>
      <c r="F193" s="525" t="e">
        <f t="shared" si="13"/>
        <v>#REF!</v>
      </c>
      <c r="G193" s="524"/>
    </row>
    <row r="194" s="490" customFormat="1" ht="17.25" spans="1:7">
      <c r="A194" s="521"/>
      <c r="B194" s="526" t="s">
        <v>63</v>
      </c>
      <c r="C194" s="527" t="s">
        <v>62</v>
      </c>
      <c r="D194" s="511">
        <f>38*D192</f>
        <v>20634</v>
      </c>
      <c r="E194" s="523">
        <f t="shared" ref="E194:E203" si="16">E182</f>
        <v>12.4804472232673</v>
      </c>
      <c r="F194" s="525">
        <f t="shared" si="13"/>
        <v>257521.548004897</v>
      </c>
      <c r="G194" s="524"/>
    </row>
    <row r="195" s="490" customFormat="1" ht="17.25" spans="1:7">
      <c r="A195" s="521"/>
      <c r="B195" s="526" t="s">
        <v>571</v>
      </c>
      <c r="C195" s="527" t="s">
        <v>62</v>
      </c>
      <c r="D195" s="511">
        <f>3.6*D192</f>
        <v>1954.8</v>
      </c>
      <c r="E195" s="523">
        <f t="shared" si="16"/>
        <v>0</v>
      </c>
      <c r="F195" s="525">
        <f t="shared" si="13"/>
        <v>0</v>
      </c>
      <c r="G195" s="524"/>
    </row>
    <row r="196" s="490" customFormat="1" ht="17.25" spans="1:7">
      <c r="A196" s="521"/>
      <c r="B196" s="526" t="s">
        <v>572</v>
      </c>
      <c r="C196" s="527" t="s">
        <v>62</v>
      </c>
      <c r="D196" s="511">
        <f>D195</f>
        <v>1954.8</v>
      </c>
      <c r="E196" s="523">
        <f t="shared" si="16"/>
        <v>0</v>
      </c>
      <c r="F196" s="525">
        <f t="shared" si="13"/>
        <v>0</v>
      </c>
      <c r="G196" s="524"/>
    </row>
    <row r="197" s="490" customFormat="1" ht="17.25" spans="1:7">
      <c r="A197" s="521"/>
      <c r="B197" s="526" t="s">
        <v>560</v>
      </c>
      <c r="C197" s="527" t="s">
        <v>62</v>
      </c>
      <c r="D197" s="511">
        <f>2*D192</f>
        <v>1086</v>
      </c>
      <c r="E197" s="523" t="e">
        <f t="shared" si="16"/>
        <v>#REF!</v>
      </c>
      <c r="F197" s="525" t="e">
        <f t="shared" si="13"/>
        <v>#REF!</v>
      </c>
      <c r="G197" s="524"/>
    </row>
    <row r="198" s="490" customFormat="1" ht="17.25" spans="1:7">
      <c r="A198" s="521"/>
      <c r="B198" s="526" t="s">
        <v>561</v>
      </c>
      <c r="C198" s="527" t="s">
        <v>62</v>
      </c>
      <c r="D198" s="511">
        <f>1.25*D192</f>
        <v>678.75</v>
      </c>
      <c r="E198" s="523" t="e">
        <f t="shared" si="16"/>
        <v>#REF!</v>
      </c>
      <c r="F198" s="525" t="e">
        <f t="shared" si="13"/>
        <v>#REF!</v>
      </c>
      <c r="G198" s="524"/>
    </row>
    <row r="199" s="490" customFormat="1" ht="17.25" spans="1:7">
      <c r="A199" s="521"/>
      <c r="B199" s="526" t="s">
        <v>562</v>
      </c>
      <c r="C199" s="527" t="s">
        <v>559</v>
      </c>
      <c r="D199" s="511">
        <f>15*D192</f>
        <v>8145</v>
      </c>
      <c r="E199" s="523" t="e">
        <f t="shared" si="16"/>
        <v>#REF!</v>
      </c>
      <c r="F199" s="525" t="e">
        <f t="shared" si="13"/>
        <v>#REF!</v>
      </c>
      <c r="G199" s="524"/>
    </row>
    <row r="200" s="490" customFormat="1" ht="17.25" spans="1:7">
      <c r="A200" s="521"/>
      <c r="B200" s="526" t="s">
        <v>563</v>
      </c>
      <c r="C200" s="527" t="s">
        <v>62</v>
      </c>
      <c r="D200" s="511">
        <f>0.1*D192</f>
        <v>54.3</v>
      </c>
      <c r="E200" s="523" t="e">
        <f t="shared" si="16"/>
        <v>#REF!</v>
      </c>
      <c r="F200" s="525" t="e">
        <f t="shared" si="13"/>
        <v>#REF!</v>
      </c>
      <c r="G200" s="524"/>
    </row>
    <row r="201" s="490" customFormat="1" ht="17.25" spans="1:7">
      <c r="A201" s="521"/>
      <c r="B201" s="526" t="s">
        <v>564</v>
      </c>
      <c r="C201" s="527" t="s">
        <v>62</v>
      </c>
      <c r="D201" s="511">
        <f>0.1*D192</f>
        <v>54.3</v>
      </c>
      <c r="E201" s="523">
        <f t="shared" si="16"/>
        <v>79.2891773758467</v>
      </c>
      <c r="F201" s="525">
        <f t="shared" si="13"/>
        <v>4305.40233150848</v>
      </c>
      <c r="G201" s="524"/>
    </row>
    <row r="202" s="490" customFormat="1" ht="17.25" spans="1:7">
      <c r="A202" s="521"/>
      <c r="B202" s="526" t="s">
        <v>565</v>
      </c>
      <c r="C202" s="527" t="s">
        <v>62</v>
      </c>
      <c r="D202" s="511">
        <f>2.4*D192</f>
        <v>1303.2</v>
      </c>
      <c r="E202" s="523" t="e">
        <f t="shared" si="16"/>
        <v>#REF!</v>
      </c>
      <c r="F202" s="525" t="e">
        <f t="shared" si="13"/>
        <v>#REF!</v>
      </c>
      <c r="G202" s="524"/>
    </row>
    <row r="203" s="490" customFormat="1" ht="17.25" spans="1:7">
      <c r="A203" s="521"/>
      <c r="B203" s="526" t="s">
        <v>566</v>
      </c>
      <c r="C203" s="527" t="s">
        <v>559</v>
      </c>
      <c r="D203" s="511">
        <f>8*D192</f>
        <v>4344</v>
      </c>
      <c r="E203" s="523" t="e">
        <f t="shared" si="16"/>
        <v>#REF!</v>
      </c>
      <c r="F203" s="525" t="e">
        <f t="shared" si="13"/>
        <v>#REF!</v>
      </c>
      <c r="G203" s="524"/>
    </row>
    <row r="204" s="490" customFormat="1" ht="17.25" spans="1:7">
      <c r="A204" s="521">
        <v>3.11</v>
      </c>
      <c r="B204" s="522" t="s">
        <v>582</v>
      </c>
      <c r="C204" s="521" t="s">
        <v>90</v>
      </c>
      <c r="D204" s="523">
        <v>284</v>
      </c>
      <c r="E204" s="523"/>
      <c r="F204" s="525" t="e">
        <f>SUM(F205:F215)</f>
        <v>#REF!</v>
      </c>
      <c r="G204" s="524"/>
    </row>
    <row r="205" s="490" customFormat="1" ht="17.25" spans="1:7">
      <c r="A205" s="521"/>
      <c r="B205" s="526" t="s">
        <v>61</v>
      </c>
      <c r="C205" s="527" t="s">
        <v>62</v>
      </c>
      <c r="D205" s="511">
        <f>10*D204</f>
        <v>2840</v>
      </c>
      <c r="E205" s="523" t="e">
        <f>E193</f>
        <v>#REF!</v>
      </c>
      <c r="F205" s="525" t="e">
        <f t="shared" si="13"/>
        <v>#REF!</v>
      </c>
      <c r="G205" s="524"/>
    </row>
    <row r="206" s="490" customFormat="1" ht="17.25" spans="1:7">
      <c r="A206" s="521"/>
      <c r="B206" s="526" t="s">
        <v>63</v>
      </c>
      <c r="C206" s="527" t="s">
        <v>62</v>
      </c>
      <c r="D206" s="511">
        <f>38*D204</f>
        <v>10792</v>
      </c>
      <c r="E206" s="523">
        <f t="shared" ref="E206:E215" si="17">E194</f>
        <v>12.4804472232673</v>
      </c>
      <c r="F206" s="525">
        <f t="shared" si="13"/>
        <v>134688.986433501</v>
      </c>
      <c r="G206" s="524"/>
    </row>
    <row r="207" s="490" customFormat="1" ht="17.25" spans="1:7">
      <c r="A207" s="521"/>
      <c r="B207" s="526" t="s">
        <v>571</v>
      </c>
      <c r="C207" s="527" t="s">
        <v>62</v>
      </c>
      <c r="D207" s="511">
        <f>3.6*D204</f>
        <v>1022.4</v>
      </c>
      <c r="E207" s="523">
        <f t="shared" si="17"/>
        <v>0</v>
      </c>
      <c r="F207" s="525">
        <f t="shared" si="13"/>
        <v>0</v>
      </c>
      <c r="G207" s="524"/>
    </row>
    <row r="208" s="490" customFormat="1" ht="17.25" spans="1:7">
      <c r="A208" s="521"/>
      <c r="B208" s="526" t="s">
        <v>572</v>
      </c>
      <c r="C208" s="527" t="s">
        <v>62</v>
      </c>
      <c r="D208" s="511">
        <f>D207</f>
        <v>1022.4</v>
      </c>
      <c r="E208" s="523">
        <f t="shared" si="17"/>
        <v>0</v>
      </c>
      <c r="F208" s="525">
        <f t="shared" si="13"/>
        <v>0</v>
      </c>
      <c r="G208" s="524"/>
    </row>
    <row r="209" s="490" customFormat="1" ht="17.25" spans="1:7">
      <c r="A209" s="521"/>
      <c r="B209" s="526" t="s">
        <v>560</v>
      </c>
      <c r="C209" s="527" t="s">
        <v>62</v>
      </c>
      <c r="D209" s="511">
        <f>2*D204</f>
        <v>568</v>
      </c>
      <c r="E209" s="523" t="e">
        <f t="shared" si="17"/>
        <v>#REF!</v>
      </c>
      <c r="F209" s="525" t="e">
        <f t="shared" si="13"/>
        <v>#REF!</v>
      </c>
      <c r="G209" s="524"/>
    </row>
    <row r="210" s="490" customFormat="1" ht="17.25" spans="1:7">
      <c r="A210" s="521"/>
      <c r="B210" s="526" t="s">
        <v>561</v>
      </c>
      <c r="C210" s="527" t="s">
        <v>62</v>
      </c>
      <c r="D210" s="511">
        <f>1.25*D204</f>
        <v>355</v>
      </c>
      <c r="E210" s="523" t="e">
        <f t="shared" si="17"/>
        <v>#REF!</v>
      </c>
      <c r="F210" s="525" t="e">
        <f t="shared" si="13"/>
        <v>#REF!</v>
      </c>
      <c r="G210" s="524"/>
    </row>
    <row r="211" s="490" customFormat="1" ht="17.25" spans="1:7">
      <c r="A211" s="521"/>
      <c r="B211" s="526" t="s">
        <v>562</v>
      </c>
      <c r="C211" s="527" t="s">
        <v>559</v>
      </c>
      <c r="D211" s="511">
        <f>15*D204</f>
        <v>4260</v>
      </c>
      <c r="E211" s="523" t="e">
        <f t="shared" si="17"/>
        <v>#REF!</v>
      </c>
      <c r="F211" s="525" t="e">
        <f t="shared" si="13"/>
        <v>#REF!</v>
      </c>
      <c r="G211" s="524"/>
    </row>
    <row r="212" s="490" customFormat="1" ht="17.25" spans="1:7">
      <c r="A212" s="521"/>
      <c r="B212" s="526" t="s">
        <v>563</v>
      </c>
      <c r="C212" s="527" t="s">
        <v>62</v>
      </c>
      <c r="D212" s="511">
        <f>0.1*D204</f>
        <v>28.4</v>
      </c>
      <c r="E212" s="523" t="e">
        <f t="shared" si="17"/>
        <v>#REF!</v>
      </c>
      <c r="F212" s="525" t="e">
        <f t="shared" si="13"/>
        <v>#REF!</v>
      </c>
      <c r="G212" s="524"/>
    </row>
    <row r="213" s="490" customFormat="1" ht="17.25" spans="1:7">
      <c r="A213" s="521"/>
      <c r="B213" s="526" t="s">
        <v>564</v>
      </c>
      <c r="C213" s="527" t="s">
        <v>62</v>
      </c>
      <c r="D213" s="511">
        <f>0.1*D204</f>
        <v>28.4</v>
      </c>
      <c r="E213" s="523">
        <f t="shared" si="17"/>
        <v>79.2891773758467</v>
      </c>
      <c r="F213" s="525">
        <f t="shared" si="13"/>
        <v>2251.81263747405</v>
      </c>
      <c r="G213" s="524"/>
    </row>
    <row r="214" s="490" customFormat="1" ht="17.25" spans="1:7">
      <c r="A214" s="521"/>
      <c r="B214" s="526" t="s">
        <v>565</v>
      </c>
      <c r="C214" s="527" t="s">
        <v>62</v>
      </c>
      <c r="D214" s="511">
        <f>2.4*D204</f>
        <v>681.6</v>
      </c>
      <c r="E214" s="523" t="e">
        <f t="shared" si="17"/>
        <v>#REF!</v>
      </c>
      <c r="F214" s="525" t="e">
        <f t="shared" si="13"/>
        <v>#REF!</v>
      </c>
      <c r="G214" s="524"/>
    </row>
    <row r="215" s="490" customFormat="1" ht="17.25" spans="1:7">
      <c r="A215" s="521"/>
      <c r="B215" s="526" t="s">
        <v>566</v>
      </c>
      <c r="C215" s="527" t="s">
        <v>559</v>
      </c>
      <c r="D215" s="511">
        <f>8*D204</f>
        <v>2272</v>
      </c>
      <c r="E215" s="523" t="e">
        <f t="shared" si="17"/>
        <v>#REF!</v>
      </c>
      <c r="F215" s="525" t="e">
        <f t="shared" si="13"/>
        <v>#REF!</v>
      </c>
      <c r="G215" s="524"/>
    </row>
    <row r="216" s="490" customFormat="1" ht="17.25" spans="1:7">
      <c r="A216" s="521">
        <v>3.12</v>
      </c>
      <c r="B216" s="522" t="s">
        <v>583</v>
      </c>
      <c r="C216" s="521" t="s">
        <v>90</v>
      </c>
      <c r="D216" s="523">
        <v>177</v>
      </c>
      <c r="E216" s="523"/>
      <c r="F216" s="525" t="e">
        <f>SUM(F217:F227)</f>
        <v>#REF!</v>
      </c>
      <c r="G216" s="524"/>
    </row>
    <row r="217" s="490" customFormat="1" ht="17.25" spans="1:7">
      <c r="A217" s="521"/>
      <c r="B217" s="526" t="s">
        <v>61</v>
      </c>
      <c r="C217" s="527" t="s">
        <v>62</v>
      </c>
      <c r="D217" s="511">
        <f>10*D216</f>
        <v>1770</v>
      </c>
      <c r="E217" s="523" t="e">
        <f>E205</f>
        <v>#REF!</v>
      </c>
      <c r="F217" s="525" t="e">
        <f t="shared" si="13"/>
        <v>#REF!</v>
      </c>
      <c r="G217" s="524"/>
    </row>
    <row r="218" s="490" customFormat="1" ht="17.25" spans="1:7">
      <c r="A218" s="521"/>
      <c r="B218" s="526" t="s">
        <v>63</v>
      </c>
      <c r="C218" s="527" t="s">
        <v>62</v>
      </c>
      <c r="D218" s="511">
        <f>38*D216</f>
        <v>6726</v>
      </c>
      <c r="E218" s="523">
        <f t="shared" ref="E218:E227" si="18">E206</f>
        <v>12.4804472232673</v>
      </c>
      <c r="F218" s="525">
        <f t="shared" si="13"/>
        <v>83943.4880236958</v>
      </c>
      <c r="G218" s="524"/>
    </row>
    <row r="219" s="490" customFormat="1" ht="17.25" spans="1:7">
      <c r="A219" s="521"/>
      <c r="B219" s="526" t="s">
        <v>571</v>
      </c>
      <c r="C219" s="527" t="s">
        <v>62</v>
      </c>
      <c r="D219" s="511">
        <f>3.6*D216</f>
        <v>637.2</v>
      </c>
      <c r="E219" s="523">
        <f t="shared" si="18"/>
        <v>0</v>
      </c>
      <c r="F219" s="525">
        <f t="shared" si="13"/>
        <v>0</v>
      </c>
      <c r="G219" s="524"/>
    </row>
    <row r="220" s="490" customFormat="1" ht="17.25" spans="1:7">
      <c r="A220" s="521"/>
      <c r="B220" s="526" t="s">
        <v>572</v>
      </c>
      <c r="C220" s="527" t="s">
        <v>62</v>
      </c>
      <c r="D220" s="511">
        <f>D219</f>
        <v>637.2</v>
      </c>
      <c r="E220" s="523">
        <f t="shared" si="18"/>
        <v>0</v>
      </c>
      <c r="F220" s="525">
        <f t="shared" si="13"/>
        <v>0</v>
      </c>
      <c r="G220" s="524"/>
    </row>
    <row r="221" s="490" customFormat="1" ht="17.25" spans="1:7">
      <c r="A221" s="521"/>
      <c r="B221" s="526" t="s">
        <v>560</v>
      </c>
      <c r="C221" s="527" t="s">
        <v>62</v>
      </c>
      <c r="D221" s="511">
        <f>2*D216</f>
        <v>354</v>
      </c>
      <c r="E221" s="523" t="e">
        <f t="shared" si="18"/>
        <v>#REF!</v>
      </c>
      <c r="F221" s="525" t="e">
        <f t="shared" si="13"/>
        <v>#REF!</v>
      </c>
      <c r="G221" s="524"/>
    </row>
    <row r="222" s="490" customFormat="1" ht="17.25" spans="1:7">
      <c r="A222" s="521"/>
      <c r="B222" s="526" t="s">
        <v>561</v>
      </c>
      <c r="C222" s="527" t="s">
        <v>62</v>
      </c>
      <c r="D222" s="511">
        <f>1.25*D216</f>
        <v>221.25</v>
      </c>
      <c r="E222" s="523" t="e">
        <f t="shared" si="18"/>
        <v>#REF!</v>
      </c>
      <c r="F222" s="525" t="e">
        <f t="shared" si="13"/>
        <v>#REF!</v>
      </c>
      <c r="G222" s="524"/>
    </row>
    <row r="223" s="490" customFormat="1" ht="17.25" spans="1:7">
      <c r="A223" s="521"/>
      <c r="B223" s="526" t="s">
        <v>562</v>
      </c>
      <c r="C223" s="527" t="s">
        <v>559</v>
      </c>
      <c r="D223" s="511">
        <f>15*D216</f>
        <v>2655</v>
      </c>
      <c r="E223" s="523" t="e">
        <f t="shared" si="18"/>
        <v>#REF!</v>
      </c>
      <c r="F223" s="525" t="e">
        <f t="shared" si="13"/>
        <v>#REF!</v>
      </c>
      <c r="G223" s="524"/>
    </row>
    <row r="224" s="490" customFormat="1" ht="17.25" spans="1:7">
      <c r="A224" s="521"/>
      <c r="B224" s="526" t="s">
        <v>563</v>
      </c>
      <c r="C224" s="527" t="s">
        <v>62</v>
      </c>
      <c r="D224" s="511">
        <f>0.1*D216</f>
        <v>17.7</v>
      </c>
      <c r="E224" s="523" t="e">
        <f t="shared" si="18"/>
        <v>#REF!</v>
      </c>
      <c r="F224" s="525" t="e">
        <f t="shared" si="13"/>
        <v>#REF!</v>
      </c>
      <c r="G224" s="524"/>
    </row>
    <row r="225" s="490" customFormat="1" ht="17.25" spans="1:7">
      <c r="A225" s="521"/>
      <c r="B225" s="526" t="s">
        <v>564</v>
      </c>
      <c r="C225" s="527" t="s">
        <v>62</v>
      </c>
      <c r="D225" s="511">
        <f>0.1*D216</f>
        <v>17.7</v>
      </c>
      <c r="E225" s="523">
        <f t="shared" si="18"/>
        <v>79.2891773758467</v>
      </c>
      <c r="F225" s="525">
        <f t="shared" si="13"/>
        <v>1403.41843955249</v>
      </c>
      <c r="G225" s="524"/>
    </row>
    <row r="226" s="490" customFormat="1" ht="17.25" spans="1:7">
      <c r="A226" s="521"/>
      <c r="B226" s="526" t="s">
        <v>565</v>
      </c>
      <c r="C226" s="527" t="s">
        <v>62</v>
      </c>
      <c r="D226" s="511">
        <f>2.4*D216</f>
        <v>424.8</v>
      </c>
      <c r="E226" s="523" t="e">
        <f t="shared" si="18"/>
        <v>#REF!</v>
      </c>
      <c r="F226" s="525" t="e">
        <f t="shared" si="13"/>
        <v>#REF!</v>
      </c>
      <c r="G226" s="524"/>
    </row>
    <row r="227" s="490" customFormat="1" ht="17.25" spans="1:7">
      <c r="A227" s="521"/>
      <c r="B227" s="526" t="s">
        <v>566</v>
      </c>
      <c r="C227" s="527" t="s">
        <v>559</v>
      </c>
      <c r="D227" s="511">
        <f>8*D216</f>
        <v>1416</v>
      </c>
      <c r="E227" s="523" t="e">
        <f t="shared" si="18"/>
        <v>#REF!</v>
      </c>
      <c r="F227" s="525" t="e">
        <f t="shared" si="13"/>
        <v>#REF!</v>
      </c>
      <c r="G227" s="524"/>
    </row>
    <row r="228" s="490" customFormat="1" ht="17.25" spans="1:7">
      <c r="A228" s="521">
        <v>3.13</v>
      </c>
      <c r="B228" s="522" t="s">
        <v>584</v>
      </c>
      <c r="C228" s="521" t="s">
        <v>90</v>
      </c>
      <c r="D228" s="523">
        <v>397</v>
      </c>
      <c r="E228" s="523"/>
      <c r="F228" s="525" t="e">
        <f>SUM(F229:F239)</f>
        <v>#REF!</v>
      </c>
      <c r="G228" s="524"/>
    </row>
    <row r="229" s="490" customFormat="1" ht="17.25" spans="1:7">
      <c r="A229" s="521"/>
      <c r="B229" s="526" t="s">
        <v>61</v>
      </c>
      <c r="C229" s="527" t="s">
        <v>62</v>
      </c>
      <c r="D229" s="511">
        <f>10*D228</f>
        <v>3970</v>
      </c>
      <c r="E229" s="523" t="e">
        <f>E217</f>
        <v>#REF!</v>
      </c>
      <c r="F229" s="525" t="e">
        <f t="shared" si="13"/>
        <v>#REF!</v>
      </c>
      <c r="G229" s="524"/>
    </row>
    <row r="230" s="490" customFormat="1" ht="17.25" spans="1:7">
      <c r="A230" s="521"/>
      <c r="B230" s="526" t="s">
        <v>63</v>
      </c>
      <c r="C230" s="527" t="s">
        <v>62</v>
      </c>
      <c r="D230" s="511">
        <f>38*D228</f>
        <v>15086</v>
      </c>
      <c r="E230" s="523">
        <f t="shared" ref="E230:E239" si="19">E218</f>
        <v>12.4804472232673</v>
      </c>
      <c r="F230" s="525">
        <f t="shared" si="13"/>
        <v>188280.02681021</v>
      </c>
      <c r="G230" s="524"/>
    </row>
    <row r="231" s="490" customFormat="1" ht="17.25" spans="1:7">
      <c r="A231" s="521"/>
      <c r="B231" s="526" t="s">
        <v>571</v>
      </c>
      <c r="C231" s="527" t="s">
        <v>62</v>
      </c>
      <c r="D231" s="511">
        <f>3.6*D228</f>
        <v>1429.2</v>
      </c>
      <c r="E231" s="523">
        <f t="shared" si="19"/>
        <v>0</v>
      </c>
      <c r="F231" s="525">
        <f t="shared" si="13"/>
        <v>0</v>
      </c>
      <c r="G231" s="524"/>
    </row>
    <row r="232" s="490" customFormat="1" ht="17.25" spans="1:7">
      <c r="A232" s="521"/>
      <c r="B232" s="526" t="s">
        <v>572</v>
      </c>
      <c r="C232" s="527" t="s">
        <v>62</v>
      </c>
      <c r="D232" s="511">
        <f>D231</f>
        <v>1429.2</v>
      </c>
      <c r="E232" s="523">
        <f t="shared" si="19"/>
        <v>0</v>
      </c>
      <c r="F232" s="525">
        <f t="shared" ref="F232:F295" si="20">D232*E232</f>
        <v>0</v>
      </c>
      <c r="G232" s="524"/>
    </row>
    <row r="233" s="490" customFormat="1" ht="17.25" spans="1:7">
      <c r="A233" s="521"/>
      <c r="B233" s="526" t="s">
        <v>560</v>
      </c>
      <c r="C233" s="527" t="s">
        <v>62</v>
      </c>
      <c r="D233" s="511">
        <f>2*D228</f>
        <v>794</v>
      </c>
      <c r="E233" s="523" t="e">
        <f t="shared" si="19"/>
        <v>#REF!</v>
      </c>
      <c r="F233" s="525" t="e">
        <f t="shared" si="20"/>
        <v>#REF!</v>
      </c>
      <c r="G233" s="524"/>
    </row>
    <row r="234" s="490" customFormat="1" ht="17.25" spans="1:7">
      <c r="A234" s="521"/>
      <c r="B234" s="526" t="s">
        <v>561</v>
      </c>
      <c r="C234" s="527" t="s">
        <v>62</v>
      </c>
      <c r="D234" s="511">
        <f>1.25*D228</f>
        <v>496.25</v>
      </c>
      <c r="E234" s="523" t="e">
        <f t="shared" si="19"/>
        <v>#REF!</v>
      </c>
      <c r="F234" s="525" t="e">
        <f t="shared" si="20"/>
        <v>#REF!</v>
      </c>
      <c r="G234" s="524"/>
    </row>
    <row r="235" s="490" customFormat="1" ht="17.25" spans="1:7">
      <c r="A235" s="521"/>
      <c r="B235" s="526" t="s">
        <v>562</v>
      </c>
      <c r="C235" s="527" t="s">
        <v>559</v>
      </c>
      <c r="D235" s="511">
        <f>15*D228</f>
        <v>5955</v>
      </c>
      <c r="E235" s="523" t="e">
        <f t="shared" si="19"/>
        <v>#REF!</v>
      </c>
      <c r="F235" s="525" t="e">
        <f t="shared" si="20"/>
        <v>#REF!</v>
      </c>
      <c r="G235" s="524"/>
    </row>
    <row r="236" s="490" customFormat="1" ht="17.25" spans="1:7">
      <c r="A236" s="521"/>
      <c r="B236" s="526" t="s">
        <v>563</v>
      </c>
      <c r="C236" s="527" t="s">
        <v>62</v>
      </c>
      <c r="D236" s="511">
        <f>0.1*D228</f>
        <v>39.7</v>
      </c>
      <c r="E236" s="523" t="e">
        <f t="shared" si="19"/>
        <v>#REF!</v>
      </c>
      <c r="F236" s="525" t="e">
        <f t="shared" si="20"/>
        <v>#REF!</v>
      </c>
      <c r="G236" s="524"/>
    </row>
    <row r="237" s="490" customFormat="1" ht="17.25" spans="1:7">
      <c r="A237" s="521"/>
      <c r="B237" s="526" t="s">
        <v>564</v>
      </c>
      <c r="C237" s="527" t="s">
        <v>62</v>
      </c>
      <c r="D237" s="511">
        <f>0.1*D228</f>
        <v>39.7</v>
      </c>
      <c r="E237" s="523">
        <f t="shared" si="19"/>
        <v>79.2891773758467</v>
      </c>
      <c r="F237" s="525">
        <f t="shared" si="20"/>
        <v>3147.78034182112</v>
      </c>
      <c r="G237" s="524"/>
    </row>
    <row r="238" s="490" customFormat="1" ht="17.25" spans="1:7">
      <c r="A238" s="521"/>
      <c r="B238" s="526" t="s">
        <v>565</v>
      </c>
      <c r="C238" s="527" t="s">
        <v>62</v>
      </c>
      <c r="D238" s="511">
        <f>2.4*D228</f>
        <v>952.8</v>
      </c>
      <c r="E238" s="523" t="e">
        <f t="shared" si="19"/>
        <v>#REF!</v>
      </c>
      <c r="F238" s="525" t="e">
        <f t="shared" si="20"/>
        <v>#REF!</v>
      </c>
      <c r="G238" s="524"/>
    </row>
    <row r="239" s="490" customFormat="1" ht="17.25" spans="1:7">
      <c r="A239" s="521"/>
      <c r="B239" s="526" t="s">
        <v>566</v>
      </c>
      <c r="C239" s="527" t="s">
        <v>559</v>
      </c>
      <c r="D239" s="511">
        <f>8*D228</f>
        <v>3176</v>
      </c>
      <c r="E239" s="523" t="e">
        <f t="shared" si="19"/>
        <v>#REF!</v>
      </c>
      <c r="F239" s="525" t="e">
        <f t="shared" si="20"/>
        <v>#REF!</v>
      </c>
      <c r="G239" s="524"/>
    </row>
    <row r="240" s="490" customFormat="1" ht="17.25" spans="1:7">
      <c r="A240" s="521">
        <v>3.14</v>
      </c>
      <c r="B240" s="522" t="s">
        <v>585</v>
      </c>
      <c r="C240" s="521" t="s">
        <v>90</v>
      </c>
      <c r="D240" s="523">
        <v>376</v>
      </c>
      <c r="E240" s="523"/>
      <c r="F240" s="525" t="e">
        <f>SUM(F241:F251)</f>
        <v>#REF!</v>
      </c>
      <c r="G240" s="524"/>
    </row>
    <row r="241" s="490" customFormat="1" ht="17.25" spans="1:7">
      <c r="A241" s="521"/>
      <c r="B241" s="526" t="s">
        <v>61</v>
      </c>
      <c r="C241" s="527" t="s">
        <v>62</v>
      </c>
      <c r="D241" s="511">
        <f>10*D240</f>
        <v>3760</v>
      </c>
      <c r="E241" s="523" t="e">
        <f>E229</f>
        <v>#REF!</v>
      </c>
      <c r="F241" s="525" t="e">
        <f t="shared" si="20"/>
        <v>#REF!</v>
      </c>
      <c r="G241" s="524"/>
    </row>
    <row r="242" s="490" customFormat="1" ht="17.25" spans="1:7">
      <c r="A242" s="521"/>
      <c r="B242" s="526" t="s">
        <v>63</v>
      </c>
      <c r="C242" s="527" t="s">
        <v>62</v>
      </c>
      <c r="D242" s="511">
        <f>38*D240</f>
        <v>14288</v>
      </c>
      <c r="E242" s="523">
        <f t="shared" ref="E242:E305" si="21">E230</f>
        <v>12.4804472232673</v>
      </c>
      <c r="F242" s="525">
        <f t="shared" si="20"/>
        <v>178320.629926043</v>
      </c>
      <c r="G242" s="524"/>
    </row>
    <row r="243" s="490" customFormat="1" ht="17.25" spans="1:7">
      <c r="A243" s="521"/>
      <c r="B243" s="526" t="s">
        <v>571</v>
      </c>
      <c r="C243" s="527" t="s">
        <v>62</v>
      </c>
      <c r="D243" s="511">
        <f>3.6*D240</f>
        <v>1353.6</v>
      </c>
      <c r="E243" s="523">
        <f t="shared" si="21"/>
        <v>0</v>
      </c>
      <c r="F243" s="525">
        <f t="shared" si="20"/>
        <v>0</v>
      </c>
      <c r="G243" s="524"/>
    </row>
    <row r="244" s="490" customFormat="1" ht="17.25" spans="1:7">
      <c r="A244" s="521"/>
      <c r="B244" s="526" t="s">
        <v>572</v>
      </c>
      <c r="C244" s="527" t="s">
        <v>62</v>
      </c>
      <c r="D244" s="511">
        <f>D243</f>
        <v>1353.6</v>
      </c>
      <c r="E244" s="523">
        <f t="shared" si="21"/>
        <v>0</v>
      </c>
      <c r="F244" s="525">
        <f t="shared" si="20"/>
        <v>0</v>
      </c>
      <c r="G244" s="524"/>
    </row>
    <row r="245" s="490" customFormat="1" ht="17.25" spans="1:7">
      <c r="A245" s="521"/>
      <c r="B245" s="526" t="s">
        <v>560</v>
      </c>
      <c r="C245" s="527" t="s">
        <v>62</v>
      </c>
      <c r="D245" s="511">
        <f>2*D240</f>
        <v>752</v>
      </c>
      <c r="E245" s="523" t="e">
        <f t="shared" si="21"/>
        <v>#REF!</v>
      </c>
      <c r="F245" s="525" t="e">
        <f t="shared" si="20"/>
        <v>#REF!</v>
      </c>
      <c r="G245" s="524"/>
    </row>
    <row r="246" s="490" customFormat="1" ht="17.25" spans="1:7">
      <c r="A246" s="521"/>
      <c r="B246" s="526" t="s">
        <v>561</v>
      </c>
      <c r="C246" s="527" t="s">
        <v>62</v>
      </c>
      <c r="D246" s="511">
        <f>1.25*D240</f>
        <v>470</v>
      </c>
      <c r="E246" s="523" t="e">
        <f t="shared" si="21"/>
        <v>#REF!</v>
      </c>
      <c r="F246" s="525" t="e">
        <f t="shared" si="20"/>
        <v>#REF!</v>
      </c>
      <c r="G246" s="524"/>
    </row>
    <row r="247" s="490" customFormat="1" ht="17.25" spans="1:7">
      <c r="A247" s="521"/>
      <c r="B247" s="526" t="s">
        <v>562</v>
      </c>
      <c r="C247" s="527" t="s">
        <v>559</v>
      </c>
      <c r="D247" s="511">
        <f>15*D240</f>
        <v>5640</v>
      </c>
      <c r="E247" s="523" t="e">
        <f t="shared" si="21"/>
        <v>#REF!</v>
      </c>
      <c r="F247" s="525" t="e">
        <f t="shared" si="20"/>
        <v>#REF!</v>
      </c>
      <c r="G247" s="524"/>
    </row>
    <row r="248" s="490" customFormat="1" ht="17.25" spans="1:7">
      <c r="A248" s="521"/>
      <c r="B248" s="526" t="s">
        <v>563</v>
      </c>
      <c r="C248" s="527" t="s">
        <v>62</v>
      </c>
      <c r="D248" s="511">
        <f>0.1*D240</f>
        <v>37.6</v>
      </c>
      <c r="E248" s="523" t="e">
        <f t="shared" si="21"/>
        <v>#REF!</v>
      </c>
      <c r="F248" s="525" t="e">
        <f t="shared" si="20"/>
        <v>#REF!</v>
      </c>
      <c r="G248" s="524"/>
    </row>
    <row r="249" s="490" customFormat="1" ht="17.25" spans="1:7">
      <c r="A249" s="521"/>
      <c r="B249" s="526" t="s">
        <v>564</v>
      </c>
      <c r="C249" s="527" t="s">
        <v>62</v>
      </c>
      <c r="D249" s="511">
        <f>0.1*D240</f>
        <v>37.6</v>
      </c>
      <c r="E249" s="523">
        <f t="shared" si="21"/>
        <v>79.2891773758467</v>
      </c>
      <c r="F249" s="525">
        <f t="shared" si="20"/>
        <v>2981.27306933184</v>
      </c>
      <c r="G249" s="524"/>
    </row>
    <row r="250" s="490" customFormat="1" ht="17.25" spans="1:7">
      <c r="A250" s="521"/>
      <c r="B250" s="526" t="s">
        <v>565</v>
      </c>
      <c r="C250" s="527" t="s">
        <v>62</v>
      </c>
      <c r="D250" s="511">
        <f>2.4*D240</f>
        <v>902.4</v>
      </c>
      <c r="E250" s="523" t="e">
        <f t="shared" si="21"/>
        <v>#REF!</v>
      </c>
      <c r="F250" s="525" t="e">
        <f t="shared" si="20"/>
        <v>#REF!</v>
      </c>
      <c r="G250" s="524"/>
    </row>
    <row r="251" s="490" customFormat="1" ht="17.25" spans="1:7">
      <c r="A251" s="521"/>
      <c r="B251" s="526" t="s">
        <v>566</v>
      </c>
      <c r="C251" s="527" t="s">
        <v>559</v>
      </c>
      <c r="D251" s="511">
        <f>8*D240</f>
        <v>3008</v>
      </c>
      <c r="E251" s="523" t="e">
        <f t="shared" si="21"/>
        <v>#REF!</v>
      </c>
      <c r="F251" s="525" t="e">
        <f t="shared" si="20"/>
        <v>#REF!</v>
      </c>
      <c r="G251" s="524"/>
    </row>
    <row r="252" s="490" customFormat="1" ht="17.25" spans="1:7">
      <c r="A252" s="521">
        <v>3.15</v>
      </c>
      <c r="B252" s="522" t="s">
        <v>586</v>
      </c>
      <c r="C252" s="521" t="s">
        <v>90</v>
      </c>
      <c r="D252" s="523">
        <v>171</v>
      </c>
      <c r="E252" s="523"/>
      <c r="F252" s="525" t="e">
        <f>SUM(F253:F263)</f>
        <v>#REF!</v>
      </c>
      <c r="G252" s="524"/>
    </row>
    <row r="253" s="490" customFormat="1" ht="17.25" spans="1:7">
      <c r="A253" s="521"/>
      <c r="B253" s="526" t="s">
        <v>61</v>
      </c>
      <c r="C253" s="527" t="s">
        <v>62</v>
      </c>
      <c r="D253" s="511">
        <f>10*D252</f>
        <v>1710</v>
      </c>
      <c r="E253" s="523" t="e">
        <f t="shared" si="21"/>
        <v>#REF!</v>
      </c>
      <c r="F253" s="525" t="e">
        <f t="shared" si="20"/>
        <v>#REF!</v>
      </c>
      <c r="G253" s="524"/>
    </row>
    <row r="254" s="490" customFormat="1" ht="17.25" spans="1:7">
      <c r="A254" s="521"/>
      <c r="B254" s="526" t="s">
        <v>63</v>
      </c>
      <c r="C254" s="527" t="s">
        <v>62</v>
      </c>
      <c r="D254" s="511">
        <f>38*D252</f>
        <v>6498</v>
      </c>
      <c r="E254" s="523">
        <f t="shared" si="21"/>
        <v>12.4804472232673</v>
      </c>
      <c r="F254" s="525">
        <f t="shared" si="20"/>
        <v>81097.9460567908</v>
      </c>
      <c r="G254" s="524"/>
    </row>
    <row r="255" s="490" customFormat="1" ht="17.25" spans="1:7">
      <c r="A255" s="521"/>
      <c r="B255" s="526" t="s">
        <v>571</v>
      </c>
      <c r="C255" s="527" t="s">
        <v>62</v>
      </c>
      <c r="D255" s="511">
        <f>3.6*D252</f>
        <v>615.6</v>
      </c>
      <c r="E255" s="523">
        <f t="shared" si="21"/>
        <v>0</v>
      </c>
      <c r="F255" s="525">
        <f t="shared" si="20"/>
        <v>0</v>
      </c>
      <c r="G255" s="524"/>
    </row>
    <row r="256" s="490" customFormat="1" ht="17.25" spans="1:7">
      <c r="A256" s="521"/>
      <c r="B256" s="526" t="s">
        <v>572</v>
      </c>
      <c r="C256" s="527" t="s">
        <v>62</v>
      </c>
      <c r="D256" s="511">
        <f>D255</f>
        <v>615.6</v>
      </c>
      <c r="E256" s="523">
        <f t="shared" si="21"/>
        <v>0</v>
      </c>
      <c r="F256" s="525">
        <f t="shared" si="20"/>
        <v>0</v>
      </c>
      <c r="G256" s="524"/>
    </row>
    <row r="257" s="490" customFormat="1" ht="17.25" spans="1:7">
      <c r="A257" s="521"/>
      <c r="B257" s="526" t="s">
        <v>560</v>
      </c>
      <c r="C257" s="527" t="s">
        <v>62</v>
      </c>
      <c r="D257" s="511">
        <f>2*D252</f>
        <v>342</v>
      </c>
      <c r="E257" s="523" t="e">
        <f t="shared" si="21"/>
        <v>#REF!</v>
      </c>
      <c r="F257" s="525" t="e">
        <f t="shared" si="20"/>
        <v>#REF!</v>
      </c>
      <c r="G257" s="524"/>
    </row>
    <row r="258" s="490" customFormat="1" ht="17.25" spans="1:7">
      <c r="A258" s="521"/>
      <c r="B258" s="526" t="s">
        <v>561</v>
      </c>
      <c r="C258" s="527" t="s">
        <v>62</v>
      </c>
      <c r="D258" s="511">
        <f>1.25*D252</f>
        <v>213.75</v>
      </c>
      <c r="E258" s="523" t="e">
        <f t="shared" si="21"/>
        <v>#REF!</v>
      </c>
      <c r="F258" s="525" t="e">
        <f t="shared" si="20"/>
        <v>#REF!</v>
      </c>
      <c r="G258" s="524"/>
    </row>
    <row r="259" s="490" customFormat="1" ht="17.25" spans="1:7">
      <c r="A259" s="521"/>
      <c r="B259" s="526" t="s">
        <v>562</v>
      </c>
      <c r="C259" s="527" t="s">
        <v>559</v>
      </c>
      <c r="D259" s="511">
        <f>15*D252</f>
        <v>2565</v>
      </c>
      <c r="E259" s="523" t="e">
        <f t="shared" si="21"/>
        <v>#REF!</v>
      </c>
      <c r="F259" s="525" t="e">
        <f t="shared" si="20"/>
        <v>#REF!</v>
      </c>
      <c r="G259" s="524"/>
    </row>
    <row r="260" s="490" customFormat="1" ht="17.25" spans="1:7">
      <c r="A260" s="521"/>
      <c r="B260" s="526" t="s">
        <v>563</v>
      </c>
      <c r="C260" s="527" t="s">
        <v>62</v>
      </c>
      <c r="D260" s="511">
        <f>0.1*D252</f>
        <v>17.1</v>
      </c>
      <c r="E260" s="523" t="e">
        <f t="shared" si="21"/>
        <v>#REF!</v>
      </c>
      <c r="F260" s="525" t="e">
        <f t="shared" si="20"/>
        <v>#REF!</v>
      </c>
      <c r="G260" s="524"/>
    </row>
    <row r="261" s="490" customFormat="1" ht="17.25" spans="1:7">
      <c r="A261" s="521"/>
      <c r="B261" s="526" t="s">
        <v>564</v>
      </c>
      <c r="C261" s="527" t="s">
        <v>62</v>
      </c>
      <c r="D261" s="511">
        <f>0.1*D252</f>
        <v>17.1</v>
      </c>
      <c r="E261" s="523">
        <f t="shared" si="21"/>
        <v>79.2891773758467</v>
      </c>
      <c r="F261" s="525">
        <f t="shared" si="20"/>
        <v>1355.84493312698</v>
      </c>
      <c r="G261" s="524"/>
    </row>
    <row r="262" s="490" customFormat="1" ht="17.25" spans="1:7">
      <c r="A262" s="521"/>
      <c r="B262" s="526" t="s">
        <v>565</v>
      </c>
      <c r="C262" s="527" t="s">
        <v>62</v>
      </c>
      <c r="D262" s="511">
        <f>2.4*D252</f>
        <v>410.4</v>
      </c>
      <c r="E262" s="523" t="e">
        <f t="shared" si="21"/>
        <v>#REF!</v>
      </c>
      <c r="F262" s="525" t="e">
        <f t="shared" si="20"/>
        <v>#REF!</v>
      </c>
      <c r="G262" s="524"/>
    </row>
    <row r="263" s="490" customFormat="1" ht="17.25" spans="1:7">
      <c r="A263" s="521"/>
      <c r="B263" s="526" t="s">
        <v>566</v>
      </c>
      <c r="C263" s="527" t="s">
        <v>559</v>
      </c>
      <c r="D263" s="511">
        <f>8*D252</f>
        <v>1368</v>
      </c>
      <c r="E263" s="523" t="e">
        <f t="shared" si="21"/>
        <v>#REF!</v>
      </c>
      <c r="F263" s="525" t="e">
        <f t="shared" si="20"/>
        <v>#REF!</v>
      </c>
      <c r="G263" s="524"/>
    </row>
    <row r="264" s="490" customFormat="1" ht="17.25" spans="1:7">
      <c r="A264" s="521">
        <v>3.16</v>
      </c>
      <c r="B264" s="522" t="s">
        <v>587</v>
      </c>
      <c r="C264" s="521" t="s">
        <v>90</v>
      </c>
      <c r="D264" s="523">
        <v>152</v>
      </c>
      <c r="E264" s="523"/>
      <c r="F264" s="525" t="e">
        <f>SUM(F265:F275)</f>
        <v>#REF!</v>
      </c>
      <c r="G264" s="524"/>
    </row>
    <row r="265" s="490" customFormat="1" ht="17.25" spans="1:7">
      <c r="A265" s="521"/>
      <c r="B265" s="526" t="s">
        <v>61</v>
      </c>
      <c r="C265" s="527" t="s">
        <v>62</v>
      </c>
      <c r="D265" s="511">
        <f>10*D264</f>
        <v>1520</v>
      </c>
      <c r="E265" s="523" t="e">
        <f t="shared" si="21"/>
        <v>#REF!</v>
      </c>
      <c r="F265" s="525" t="e">
        <f t="shared" si="20"/>
        <v>#REF!</v>
      </c>
      <c r="G265" s="524"/>
    </row>
    <row r="266" s="490" customFormat="1" ht="17.25" spans="1:7">
      <c r="A266" s="521"/>
      <c r="B266" s="526" t="s">
        <v>63</v>
      </c>
      <c r="C266" s="527" t="s">
        <v>62</v>
      </c>
      <c r="D266" s="511">
        <f>38*D264</f>
        <v>5776</v>
      </c>
      <c r="E266" s="523">
        <f t="shared" si="21"/>
        <v>12.4804472232673</v>
      </c>
      <c r="F266" s="525">
        <f t="shared" si="20"/>
        <v>72087.0631615919</v>
      </c>
      <c r="G266" s="524"/>
    </row>
    <row r="267" s="490" customFormat="1" ht="17.25" spans="1:7">
      <c r="A267" s="521"/>
      <c r="B267" s="526" t="s">
        <v>571</v>
      </c>
      <c r="C267" s="527" t="s">
        <v>62</v>
      </c>
      <c r="D267" s="511">
        <f>3.6*D264</f>
        <v>547.2</v>
      </c>
      <c r="E267" s="523">
        <f t="shared" si="21"/>
        <v>0</v>
      </c>
      <c r="F267" s="525">
        <f t="shared" si="20"/>
        <v>0</v>
      </c>
      <c r="G267" s="524"/>
    </row>
    <row r="268" s="490" customFormat="1" ht="17.25" spans="1:7">
      <c r="A268" s="521"/>
      <c r="B268" s="526" t="s">
        <v>572</v>
      </c>
      <c r="C268" s="527" t="s">
        <v>62</v>
      </c>
      <c r="D268" s="511">
        <f>D267</f>
        <v>547.2</v>
      </c>
      <c r="E268" s="523">
        <f t="shared" si="21"/>
        <v>0</v>
      </c>
      <c r="F268" s="525">
        <f t="shared" si="20"/>
        <v>0</v>
      </c>
      <c r="G268" s="524"/>
    </row>
    <row r="269" s="490" customFormat="1" ht="17.25" spans="1:7">
      <c r="A269" s="521"/>
      <c r="B269" s="526" t="s">
        <v>560</v>
      </c>
      <c r="C269" s="527" t="s">
        <v>62</v>
      </c>
      <c r="D269" s="511">
        <f>2*D264</f>
        <v>304</v>
      </c>
      <c r="E269" s="523" t="e">
        <f t="shared" si="21"/>
        <v>#REF!</v>
      </c>
      <c r="F269" s="525" t="e">
        <f t="shared" si="20"/>
        <v>#REF!</v>
      </c>
      <c r="G269" s="524"/>
    </row>
    <row r="270" s="490" customFormat="1" ht="17.25" spans="1:7">
      <c r="A270" s="521"/>
      <c r="B270" s="526" t="s">
        <v>561</v>
      </c>
      <c r="C270" s="527" t="s">
        <v>62</v>
      </c>
      <c r="D270" s="511">
        <f>1.25*D264</f>
        <v>190</v>
      </c>
      <c r="E270" s="523" t="e">
        <f t="shared" si="21"/>
        <v>#REF!</v>
      </c>
      <c r="F270" s="525" t="e">
        <f t="shared" si="20"/>
        <v>#REF!</v>
      </c>
      <c r="G270" s="524"/>
    </row>
    <row r="271" s="490" customFormat="1" ht="17.25" spans="1:7">
      <c r="A271" s="521"/>
      <c r="B271" s="526" t="s">
        <v>562</v>
      </c>
      <c r="C271" s="527" t="s">
        <v>559</v>
      </c>
      <c r="D271" s="511">
        <f>15*D264</f>
        <v>2280</v>
      </c>
      <c r="E271" s="523" t="e">
        <f t="shared" si="21"/>
        <v>#REF!</v>
      </c>
      <c r="F271" s="525" t="e">
        <f t="shared" si="20"/>
        <v>#REF!</v>
      </c>
      <c r="G271" s="524"/>
    </row>
    <row r="272" s="490" customFormat="1" ht="17.25" spans="1:7">
      <c r="A272" s="521"/>
      <c r="B272" s="526" t="s">
        <v>563</v>
      </c>
      <c r="C272" s="527" t="s">
        <v>62</v>
      </c>
      <c r="D272" s="511">
        <f>0.1*D264</f>
        <v>15.2</v>
      </c>
      <c r="E272" s="523" t="e">
        <f t="shared" si="21"/>
        <v>#REF!</v>
      </c>
      <c r="F272" s="525" t="e">
        <f t="shared" si="20"/>
        <v>#REF!</v>
      </c>
      <c r="G272" s="524"/>
    </row>
    <row r="273" s="490" customFormat="1" ht="17.25" spans="1:7">
      <c r="A273" s="521"/>
      <c r="B273" s="526" t="s">
        <v>564</v>
      </c>
      <c r="C273" s="527" t="s">
        <v>62</v>
      </c>
      <c r="D273" s="511">
        <f>0.1*D264</f>
        <v>15.2</v>
      </c>
      <c r="E273" s="523">
        <f t="shared" si="21"/>
        <v>79.2891773758467</v>
      </c>
      <c r="F273" s="525">
        <f t="shared" si="20"/>
        <v>1205.19549611287</v>
      </c>
      <c r="G273" s="524"/>
    </row>
    <row r="274" s="490" customFormat="1" ht="17.25" spans="1:7">
      <c r="A274" s="521"/>
      <c r="B274" s="526" t="s">
        <v>565</v>
      </c>
      <c r="C274" s="527" t="s">
        <v>62</v>
      </c>
      <c r="D274" s="511">
        <f>2.4*D264</f>
        <v>364.8</v>
      </c>
      <c r="E274" s="523" t="e">
        <f t="shared" si="21"/>
        <v>#REF!</v>
      </c>
      <c r="F274" s="525" t="e">
        <f t="shared" si="20"/>
        <v>#REF!</v>
      </c>
      <c r="G274" s="524"/>
    </row>
    <row r="275" s="490" customFormat="1" ht="17.25" spans="1:7">
      <c r="A275" s="521"/>
      <c r="B275" s="526" t="s">
        <v>566</v>
      </c>
      <c r="C275" s="527" t="s">
        <v>559</v>
      </c>
      <c r="D275" s="511">
        <f>8*D264</f>
        <v>1216</v>
      </c>
      <c r="E275" s="523" t="e">
        <f t="shared" si="21"/>
        <v>#REF!</v>
      </c>
      <c r="F275" s="525" t="e">
        <f t="shared" si="20"/>
        <v>#REF!</v>
      </c>
      <c r="G275" s="524"/>
    </row>
    <row r="276" s="490" customFormat="1" ht="17.25" spans="1:7">
      <c r="A276" s="521">
        <v>3.17</v>
      </c>
      <c r="B276" s="522" t="s">
        <v>588</v>
      </c>
      <c r="C276" s="521" t="s">
        <v>90</v>
      </c>
      <c r="D276" s="523">
        <v>315</v>
      </c>
      <c r="E276" s="523"/>
      <c r="F276" s="525" t="e">
        <f>SUM(F277:F287)</f>
        <v>#REF!</v>
      </c>
      <c r="G276" s="524"/>
    </row>
    <row r="277" s="490" customFormat="1" ht="17.25" spans="1:7">
      <c r="A277" s="521"/>
      <c r="B277" s="526" t="s">
        <v>61</v>
      </c>
      <c r="C277" s="527" t="s">
        <v>62</v>
      </c>
      <c r="D277" s="511">
        <f>10*D276</f>
        <v>3150</v>
      </c>
      <c r="E277" s="523" t="e">
        <f t="shared" si="21"/>
        <v>#REF!</v>
      </c>
      <c r="F277" s="525" t="e">
        <f t="shared" si="20"/>
        <v>#REF!</v>
      </c>
      <c r="G277" s="524"/>
    </row>
    <row r="278" s="490" customFormat="1" ht="17.25" spans="1:7">
      <c r="A278" s="521"/>
      <c r="B278" s="526" t="s">
        <v>63</v>
      </c>
      <c r="C278" s="527" t="s">
        <v>62</v>
      </c>
      <c r="D278" s="511">
        <f>38*D276</f>
        <v>11970</v>
      </c>
      <c r="E278" s="523">
        <f t="shared" si="21"/>
        <v>12.4804472232673</v>
      </c>
      <c r="F278" s="525">
        <f t="shared" si="20"/>
        <v>149390.953262509</v>
      </c>
      <c r="G278" s="524"/>
    </row>
    <row r="279" s="490" customFormat="1" ht="17.25" spans="1:7">
      <c r="A279" s="521"/>
      <c r="B279" s="526" t="s">
        <v>571</v>
      </c>
      <c r="C279" s="527" t="s">
        <v>62</v>
      </c>
      <c r="D279" s="511">
        <f>3.6*D276</f>
        <v>1134</v>
      </c>
      <c r="E279" s="523">
        <f t="shared" si="21"/>
        <v>0</v>
      </c>
      <c r="F279" s="525">
        <f t="shared" si="20"/>
        <v>0</v>
      </c>
      <c r="G279" s="524"/>
    </row>
    <row r="280" s="490" customFormat="1" ht="17.25" spans="1:7">
      <c r="A280" s="521"/>
      <c r="B280" s="526" t="s">
        <v>572</v>
      </c>
      <c r="C280" s="527" t="s">
        <v>62</v>
      </c>
      <c r="D280" s="511">
        <f>D279</f>
        <v>1134</v>
      </c>
      <c r="E280" s="523">
        <f t="shared" si="21"/>
        <v>0</v>
      </c>
      <c r="F280" s="525">
        <f t="shared" si="20"/>
        <v>0</v>
      </c>
      <c r="G280" s="524"/>
    </row>
    <row r="281" s="490" customFormat="1" ht="17.25" spans="1:7">
      <c r="A281" s="521"/>
      <c r="B281" s="526" t="s">
        <v>560</v>
      </c>
      <c r="C281" s="527" t="s">
        <v>62</v>
      </c>
      <c r="D281" s="511">
        <f>2*D276</f>
        <v>630</v>
      </c>
      <c r="E281" s="523" t="e">
        <f t="shared" si="21"/>
        <v>#REF!</v>
      </c>
      <c r="F281" s="525" t="e">
        <f t="shared" si="20"/>
        <v>#REF!</v>
      </c>
      <c r="G281" s="524"/>
    </row>
    <row r="282" s="490" customFormat="1" ht="17.25" spans="1:7">
      <c r="A282" s="521"/>
      <c r="B282" s="526" t="s">
        <v>561</v>
      </c>
      <c r="C282" s="527" t="s">
        <v>62</v>
      </c>
      <c r="D282" s="511">
        <f>1.25*D276</f>
        <v>393.75</v>
      </c>
      <c r="E282" s="523" t="e">
        <f t="shared" si="21"/>
        <v>#REF!</v>
      </c>
      <c r="F282" s="525" t="e">
        <f t="shared" si="20"/>
        <v>#REF!</v>
      </c>
      <c r="G282" s="524"/>
    </row>
    <row r="283" s="490" customFormat="1" ht="17.25" spans="1:7">
      <c r="A283" s="521"/>
      <c r="B283" s="526" t="s">
        <v>562</v>
      </c>
      <c r="C283" s="527" t="s">
        <v>559</v>
      </c>
      <c r="D283" s="511">
        <f>15*D276</f>
        <v>4725</v>
      </c>
      <c r="E283" s="523" t="e">
        <f t="shared" si="21"/>
        <v>#REF!</v>
      </c>
      <c r="F283" s="525" t="e">
        <f t="shared" si="20"/>
        <v>#REF!</v>
      </c>
      <c r="G283" s="524"/>
    </row>
    <row r="284" s="490" customFormat="1" ht="17.25" spans="1:7">
      <c r="A284" s="521"/>
      <c r="B284" s="526" t="s">
        <v>563</v>
      </c>
      <c r="C284" s="527" t="s">
        <v>62</v>
      </c>
      <c r="D284" s="511">
        <f>0.1*D276</f>
        <v>31.5</v>
      </c>
      <c r="E284" s="523" t="e">
        <f t="shared" si="21"/>
        <v>#REF!</v>
      </c>
      <c r="F284" s="525" t="e">
        <f t="shared" si="20"/>
        <v>#REF!</v>
      </c>
      <c r="G284" s="524"/>
    </row>
    <row r="285" s="490" customFormat="1" ht="17.25" spans="1:7">
      <c r="A285" s="521"/>
      <c r="B285" s="526" t="s">
        <v>564</v>
      </c>
      <c r="C285" s="527" t="s">
        <v>62</v>
      </c>
      <c r="D285" s="511">
        <f>0.1*D276</f>
        <v>31.5</v>
      </c>
      <c r="E285" s="523">
        <f t="shared" si="21"/>
        <v>79.2891773758467</v>
      </c>
      <c r="F285" s="525">
        <f t="shared" si="20"/>
        <v>2497.60908733917</v>
      </c>
      <c r="G285" s="524"/>
    </row>
    <row r="286" s="490" customFormat="1" ht="17.25" spans="1:7">
      <c r="A286" s="521"/>
      <c r="B286" s="526" t="s">
        <v>565</v>
      </c>
      <c r="C286" s="527" t="s">
        <v>62</v>
      </c>
      <c r="D286" s="511">
        <f>2.4*D276</f>
        <v>756</v>
      </c>
      <c r="E286" s="523" t="e">
        <f t="shared" si="21"/>
        <v>#REF!</v>
      </c>
      <c r="F286" s="525" t="e">
        <f t="shared" si="20"/>
        <v>#REF!</v>
      </c>
      <c r="G286" s="524"/>
    </row>
    <row r="287" s="490" customFormat="1" ht="17.25" spans="1:7">
      <c r="A287" s="521"/>
      <c r="B287" s="526" t="s">
        <v>566</v>
      </c>
      <c r="C287" s="527" t="s">
        <v>559</v>
      </c>
      <c r="D287" s="511">
        <f>8*D276</f>
        <v>2520</v>
      </c>
      <c r="E287" s="523" t="e">
        <f t="shared" si="21"/>
        <v>#REF!</v>
      </c>
      <c r="F287" s="525" t="e">
        <f t="shared" si="20"/>
        <v>#REF!</v>
      </c>
      <c r="G287" s="524"/>
    </row>
    <row r="288" s="490" customFormat="1" ht="17.25" spans="1:7">
      <c r="A288" s="521">
        <v>3.18</v>
      </c>
      <c r="B288" s="522" t="s">
        <v>589</v>
      </c>
      <c r="C288" s="521" t="s">
        <v>90</v>
      </c>
      <c r="D288" s="523">
        <v>144</v>
      </c>
      <c r="E288" s="523"/>
      <c r="F288" s="525" t="e">
        <f>SUM(F289:F299)</f>
        <v>#REF!</v>
      </c>
      <c r="G288" s="524"/>
    </row>
    <row r="289" s="490" customFormat="1" ht="17.25" spans="1:7">
      <c r="A289" s="521"/>
      <c r="B289" s="526" t="s">
        <v>61</v>
      </c>
      <c r="C289" s="527" t="s">
        <v>62</v>
      </c>
      <c r="D289" s="511">
        <f>10*D288</f>
        <v>1440</v>
      </c>
      <c r="E289" s="523" t="e">
        <f t="shared" si="21"/>
        <v>#REF!</v>
      </c>
      <c r="F289" s="525" t="e">
        <f t="shared" si="20"/>
        <v>#REF!</v>
      </c>
      <c r="G289" s="524"/>
    </row>
    <row r="290" s="490" customFormat="1" ht="17.25" spans="1:7">
      <c r="A290" s="521"/>
      <c r="B290" s="526" t="s">
        <v>63</v>
      </c>
      <c r="C290" s="527" t="s">
        <v>62</v>
      </c>
      <c r="D290" s="511">
        <f>38*D288</f>
        <v>5472</v>
      </c>
      <c r="E290" s="523">
        <f t="shared" si="21"/>
        <v>12.4804472232673</v>
      </c>
      <c r="F290" s="525">
        <f t="shared" si="20"/>
        <v>68293.0072057186</v>
      </c>
      <c r="G290" s="524"/>
    </row>
    <row r="291" s="490" customFormat="1" ht="17.25" spans="1:7">
      <c r="A291" s="521"/>
      <c r="B291" s="526" t="s">
        <v>571</v>
      </c>
      <c r="C291" s="527" t="s">
        <v>62</v>
      </c>
      <c r="D291" s="511">
        <f>3.6*D288</f>
        <v>518.4</v>
      </c>
      <c r="E291" s="523">
        <f t="shared" si="21"/>
        <v>0</v>
      </c>
      <c r="F291" s="525">
        <f t="shared" si="20"/>
        <v>0</v>
      </c>
      <c r="G291" s="524"/>
    </row>
    <row r="292" s="490" customFormat="1" ht="17.25" spans="1:7">
      <c r="A292" s="521"/>
      <c r="B292" s="526" t="s">
        <v>572</v>
      </c>
      <c r="C292" s="527" t="s">
        <v>62</v>
      </c>
      <c r="D292" s="511">
        <f>D291</f>
        <v>518.4</v>
      </c>
      <c r="E292" s="523">
        <f t="shared" si="21"/>
        <v>0</v>
      </c>
      <c r="F292" s="525">
        <f t="shared" si="20"/>
        <v>0</v>
      </c>
      <c r="G292" s="524"/>
    </row>
    <row r="293" s="490" customFormat="1" ht="17.25" spans="1:7">
      <c r="A293" s="521"/>
      <c r="B293" s="526" t="s">
        <v>560</v>
      </c>
      <c r="C293" s="527" t="s">
        <v>62</v>
      </c>
      <c r="D293" s="511">
        <f>2*D288</f>
        <v>288</v>
      </c>
      <c r="E293" s="523" t="e">
        <f t="shared" si="21"/>
        <v>#REF!</v>
      </c>
      <c r="F293" s="525" t="e">
        <f t="shared" si="20"/>
        <v>#REF!</v>
      </c>
      <c r="G293" s="524"/>
    </row>
    <row r="294" s="490" customFormat="1" ht="17.25" spans="1:7">
      <c r="A294" s="521"/>
      <c r="B294" s="526" t="s">
        <v>561</v>
      </c>
      <c r="C294" s="527" t="s">
        <v>62</v>
      </c>
      <c r="D294" s="511">
        <f>1.25*D288</f>
        <v>180</v>
      </c>
      <c r="E294" s="523" t="e">
        <f t="shared" si="21"/>
        <v>#REF!</v>
      </c>
      <c r="F294" s="525" t="e">
        <f t="shared" si="20"/>
        <v>#REF!</v>
      </c>
      <c r="G294" s="524"/>
    </row>
    <row r="295" s="490" customFormat="1" ht="17.25" spans="1:7">
      <c r="A295" s="521"/>
      <c r="B295" s="526" t="s">
        <v>562</v>
      </c>
      <c r="C295" s="527" t="s">
        <v>559</v>
      </c>
      <c r="D295" s="511">
        <f>15*D288</f>
        <v>2160</v>
      </c>
      <c r="E295" s="523" t="e">
        <f t="shared" si="21"/>
        <v>#REF!</v>
      </c>
      <c r="F295" s="525" t="e">
        <f t="shared" si="20"/>
        <v>#REF!</v>
      </c>
      <c r="G295" s="524"/>
    </row>
    <row r="296" s="490" customFormat="1" ht="17.25" spans="1:7">
      <c r="A296" s="521"/>
      <c r="B296" s="526" t="s">
        <v>563</v>
      </c>
      <c r="C296" s="527" t="s">
        <v>62</v>
      </c>
      <c r="D296" s="511">
        <f>0.1*D288</f>
        <v>14.4</v>
      </c>
      <c r="E296" s="523" t="e">
        <f t="shared" si="21"/>
        <v>#REF!</v>
      </c>
      <c r="F296" s="525" t="e">
        <f t="shared" ref="F296:F359" si="22">D296*E296</f>
        <v>#REF!</v>
      </c>
      <c r="G296" s="524"/>
    </row>
    <row r="297" s="490" customFormat="1" ht="17.25" spans="1:7">
      <c r="A297" s="521"/>
      <c r="B297" s="526" t="s">
        <v>564</v>
      </c>
      <c r="C297" s="527" t="s">
        <v>62</v>
      </c>
      <c r="D297" s="511">
        <f>0.1*D288</f>
        <v>14.4</v>
      </c>
      <c r="E297" s="523">
        <f t="shared" si="21"/>
        <v>79.2891773758467</v>
      </c>
      <c r="F297" s="525">
        <f t="shared" si="22"/>
        <v>1141.76415421219</v>
      </c>
      <c r="G297" s="524"/>
    </row>
    <row r="298" s="490" customFormat="1" ht="17.25" spans="1:7">
      <c r="A298" s="521"/>
      <c r="B298" s="526" t="s">
        <v>565</v>
      </c>
      <c r="C298" s="527" t="s">
        <v>62</v>
      </c>
      <c r="D298" s="511">
        <f>2.4*D288</f>
        <v>345.6</v>
      </c>
      <c r="E298" s="523" t="e">
        <f t="shared" si="21"/>
        <v>#REF!</v>
      </c>
      <c r="F298" s="525" t="e">
        <f t="shared" si="22"/>
        <v>#REF!</v>
      </c>
      <c r="G298" s="524"/>
    </row>
    <row r="299" s="490" customFormat="1" ht="17.25" spans="1:7">
      <c r="A299" s="521"/>
      <c r="B299" s="526" t="s">
        <v>566</v>
      </c>
      <c r="C299" s="527" t="s">
        <v>559</v>
      </c>
      <c r="D299" s="511">
        <f>8*D288</f>
        <v>1152</v>
      </c>
      <c r="E299" s="523" t="e">
        <f t="shared" si="21"/>
        <v>#REF!</v>
      </c>
      <c r="F299" s="525" t="e">
        <f t="shared" si="22"/>
        <v>#REF!</v>
      </c>
      <c r="G299" s="524"/>
    </row>
    <row r="300" s="490" customFormat="1" ht="17.25" spans="1:7">
      <c r="A300" s="521">
        <v>3.19</v>
      </c>
      <c r="B300" s="522" t="s">
        <v>590</v>
      </c>
      <c r="C300" s="521" t="s">
        <v>90</v>
      </c>
      <c r="D300" s="523">
        <v>179</v>
      </c>
      <c r="E300" s="523"/>
      <c r="F300" s="525" t="e">
        <f>SUM(F301:F311)</f>
        <v>#REF!</v>
      </c>
      <c r="G300" s="524"/>
    </row>
    <row r="301" s="490" customFormat="1" ht="17.25" spans="1:7">
      <c r="A301" s="521"/>
      <c r="B301" s="526" t="s">
        <v>61</v>
      </c>
      <c r="C301" s="527" t="s">
        <v>62</v>
      </c>
      <c r="D301" s="511">
        <f>10*D300</f>
        <v>1790</v>
      </c>
      <c r="E301" s="523" t="e">
        <f t="shared" si="21"/>
        <v>#REF!</v>
      </c>
      <c r="F301" s="525" t="e">
        <f t="shared" si="22"/>
        <v>#REF!</v>
      </c>
      <c r="G301" s="524"/>
    </row>
    <row r="302" s="490" customFormat="1" ht="17.25" spans="1:7">
      <c r="A302" s="521"/>
      <c r="B302" s="526" t="s">
        <v>63</v>
      </c>
      <c r="C302" s="527" t="s">
        <v>62</v>
      </c>
      <c r="D302" s="511">
        <f>38*D300</f>
        <v>6802</v>
      </c>
      <c r="E302" s="523">
        <f t="shared" si="21"/>
        <v>12.4804472232673</v>
      </c>
      <c r="F302" s="525">
        <f t="shared" si="22"/>
        <v>84892.0020126641</v>
      </c>
      <c r="G302" s="524"/>
    </row>
    <row r="303" s="490" customFormat="1" ht="17.25" spans="1:7">
      <c r="A303" s="521"/>
      <c r="B303" s="526" t="s">
        <v>571</v>
      </c>
      <c r="C303" s="527" t="s">
        <v>62</v>
      </c>
      <c r="D303" s="511">
        <f>3.6*D300</f>
        <v>644.4</v>
      </c>
      <c r="E303" s="523">
        <f t="shared" si="21"/>
        <v>0</v>
      </c>
      <c r="F303" s="525">
        <f t="shared" si="22"/>
        <v>0</v>
      </c>
      <c r="G303" s="524"/>
    </row>
    <row r="304" s="490" customFormat="1" ht="17.25" spans="1:7">
      <c r="A304" s="521"/>
      <c r="B304" s="526" t="s">
        <v>572</v>
      </c>
      <c r="C304" s="527" t="s">
        <v>62</v>
      </c>
      <c r="D304" s="511">
        <f>D303</f>
        <v>644.4</v>
      </c>
      <c r="E304" s="523">
        <f t="shared" si="21"/>
        <v>0</v>
      </c>
      <c r="F304" s="525">
        <f t="shared" si="22"/>
        <v>0</v>
      </c>
      <c r="G304" s="524"/>
    </row>
    <row r="305" s="490" customFormat="1" ht="17.25" spans="1:7">
      <c r="A305" s="521"/>
      <c r="B305" s="526" t="s">
        <v>560</v>
      </c>
      <c r="C305" s="527" t="s">
        <v>62</v>
      </c>
      <c r="D305" s="511">
        <f>2*D300</f>
        <v>358</v>
      </c>
      <c r="E305" s="523" t="e">
        <f t="shared" si="21"/>
        <v>#REF!</v>
      </c>
      <c r="F305" s="525" t="e">
        <f t="shared" si="22"/>
        <v>#REF!</v>
      </c>
      <c r="G305" s="524"/>
    </row>
    <row r="306" s="490" customFormat="1" ht="17.25" spans="1:7">
      <c r="A306" s="521"/>
      <c r="B306" s="526" t="s">
        <v>561</v>
      </c>
      <c r="C306" s="527" t="s">
        <v>62</v>
      </c>
      <c r="D306" s="511">
        <f>1.25*D300</f>
        <v>223.75</v>
      </c>
      <c r="E306" s="523" t="e">
        <f t="shared" ref="E306:E369" si="23">E294</f>
        <v>#REF!</v>
      </c>
      <c r="F306" s="525" t="e">
        <f t="shared" si="22"/>
        <v>#REF!</v>
      </c>
      <c r="G306" s="524"/>
    </row>
    <row r="307" s="490" customFormat="1" ht="17.25" spans="1:7">
      <c r="A307" s="521"/>
      <c r="B307" s="526" t="s">
        <v>562</v>
      </c>
      <c r="C307" s="527" t="s">
        <v>559</v>
      </c>
      <c r="D307" s="511">
        <f>15*D300</f>
        <v>2685</v>
      </c>
      <c r="E307" s="523" t="e">
        <f t="shared" si="23"/>
        <v>#REF!</v>
      </c>
      <c r="F307" s="525" t="e">
        <f t="shared" si="22"/>
        <v>#REF!</v>
      </c>
      <c r="G307" s="524"/>
    </row>
    <row r="308" s="490" customFormat="1" ht="17.25" spans="1:7">
      <c r="A308" s="521"/>
      <c r="B308" s="526" t="s">
        <v>563</v>
      </c>
      <c r="C308" s="527" t="s">
        <v>62</v>
      </c>
      <c r="D308" s="511">
        <f>0.1*D300</f>
        <v>17.9</v>
      </c>
      <c r="E308" s="523" t="e">
        <f t="shared" si="23"/>
        <v>#REF!</v>
      </c>
      <c r="F308" s="525" t="e">
        <f t="shared" si="22"/>
        <v>#REF!</v>
      </c>
      <c r="G308" s="524"/>
    </row>
    <row r="309" s="490" customFormat="1" ht="17.25" spans="1:7">
      <c r="A309" s="521"/>
      <c r="B309" s="526" t="s">
        <v>564</v>
      </c>
      <c r="C309" s="527" t="s">
        <v>62</v>
      </c>
      <c r="D309" s="511">
        <f>0.1*D300</f>
        <v>17.9</v>
      </c>
      <c r="E309" s="523">
        <f t="shared" si="23"/>
        <v>79.2891773758467</v>
      </c>
      <c r="F309" s="525">
        <f t="shared" si="22"/>
        <v>1419.27627502766</v>
      </c>
      <c r="G309" s="524"/>
    </row>
    <row r="310" s="490" customFormat="1" ht="17.25" spans="1:7">
      <c r="A310" s="521"/>
      <c r="B310" s="526" t="s">
        <v>565</v>
      </c>
      <c r="C310" s="527" t="s">
        <v>62</v>
      </c>
      <c r="D310" s="511">
        <f>2.4*D300</f>
        <v>429.6</v>
      </c>
      <c r="E310" s="523" t="e">
        <f t="shared" si="23"/>
        <v>#REF!</v>
      </c>
      <c r="F310" s="525" t="e">
        <f t="shared" si="22"/>
        <v>#REF!</v>
      </c>
      <c r="G310" s="524"/>
    </row>
    <row r="311" s="490" customFormat="1" ht="17.25" spans="1:7">
      <c r="A311" s="521"/>
      <c r="B311" s="526" t="s">
        <v>566</v>
      </c>
      <c r="C311" s="527" t="s">
        <v>559</v>
      </c>
      <c r="D311" s="511">
        <f>8*D300</f>
        <v>1432</v>
      </c>
      <c r="E311" s="523" t="e">
        <f t="shared" si="23"/>
        <v>#REF!</v>
      </c>
      <c r="F311" s="525" t="e">
        <f t="shared" si="22"/>
        <v>#REF!</v>
      </c>
      <c r="G311" s="524"/>
    </row>
    <row r="312" s="490" customFormat="1" ht="17.25" spans="1:7">
      <c r="A312" s="523">
        <v>3.2</v>
      </c>
      <c r="B312" s="522" t="s">
        <v>591</v>
      </c>
      <c r="C312" s="521" t="s">
        <v>90</v>
      </c>
      <c r="D312" s="523">
        <v>433</v>
      </c>
      <c r="E312" s="523"/>
      <c r="F312" s="525" t="e">
        <f>SUM(F313:F323)</f>
        <v>#REF!</v>
      </c>
      <c r="G312" s="524"/>
    </row>
    <row r="313" s="490" customFormat="1" ht="17.25" spans="1:7">
      <c r="A313" s="521"/>
      <c r="B313" s="526" t="s">
        <v>61</v>
      </c>
      <c r="C313" s="527" t="s">
        <v>62</v>
      </c>
      <c r="D313" s="511">
        <f>10*D312</f>
        <v>4330</v>
      </c>
      <c r="E313" s="523" t="e">
        <f t="shared" si="23"/>
        <v>#REF!</v>
      </c>
      <c r="F313" s="525" t="e">
        <f t="shared" si="22"/>
        <v>#REF!</v>
      </c>
      <c r="G313" s="524"/>
    </row>
    <row r="314" s="490" customFormat="1" ht="17.25" spans="1:7">
      <c r="A314" s="521"/>
      <c r="B314" s="526" t="s">
        <v>63</v>
      </c>
      <c r="C314" s="527" t="s">
        <v>62</v>
      </c>
      <c r="D314" s="511">
        <f>38*D312</f>
        <v>16454</v>
      </c>
      <c r="E314" s="523">
        <f t="shared" si="23"/>
        <v>12.4804472232673</v>
      </c>
      <c r="F314" s="525">
        <f t="shared" si="22"/>
        <v>205353.27861164</v>
      </c>
      <c r="G314" s="524"/>
    </row>
    <row r="315" s="490" customFormat="1" ht="17.25" spans="1:7">
      <c r="A315" s="521"/>
      <c r="B315" s="526" t="s">
        <v>571</v>
      </c>
      <c r="C315" s="527" t="s">
        <v>62</v>
      </c>
      <c r="D315" s="511">
        <f>3.6*D312</f>
        <v>1558.8</v>
      </c>
      <c r="E315" s="523">
        <f t="shared" si="23"/>
        <v>0</v>
      </c>
      <c r="F315" s="525">
        <f t="shared" si="22"/>
        <v>0</v>
      </c>
      <c r="G315" s="524"/>
    </row>
    <row r="316" s="490" customFormat="1" ht="17.25" spans="1:7">
      <c r="A316" s="521"/>
      <c r="B316" s="526" t="s">
        <v>572</v>
      </c>
      <c r="C316" s="527" t="s">
        <v>62</v>
      </c>
      <c r="D316" s="511">
        <f>D315</f>
        <v>1558.8</v>
      </c>
      <c r="E316" s="523">
        <f t="shared" si="23"/>
        <v>0</v>
      </c>
      <c r="F316" s="525">
        <f t="shared" si="22"/>
        <v>0</v>
      </c>
      <c r="G316" s="524"/>
    </row>
    <row r="317" s="490" customFormat="1" ht="17.25" spans="1:7">
      <c r="A317" s="521"/>
      <c r="B317" s="526" t="s">
        <v>560</v>
      </c>
      <c r="C317" s="527" t="s">
        <v>62</v>
      </c>
      <c r="D317" s="511">
        <f>2*D312</f>
        <v>866</v>
      </c>
      <c r="E317" s="523" t="e">
        <f t="shared" si="23"/>
        <v>#REF!</v>
      </c>
      <c r="F317" s="525" t="e">
        <f t="shared" si="22"/>
        <v>#REF!</v>
      </c>
      <c r="G317" s="524"/>
    </row>
    <row r="318" s="490" customFormat="1" ht="17.25" spans="1:7">
      <c r="A318" s="521"/>
      <c r="B318" s="526" t="s">
        <v>561</v>
      </c>
      <c r="C318" s="527" t="s">
        <v>62</v>
      </c>
      <c r="D318" s="511">
        <f>1.25*D312</f>
        <v>541.25</v>
      </c>
      <c r="E318" s="523" t="e">
        <f t="shared" si="23"/>
        <v>#REF!</v>
      </c>
      <c r="F318" s="525" t="e">
        <f t="shared" si="22"/>
        <v>#REF!</v>
      </c>
      <c r="G318" s="524"/>
    </row>
    <row r="319" s="490" customFormat="1" ht="17.25" spans="1:7">
      <c r="A319" s="521"/>
      <c r="B319" s="526" t="s">
        <v>562</v>
      </c>
      <c r="C319" s="527" t="s">
        <v>559</v>
      </c>
      <c r="D319" s="511">
        <f>15*D312</f>
        <v>6495</v>
      </c>
      <c r="E319" s="523" t="e">
        <f t="shared" si="23"/>
        <v>#REF!</v>
      </c>
      <c r="F319" s="525" t="e">
        <f t="shared" si="22"/>
        <v>#REF!</v>
      </c>
      <c r="G319" s="524"/>
    </row>
    <row r="320" s="490" customFormat="1" ht="17.25" spans="1:7">
      <c r="A320" s="521"/>
      <c r="B320" s="526" t="s">
        <v>563</v>
      </c>
      <c r="C320" s="527" t="s">
        <v>62</v>
      </c>
      <c r="D320" s="511">
        <f>0.1*D312</f>
        <v>43.3</v>
      </c>
      <c r="E320" s="523" t="e">
        <f t="shared" si="23"/>
        <v>#REF!</v>
      </c>
      <c r="F320" s="525" t="e">
        <f t="shared" si="22"/>
        <v>#REF!</v>
      </c>
      <c r="G320" s="524"/>
    </row>
    <row r="321" s="490" customFormat="1" ht="17.25" spans="1:12">
      <c r="A321" s="521"/>
      <c r="B321" s="526" t="s">
        <v>564</v>
      </c>
      <c r="C321" s="527" t="s">
        <v>62</v>
      </c>
      <c r="D321" s="511">
        <f>0.1*D312</f>
        <v>43.3</v>
      </c>
      <c r="E321" s="523">
        <f t="shared" si="23"/>
        <v>79.2891773758467</v>
      </c>
      <c r="F321" s="525">
        <f t="shared" si="22"/>
        <v>3433.22138037416</v>
      </c>
      <c r="G321" s="524"/>
      <c r="L321" s="490">
        <f>35*12</f>
        <v>420</v>
      </c>
    </row>
    <row r="322" s="490" customFormat="1" ht="17.25" spans="1:7">
      <c r="A322" s="521"/>
      <c r="B322" s="526" t="s">
        <v>565</v>
      </c>
      <c r="C322" s="527" t="s">
        <v>62</v>
      </c>
      <c r="D322" s="511">
        <f>2.4*D312</f>
        <v>1039.2</v>
      </c>
      <c r="E322" s="523" t="e">
        <f t="shared" si="23"/>
        <v>#REF!</v>
      </c>
      <c r="F322" s="525" t="e">
        <f t="shared" si="22"/>
        <v>#REF!</v>
      </c>
      <c r="G322" s="524"/>
    </row>
    <row r="323" s="490" customFormat="1" ht="17.25" spans="1:7">
      <c r="A323" s="521"/>
      <c r="B323" s="526" t="s">
        <v>566</v>
      </c>
      <c r="C323" s="527" t="s">
        <v>559</v>
      </c>
      <c r="D323" s="511">
        <f>8*D312</f>
        <v>3464</v>
      </c>
      <c r="E323" s="523" t="e">
        <f t="shared" si="23"/>
        <v>#REF!</v>
      </c>
      <c r="F323" s="525" t="e">
        <f t="shared" si="22"/>
        <v>#REF!</v>
      </c>
      <c r="G323" s="524"/>
    </row>
    <row r="324" s="490" customFormat="1" ht="17.25" spans="1:7">
      <c r="A324" s="523">
        <v>3.21</v>
      </c>
      <c r="B324" s="522" t="s">
        <v>591</v>
      </c>
      <c r="C324" s="521" t="s">
        <v>90</v>
      </c>
      <c r="D324" s="523">
        <v>433</v>
      </c>
      <c r="E324" s="523"/>
      <c r="F324" s="525" t="e">
        <f>SUM(F325:F335)</f>
        <v>#REF!</v>
      </c>
      <c r="G324" s="524"/>
    </row>
    <row r="325" s="490" customFormat="1" ht="17.25" spans="1:7">
      <c r="A325" s="521"/>
      <c r="B325" s="526" t="s">
        <v>61</v>
      </c>
      <c r="C325" s="527" t="s">
        <v>62</v>
      </c>
      <c r="D325" s="511">
        <f>10*D324</f>
        <v>4330</v>
      </c>
      <c r="E325" s="523" t="e">
        <f t="shared" si="23"/>
        <v>#REF!</v>
      </c>
      <c r="F325" s="525" t="e">
        <f t="shared" si="22"/>
        <v>#REF!</v>
      </c>
      <c r="G325" s="524"/>
    </row>
    <row r="326" s="490" customFormat="1" ht="17.25" spans="1:7">
      <c r="A326" s="521"/>
      <c r="B326" s="526" t="s">
        <v>63</v>
      </c>
      <c r="C326" s="527" t="s">
        <v>62</v>
      </c>
      <c r="D326" s="511">
        <f>38*D324</f>
        <v>16454</v>
      </c>
      <c r="E326" s="523">
        <f t="shared" si="23"/>
        <v>12.4804472232673</v>
      </c>
      <c r="F326" s="525">
        <f t="shared" si="22"/>
        <v>205353.27861164</v>
      </c>
      <c r="G326" s="524"/>
    </row>
    <row r="327" s="490" customFormat="1" ht="17.25" spans="1:7">
      <c r="A327" s="521"/>
      <c r="B327" s="526" t="s">
        <v>571</v>
      </c>
      <c r="C327" s="527" t="s">
        <v>62</v>
      </c>
      <c r="D327" s="511">
        <f>3.6*D324</f>
        <v>1558.8</v>
      </c>
      <c r="E327" s="523">
        <f t="shared" si="23"/>
        <v>0</v>
      </c>
      <c r="F327" s="525">
        <f t="shared" si="22"/>
        <v>0</v>
      </c>
      <c r="G327" s="524"/>
    </row>
    <row r="328" s="490" customFormat="1" ht="17.25" spans="1:7">
      <c r="A328" s="521"/>
      <c r="B328" s="526" t="s">
        <v>572</v>
      </c>
      <c r="C328" s="527" t="s">
        <v>62</v>
      </c>
      <c r="D328" s="511">
        <f>D327</f>
        <v>1558.8</v>
      </c>
      <c r="E328" s="523">
        <f t="shared" si="23"/>
        <v>0</v>
      </c>
      <c r="F328" s="525">
        <f t="shared" si="22"/>
        <v>0</v>
      </c>
      <c r="G328" s="524"/>
    </row>
    <row r="329" s="490" customFormat="1" ht="17.25" spans="1:7">
      <c r="A329" s="521"/>
      <c r="B329" s="526" t="s">
        <v>560</v>
      </c>
      <c r="C329" s="527" t="s">
        <v>62</v>
      </c>
      <c r="D329" s="511">
        <f>2*D324</f>
        <v>866</v>
      </c>
      <c r="E329" s="523" t="e">
        <f t="shared" si="23"/>
        <v>#REF!</v>
      </c>
      <c r="F329" s="525" t="e">
        <f t="shared" si="22"/>
        <v>#REF!</v>
      </c>
      <c r="G329" s="524"/>
    </row>
    <row r="330" s="490" customFormat="1" ht="17.25" spans="1:7">
      <c r="A330" s="521"/>
      <c r="B330" s="526" t="s">
        <v>561</v>
      </c>
      <c r="C330" s="527" t="s">
        <v>62</v>
      </c>
      <c r="D330" s="511">
        <f>1.25*D324</f>
        <v>541.25</v>
      </c>
      <c r="E330" s="523" t="e">
        <f t="shared" si="23"/>
        <v>#REF!</v>
      </c>
      <c r="F330" s="525" t="e">
        <f t="shared" si="22"/>
        <v>#REF!</v>
      </c>
      <c r="G330" s="524"/>
    </row>
    <row r="331" s="490" customFormat="1" ht="17.25" spans="1:7">
      <c r="A331" s="521"/>
      <c r="B331" s="526" t="s">
        <v>562</v>
      </c>
      <c r="C331" s="527" t="s">
        <v>559</v>
      </c>
      <c r="D331" s="511">
        <f>15*D324</f>
        <v>6495</v>
      </c>
      <c r="E331" s="523" t="e">
        <f t="shared" si="23"/>
        <v>#REF!</v>
      </c>
      <c r="F331" s="525" t="e">
        <f t="shared" si="22"/>
        <v>#REF!</v>
      </c>
      <c r="G331" s="524"/>
    </row>
    <row r="332" s="490" customFormat="1" ht="17.25" spans="1:7">
      <c r="A332" s="521"/>
      <c r="B332" s="526" t="s">
        <v>563</v>
      </c>
      <c r="C332" s="527" t="s">
        <v>62</v>
      </c>
      <c r="D332" s="511">
        <f>0.1*D324</f>
        <v>43.3</v>
      </c>
      <c r="E332" s="523" t="e">
        <f t="shared" si="23"/>
        <v>#REF!</v>
      </c>
      <c r="F332" s="525" t="e">
        <f t="shared" si="22"/>
        <v>#REF!</v>
      </c>
      <c r="G332" s="524"/>
    </row>
    <row r="333" s="490" customFormat="1" ht="17.25" spans="1:7">
      <c r="A333" s="521"/>
      <c r="B333" s="526" t="s">
        <v>564</v>
      </c>
      <c r="C333" s="527" t="s">
        <v>62</v>
      </c>
      <c r="D333" s="511">
        <f>0.1*D324</f>
        <v>43.3</v>
      </c>
      <c r="E333" s="523">
        <f t="shared" si="23"/>
        <v>79.2891773758467</v>
      </c>
      <c r="F333" s="525">
        <f t="shared" si="22"/>
        <v>3433.22138037416</v>
      </c>
      <c r="G333" s="524"/>
    </row>
    <row r="334" s="490" customFormat="1" ht="17.25" spans="1:7">
      <c r="A334" s="521"/>
      <c r="B334" s="526" t="s">
        <v>565</v>
      </c>
      <c r="C334" s="527" t="s">
        <v>62</v>
      </c>
      <c r="D334" s="511">
        <f>2.4*D324</f>
        <v>1039.2</v>
      </c>
      <c r="E334" s="523" t="e">
        <f t="shared" si="23"/>
        <v>#REF!</v>
      </c>
      <c r="F334" s="525" t="e">
        <f t="shared" si="22"/>
        <v>#REF!</v>
      </c>
      <c r="G334" s="524"/>
    </row>
    <row r="335" s="490" customFormat="1" ht="17.25" spans="1:7">
      <c r="A335" s="521"/>
      <c r="B335" s="526" t="s">
        <v>566</v>
      </c>
      <c r="C335" s="527" t="s">
        <v>559</v>
      </c>
      <c r="D335" s="511">
        <f>8*D324</f>
        <v>3464</v>
      </c>
      <c r="E335" s="523" t="e">
        <f t="shared" si="23"/>
        <v>#REF!</v>
      </c>
      <c r="F335" s="525" t="e">
        <f t="shared" si="22"/>
        <v>#REF!</v>
      </c>
      <c r="G335" s="524"/>
    </row>
    <row r="336" s="490" customFormat="1" ht="17.25" spans="1:7">
      <c r="A336" s="523">
        <v>3.22</v>
      </c>
      <c r="B336" s="522" t="s">
        <v>592</v>
      </c>
      <c r="C336" s="521" t="s">
        <v>90</v>
      </c>
      <c r="D336" s="523">
        <v>236</v>
      </c>
      <c r="E336" s="523"/>
      <c r="F336" s="525" t="e">
        <f>SUM(F337:F347)</f>
        <v>#REF!</v>
      </c>
      <c r="G336" s="524"/>
    </row>
    <row r="337" s="490" customFormat="1" ht="17.25" spans="1:7">
      <c r="A337" s="521"/>
      <c r="B337" s="526" t="s">
        <v>61</v>
      </c>
      <c r="C337" s="527" t="s">
        <v>62</v>
      </c>
      <c r="D337" s="511">
        <f>10*D336</f>
        <v>2360</v>
      </c>
      <c r="E337" s="523" t="e">
        <f t="shared" si="23"/>
        <v>#REF!</v>
      </c>
      <c r="F337" s="525" t="e">
        <f t="shared" si="22"/>
        <v>#REF!</v>
      </c>
      <c r="G337" s="524"/>
    </row>
    <row r="338" s="490" customFormat="1" ht="17.25" spans="1:7">
      <c r="A338" s="521"/>
      <c r="B338" s="526" t="s">
        <v>63</v>
      </c>
      <c r="C338" s="527" t="s">
        <v>62</v>
      </c>
      <c r="D338" s="511">
        <f>38*D336</f>
        <v>8968</v>
      </c>
      <c r="E338" s="523">
        <f t="shared" si="23"/>
        <v>12.4804472232673</v>
      </c>
      <c r="F338" s="525">
        <f t="shared" si="22"/>
        <v>111924.650698261</v>
      </c>
      <c r="G338" s="524"/>
    </row>
    <row r="339" s="490" customFormat="1" ht="17.25" spans="1:7">
      <c r="A339" s="521"/>
      <c r="B339" s="526" t="s">
        <v>571</v>
      </c>
      <c r="C339" s="527" t="s">
        <v>62</v>
      </c>
      <c r="D339" s="511">
        <f>3.6*D336</f>
        <v>849.6</v>
      </c>
      <c r="E339" s="523">
        <f t="shared" si="23"/>
        <v>0</v>
      </c>
      <c r="F339" s="525">
        <f t="shared" si="22"/>
        <v>0</v>
      </c>
      <c r="G339" s="524"/>
    </row>
    <row r="340" s="490" customFormat="1" ht="17.25" spans="1:7">
      <c r="A340" s="521"/>
      <c r="B340" s="526" t="s">
        <v>572</v>
      </c>
      <c r="C340" s="527" t="s">
        <v>62</v>
      </c>
      <c r="D340" s="511">
        <f>D339</f>
        <v>849.6</v>
      </c>
      <c r="E340" s="523">
        <f t="shared" si="23"/>
        <v>0</v>
      </c>
      <c r="F340" s="525">
        <f t="shared" si="22"/>
        <v>0</v>
      </c>
      <c r="G340" s="524"/>
    </row>
    <row r="341" s="490" customFormat="1" ht="17.25" spans="1:7">
      <c r="A341" s="521"/>
      <c r="B341" s="526" t="s">
        <v>560</v>
      </c>
      <c r="C341" s="527" t="s">
        <v>62</v>
      </c>
      <c r="D341" s="511">
        <f>2*D336</f>
        <v>472</v>
      </c>
      <c r="E341" s="523" t="e">
        <f t="shared" si="23"/>
        <v>#REF!</v>
      </c>
      <c r="F341" s="525" t="e">
        <f t="shared" si="22"/>
        <v>#REF!</v>
      </c>
      <c r="G341" s="524"/>
    </row>
    <row r="342" s="490" customFormat="1" ht="17.25" spans="1:7">
      <c r="A342" s="521"/>
      <c r="B342" s="526" t="s">
        <v>561</v>
      </c>
      <c r="C342" s="527" t="s">
        <v>62</v>
      </c>
      <c r="D342" s="511">
        <f>1.25*D336</f>
        <v>295</v>
      </c>
      <c r="E342" s="523" t="e">
        <f t="shared" si="23"/>
        <v>#REF!</v>
      </c>
      <c r="F342" s="525" t="e">
        <f t="shared" si="22"/>
        <v>#REF!</v>
      </c>
      <c r="G342" s="524"/>
    </row>
    <row r="343" s="490" customFormat="1" ht="17.25" spans="1:7">
      <c r="A343" s="521"/>
      <c r="B343" s="526" t="s">
        <v>562</v>
      </c>
      <c r="C343" s="527" t="s">
        <v>559</v>
      </c>
      <c r="D343" s="511">
        <f>15*D336</f>
        <v>3540</v>
      </c>
      <c r="E343" s="523" t="e">
        <f t="shared" si="23"/>
        <v>#REF!</v>
      </c>
      <c r="F343" s="525" t="e">
        <f t="shared" si="22"/>
        <v>#REF!</v>
      </c>
      <c r="G343" s="524"/>
    </row>
    <row r="344" s="490" customFormat="1" ht="17.25" spans="1:7">
      <c r="A344" s="521"/>
      <c r="B344" s="526" t="s">
        <v>563</v>
      </c>
      <c r="C344" s="527" t="s">
        <v>62</v>
      </c>
      <c r="D344" s="511">
        <f>0.1*D336</f>
        <v>23.6</v>
      </c>
      <c r="E344" s="523" t="e">
        <f t="shared" si="23"/>
        <v>#REF!</v>
      </c>
      <c r="F344" s="525" t="e">
        <f t="shared" si="22"/>
        <v>#REF!</v>
      </c>
      <c r="G344" s="524"/>
    </row>
    <row r="345" s="490" customFormat="1" ht="17.25" spans="1:7">
      <c r="A345" s="521"/>
      <c r="B345" s="526" t="s">
        <v>564</v>
      </c>
      <c r="C345" s="527" t="s">
        <v>62</v>
      </c>
      <c r="D345" s="511">
        <f>0.1*D336</f>
        <v>23.6</v>
      </c>
      <c r="E345" s="523">
        <f t="shared" si="23"/>
        <v>79.2891773758467</v>
      </c>
      <c r="F345" s="525">
        <f t="shared" si="22"/>
        <v>1871.22458606998</v>
      </c>
      <c r="G345" s="524"/>
    </row>
    <row r="346" s="490" customFormat="1" ht="17.25" spans="1:7">
      <c r="A346" s="521"/>
      <c r="B346" s="526" t="s">
        <v>565</v>
      </c>
      <c r="C346" s="527" t="s">
        <v>62</v>
      </c>
      <c r="D346" s="511">
        <f>2.4*D336</f>
        <v>566.4</v>
      </c>
      <c r="E346" s="523" t="e">
        <f t="shared" si="23"/>
        <v>#REF!</v>
      </c>
      <c r="F346" s="525" t="e">
        <f t="shared" si="22"/>
        <v>#REF!</v>
      </c>
      <c r="G346" s="524"/>
    </row>
    <row r="347" s="490" customFormat="1" ht="17.25" spans="1:7">
      <c r="A347" s="521"/>
      <c r="B347" s="526" t="s">
        <v>566</v>
      </c>
      <c r="C347" s="527" t="s">
        <v>559</v>
      </c>
      <c r="D347" s="511">
        <f>8*D336</f>
        <v>1888</v>
      </c>
      <c r="E347" s="523" t="e">
        <f t="shared" si="23"/>
        <v>#REF!</v>
      </c>
      <c r="F347" s="525" t="e">
        <f t="shared" si="22"/>
        <v>#REF!</v>
      </c>
      <c r="G347" s="524"/>
    </row>
    <row r="348" s="490" customFormat="1" ht="17.25" spans="1:7">
      <c r="A348" s="523">
        <v>3.23</v>
      </c>
      <c r="B348" s="522" t="s">
        <v>593</v>
      </c>
      <c r="C348" s="521" t="s">
        <v>90</v>
      </c>
      <c r="D348" s="523">
        <v>288</v>
      </c>
      <c r="E348" s="523"/>
      <c r="F348" s="525" t="e">
        <f>SUM(F349:F359)</f>
        <v>#REF!</v>
      </c>
      <c r="G348" s="524"/>
    </row>
    <row r="349" s="490" customFormat="1" ht="17.25" spans="1:7">
      <c r="A349" s="521"/>
      <c r="B349" s="526" t="s">
        <v>61</v>
      </c>
      <c r="C349" s="527" t="s">
        <v>62</v>
      </c>
      <c r="D349" s="511">
        <f>10*D348</f>
        <v>2880</v>
      </c>
      <c r="E349" s="523" t="e">
        <f t="shared" si="23"/>
        <v>#REF!</v>
      </c>
      <c r="F349" s="525" t="e">
        <f t="shared" si="22"/>
        <v>#REF!</v>
      </c>
      <c r="G349" s="524"/>
    </row>
    <row r="350" s="490" customFormat="1" ht="17.25" spans="1:7">
      <c r="A350" s="521"/>
      <c r="B350" s="526" t="s">
        <v>63</v>
      </c>
      <c r="C350" s="527" t="s">
        <v>62</v>
      </c>
      <c r="D350" s="511">
        <f>38*D348</f>
        <v>10944</v>
      </c>
      <c r="E350" s="523">
        <f t="shared" si="23"/>
        <v>12.4804472232673</v>
      </c>
      <c r="F350" s="525">
        <f t="shared" si="22"/>
        <v>136586.014411437</v>
      </c>
      <c r="G350" s="524"/>
    </row>
    <row r="351" s="490" customFormat="1" ht="17.25" spans="1:7">
      <c r="A351" s="521"/>
      <c r="B351" s="526" t="s">
        <v>571</v>
      </c>
      <c r="C351" s="527" t="s">
        <v>62</v>
      </c>
      <c r="D351" s="511">
        <f>3.6*D348</f>
        <v>1036.8</v>
      </c>
      <c r="E351" s="523">
        <f t="shared" si="23"/>
        <v>0</v>
      </c>
      <c r="F351" s="525">
        <f t="shared" si="22"/>
        <v>0</v>
      </c>
      <c r="G351" s="524"/>
    </row>
    <row r="352" s="490" customFormat="1" ht="17.25" spans="1:7">
      <c r="A352" s="521"/>
      <c r="B352" s="526" t="s">
        <v>572</v>
      </c>
      <c r="C352" s="527" t="s">
        <v>62</v>
      </c>
      <c r="D352" s="511">
        <f>D351</f>
        <v>1036.8</v>
      </c>
      <c r="E352" s="523">
        <f t="shared" si="23"/>
        <v>0</v>
      </c>
      <c r="F352" s="525">
        <f t="shared" si="22"/>
        <v>0</v>
      </c>
      <c r="G352" s="524"/>
    </row>
    <row r="353" s="490" customFormat="1" ht="17.25" spans="1:7">
      <c r="A353" s="521"/>
      <c r="B353" s="526" t="s">
        <v>560</v>
      </c>
      <c r="C353" s="527" t="s">
        <v>62</v>
      </c>
      <c r="D353" s="511">
        <f>2*D348</f>
        <v>576</v>
      </c>
      <c r="E353" s="523" t="e">
        <f t="shared" si="23"/>
        <v>#REF!</v>
      </c>
      <c r="F353" s="525" t="e">
        <f t="shared" si="22"/>
        <v>#REF!</v>
      </c>
      <c r="G353" s="524"/>
    </row>
    <row r="354" s="490" customFormat="1" ht="17.25" spans="1:7">
      <c r="A354" s="521"/>
      <c r="B354" s="526" t="s">
        <v>561</v>
      </c>
      <c r="C354" s="527" t="s">
        <v>62</v>
      </c>
      <c r="D354" s="511">
        <f>1.25*D348</f>
        <v>360</v>
      </c>
      <c r="E354" s="523" t="e">
        <f t="shared" si="23"/>
        <v>#REF!</v>
      </c>
      <c r="F354" s="525" t="e">
        <f t="shared" si="22"/>
        <v>#REF!</v>
      </c>
      <c r="G354" s="524"/>
    </row>
    <row r="355" s="490" customFormat="1" ht="17.25" spans="1:7">
      <c r="A355" s="521"/>
      <c r="B355" s="526" t="s">
        <v>562</v>
      </c>
      <c r="C355" s="527" t="s">
        <v>559</v>
      </c>
      <c r="D355" s="511">
        <f>15*D348</f>
        <v>4320</v>
      </c>
      <c r="E355" s="523" t="e">
        <f t="shared" si="23"/>
        <v>#REF!</v>
      </c>
      <c r="F355" s="525" t="e">
        <f t="shared" si="22"/>
        <v>#REF!</v>
      </c>
      <c r="G355" s="524"/>
    </row>
    <row r="356" s="490" customFormat="1" ht="17.25" spans="1:7">
      <c r="A356" s="521"/>
      <c r="B356" s="526" t="s">
        <v>563</v>
      </c>
      <c r="C356" s="527" t="s">
        <v>62</v>
      </c>
      <c r="D356" s="511">
        <f>0.1*D348</f>
        <v>28.8</v>
      </c>
      <c r="E356" s="523" t="e">
        <f t="shared" si="23"/>
        <v>#REF!</v>
      </c>
      <c r="F356" s="525" t="e">
        <f t="shared" si="22"/>
        <v>#REF!</v>
      </c>
      <c r="G356" s="524"/>
    </row>
    <row r="357" s="490" customFormat="1" ht="17.25" spans="1:7">
      <c r="A357" s="521"/>
      <c r="B357" s="526" t="s">
        <v>564</v>
      </c>
      <c r="C357" s="527" t="s">
        <v>62</v>
      </c>
      <c r="D357" s="511">
        <f>0.1*D348</f>
        <v>28.8</v>
      </c>
      <c r="E357" s="523">
        <f t="shared" si="23"/>
        <v>79.2891773758467</v>
      </c>
      <c r="F357" s="525">
        <f t="shared" si="22"/>
        <v>2283.52830842439</v>
      </c>
      <c r="G357" s="524"/>
    </row>
    <row r="358" s="490" customFormat="1" ht="17.25" spans="1:7">
      <c r="A358" s="521"/>
      <c r="B358" s="526" t="s">
        <v>565</v>
      </c>
      <c r="C358" s="527" t="s">
        <v>62</v>
      </c>
      <c r="D358" s="511">
        <f>2.4*D348</f>
        <v>691.2</v>
      </c>
      <c r="E358" s="523" t="e">
        <f t="shared" si="23"/>
        <v>#REF!</v>
      </c>
      <c r="F358" s="525" t="e">
        <f t="shared" si="22"/>
        <v>#REF!</v>
      </c>
      <c r="G358" s="524"/>
    </row>
    <row r="359" s="490" customFormat="1" ht="17.25" spans="1:7">
      <c r="A359" s="521"/>
      <c r="B359" s="526" t="s">
        <v>566</v>
      </c>
      <c r="C359" s="527" t="s">
        <v>559</v>
      </c>
      <c r="D359" s="511">
        <f>8*D348</f>
        <v>2304</v>
      </c>
      <c r="E359" s="523" t="e">
        <f t="shared" si="23"/>
        <v>#REF!</v>
      </c>
      <c r="F359" s="525" t="e">
        <f t="shared" si="22"/>
        <v>#REF!</v>
      </c>
      <c r="G359" s="524"/>
    </row>
    <row r="360" s="490" customFormat="1" ht="17.25" spans="1:7">
      <c r="A360" s="523">
        <v>3.24</v>
      </c>
      <c r="B360" s="522" t="s">
        <v>594</v>
      </c>
      <c r="C360" s="521" t="s">
        <v>90</v>
      </c>
      <c r="D360" s="523">
        <v>339</v>
      </c>
      <c r="E360" s="523"/>
      <c r="F360" s="525" t="e">
        <f>SUM(F361:F371)</f>
        <v>#REF!</v>
      </c>
      <c r="G360" s="524"/>
    </row>
    <row r="361" s="490" customFormat="1" ht="17.25" spans="1:7">
      <c r="A361" s="521"/>
      <c r="B361" s="526" t="s">
        <v>61</v>
      </c>
      <c r="C361" s="527" t="s">
        <v>62</v>
      </c>
      <c r="D361" s="511">
        <f>10*D360</f>
        <v>3390</v>
      </c>
      <c r="E361" s="523" t="e">
        <f t="shared" si="23"/>
        <v>#REF!</v>
      </c>
      <c r="F361" s="525" t="e">
        <f t="shared" ref="F361:F423" si="24">D361*E361</f>
        <v>#REF!</v>
      </c>
      <c r="G361" s="524"/>
    </row>
    <row r="362" s="490" customFormat="1" ht="17.25" spans="1:7">
      <c r="A362" s="521"/>
      <c r="B362" s="526" t="s">
        <v>63</v>
      </c>
      <c r="C362" s="527" t="s">
        <v>62</v>
      </c>
      <c r="D362" s="511">
        <f>38*D360</f>
        <v>12882</v>
      </c>
      <c r="E362" s="523">
        <f t="shared" si="23"/>
        <v>12.4804472232673</v>
      </c>
      <c r="F362" s="525">
        <f t="shared" si="24"/>
        <v>160773.121130129</v>
      </c>
      <c r="G362" s="524"/>
    </row>
    <row r="363" s="490" customFormat="1" ht="17.25" spans="1:7">
      <c r="A363" s="521"/>
      <c r="B363" s="526" t="s">
        <v>571</v>
      </c>
      <c r="C363" s="527" t="s">
        <v>62</v>
      </c>
      <c r="D363" s="511">
        <f>3.6*D360</f>
        <v>1220.4</v>
      </c>
      <c r="E363" s="523">
        <f t="shared" si="23"/>
        <v>0</v>
      </c>
      <c r="F363" s="525">
        <f t="shared" si="24"/>
        <v>0</v>
      </c>
      <c r="G363" s="524"/>
    </row>
    <row r="364" s="490" customFormat="1" ht="17.25" spans="1:7">
      <c r="A364" s="521"/>
      <c r="B364" s="526" t="s">
        <v>572</v>
      </c>
      <c r="C364" s="527" t="s">
        <v>62</v>
      </c>
      <c r="D364" s="511">
        <f>D363</f>
        <v>1220.4</v>
      </c>
      <c r="E364" s="523">
        <f t="shared" si="23"/>
        <v>0</v>
      </c>
      <c r="F364" s="525">
        <f t="shared" si="24"/>
        <v>0</v>
      </c>
      <c r="G364" s="524"/>
    </row>
    <row r="365" s="490" customFormat="1" ht="17.25" spans="1:7">
      <c r="A365" s="521"/>
      <c r="B365" s="526" t="s">
        <v>560</v>
      </c>
      <c r="C365" s="527" t="s">
        <v>62</v>
      </c>
      <c r="D365" s="511">
        <f>2*D360</f>
        <v>678</v>
      </c>
      <c r="E365" s="523" t="e">
        <f t="shared" si="23"/>
        <v>#REF!</v>
      </c>
      <c r="F365" s="525" t="e">
        <f t="shared" si="24"/>
        <v>#REF!</v>
      </c>
      <c r="G365" s="524"/>
    </row>
    <row r="366" s="490" customFormat="1" ht="17.25" spans="1:7">
      <c r="A366" s="521"/>
      <c r="B366" s="526" t="s">
        <v>561</v>
      </c>
      <c r="C366" s="527" t="s">
        <v>62</v>
      </c>
      <c r="D366" s="511">
        <f>1.25*D360</f>
        <v>423.75</v>
      </c>
      <c r="E366" s="523" t="e">
        <f t="shared" si="23"/>
        <v>#REF!</v>
      </c>
      <c r="F366" s="525" t="e">
        <f t="shared" si="24"/>
        <v>#REF!</v>
      </c>
      <c r="G366" s="524"/>
    </row>
    <row r="367" s="490" customFormat="1" ht="17.25" spans="1:7">
      <c r="A367" s="521"/>
      <c r="B367" s="526" t="s">
        <v>562</v>
      </c>
      <c r="C367" s="527" t="s">
        <v>559</v>
      </c>
      <c r="D367" s="511">
        <f>15*D360</f>
        <v>5085</v>
      </c>
      <c r="E367" s="523" t="e">
        <f t="shared" si="23"/>
        <v>#REF!</v>
      </c>
      <c r="F367" s="525" t="e">
        <f t="shared" si="24"/>
        <v>#REF!</v>
      </c>
      <c r="G367" s="524"/>
    </row>
    <row r="368" s="490" customFormat="1" ht="17.25" spans="1:7">
      <c r="A368" s="521"/>
      <c r="B368" s="526" t="s">
        <v>563</v>
      </c>
      <c r="C368" s="527" t="s">
        <v>62</v>
      </c>
      <c r="D368" s="511">
        <f>0.1*D360</f>
        <v>33.9</v>
      </c>
      <c r="E368" s="523" t="e">
        <f t="shared" si="23"/>
        <v>#REF!</v>
      </c>
      <c r="F368" s="525" t="e">
        <f t="shared" si="24"/>
        <v>#REF!</v>
      </c>
      <c r="G368" s="524"/>
    </row>
    <row r="369" s="490" customFormat="1" ht="17.25" spans="1:7">
      <c r="A369" s="521"/>
      <c r="B369" s="526" t="s">
        <v>564</v>
      </c>
      <c r="C369" s="527" t="s">
        <v>62</v>
      </c>
      <c r="D369" s="511">
        <f>0.1*D360</f>
        <v>33.9</v>
      </c>
      <c r="E369" s="523">
        <f t="shared" si="23"/>
        <v>79.2891773758467</v>
      </c>
      <c r="F369" s="525">
        <f t="shared" si="24"/>
        <v>2687.9031130412</v>
      </c>
      <c r="G369" s="524"/>
    </row>
    <row r="370" s="490" customFormat="1" ht="17.25" spans="1:7">
      <c r="A370" s="521"/>
      <c r="B370" s="526" t="s">
        <v>565</v>
      </c>
      <c r="C370" s="527" t="s">
        <v>62</v>
      </c>
      <c r="D370" s="511">
        <f>2.4*D360</f>
        <v>813.6</v>
      </c>
      <c r="E370" s="523" t="e">
        <f t="shared" ref="E370:E433" si="25">E358</f>
        <v>#REF!</v>
      </c>
      <c r="F370" s="525" t="e">
        <f t="shared" si="24"/>
        <v>#REF!</v>
      </c>
      <c r="G370" s="524"/>
    </row>
    <row r="371" s="490" customFormat="1" ht="17.25" spans="1:7">
      <c r="A371" s="521"/>
      <c r="B371" s="526" t="s">
        <v>566</v>
      </c>
      <c r="C371" s="527" t="s">
        <v>559</v>
      </c>
      <c r="D371" s="511">
        <f>8*D360</f>
        <v>2712</v>
      </c>
      <c r="E371" s="523" t="e">
        <f t="shared" si="25"/>
        <v>#REF!</v>
      </c>
      <c r="F371" s="525" t="e">
        <f t="shared" si="24"/>
        <v>#REF!</v>
      </c>
      <c r="G371" s="524"/>
    </row>
    <row r="372" s="490" customFormat="1" ht="17.25" spans="1:7">
      <c r="A372" s="523">
        <v>3.25</v>
      </c>
      <c r="B372" s="522" t="s">
        <v>595</v>
      </c>
      <c r="C372" s="521" t="s">
        <v>90</v>
      </c>
      <c r="D372" s="523">
        <v>141</v>
      </c>
      <c r="E372" s="523"/>
      <c r="F372" s="525" t="e">
        <f>SUM(F373:F383)</f>
        <v>#REF!</v>
      </c>
      <c r="G372" s="524"/>
    </row>
    <row r="373" s="490" customFormat="1" ht="17.25" spans="1:7">
      <c r="A373" s="521"/>
      <c r="B373" s="526" t="s">
        <v>61</v>
      </c>
      <c r="C373" s="527" t="s">
        <v>62</v>
      </c>
      <c r="D373" s="511">
        <f>10*D372</f>
        <v>1410</v>
      </c>
      <c r="E373" s="523" t="e">
        <f t="shared" si="25"/>
        <v>#REF!</v>
      </c>
      <c r="F373" s="525" t="e">
        <f t="shared" si="24"/>
        <v>#REF!</v>
      </c>
      <c r="G373" s="524"/>
    </row>
    <row r="374" s="490" customFormat="1" ht="17.25" spans="1:7">
      <c r="A374" s="521"/>
      <c r="B374" s="526" t="s">
        <v>63</v>
      </c>
      <c r="C374" s="527" t="s">
        <v>62</v>
      </c>
      <c r="D374" s="511">
        <f>38*D372</f>
        <v>5358</v>
      </c>
      <c r="E374" s="523">
        <f t="shared" si="25"/>
        <v>12.4804472232673</v>
      </c>
      <c r="F374" s="525">
        <f t="shared" si="24"/>
        <v>66870.2362222661</v>
      </c>
      <c r="G374" s="524"/>
    </row>
    <row r="375" s="490" customFormat="1" ht="17.25" spans="1:7">
      <c r="A375" s="521"/>
      <c r="B375" s="526" t="s">
        <v>571</v>
      </c>
      <c r="C375" s="527" t="s">
        <v>62</v>
      </c>
      <c r="D375" s="511">
        <f>3.6*D372</f>
        <v>507.6</v>
      </c>
      <c r="E375" s="523">
        <f t="shared" si="25"/>
        <v>0</v>
      </c>
      <c r="F375" s="525">
        <f t="shared" si="24"/>
        <v>0</v>
      </c>
      <c r="G375" s="524"/>
    </row>
    <row r="376" s="490" customFormat="1" ht="17.25" spans="1:7">
      <c r="A376" s="521"/>
      <c r="B376" s="526" t="s">
        <v>572</v>
      </c>
      <c r="C376" s="527" t="s">
        <v>62</v>
      </c>
      <c r="D376" s="511">
        <f>D375</f>
        <v>507.6</v>
      </c>
      <c r="E376" s="523">
        <f t="shared" si="25"/>
        <v>0</v>
      </c>
      <c r="F376" s="525">
        <f t="shared" si="24"/>
        <v>0</v>
      </c>
      <c r="G376" s="524"/>
    </row>
    <row r="377" s="490" customFormat="1" ht="17.25" spans="1:7">
      <c r="A377" s="521"/>
      <c r="B377" s="526" t="s">
        <v>560</v>
      </c>
      <c r="C377" s="527" t="s">
        <v>62</v>
      </c>
      <c r="D377" s="511">
        <f>2*D372</f>
        <v>282</v>
      </c>
      <c r="E377" s="523" t="e">
        <f t="shared" si="25"/>
        <v>#REF!</v>
      </c>
      <c r="F377" s="525" t="e">
        <f t="shared" si="24"/>
        <v>#REF!</v>
      </c>
      <c r="G377" s="524"/>
    </row>
    <row r="378" s="490" customFormat="1" ht="17.25" spans="1:7">
      <c r="A378" s="521"/>
      <c r="B378" s="526" t="s">
        <v>561</v>
      </c>
      <c r="C378" s="527" t="s">
        <v>62</v>
      </c>
      <c r="D378" s="511">
        <f>1.25*D372</f>
        <v>176.25</v>
      </c>
      <c r="E378" s="523" t="e">
        <f t="shared" si="25"/>
        <v>#REF!</v>
      </c>
      <c r="F378" s="525" t="e">
        <f t="shared" si="24"/>
        <v>#REF!</v>
      </c>
      <c r="G378" s="524"/>
    </row>
    <row r="379" s="490" customFormat="1" ht="17.25" spans="1:7">
      <c r="A379" s="521"/>
      <c r="B379" s="526" t="s">
        <v>562</v>
      </c>
      <c r="C379" s="527" t="s">
        <v>559</v>
      </c>
      <c r="D379" s="511">
        <f>15*D372</f>
        <v>2115</v>
      </c>
      <c r="E379" s="523" t="e">
        <f t="shared" si="25"/>
        <v>#REF!</v>
      </c>
      <c r="F379" s="525" t="e">
        <f t="shared" si="24"/>
        <v>#REF!</v>
      </c>
      <c r="G379" s="524"/>
    </row>
    <row r="380" s="490" customFormat="1" ht="17.25" spans="1:7">
      <c r="A380" s="521"/>
      <c r="B380" s="526" t="s">
        <v>563</v>
      </c>
      <c r="C380" s="527" t="s">
        <v>62</v>
      </c>
      <c r="D380" s="511">
        <f>0.1*D372</f>
        <v>14.1</v>
      </c>
      <c r="E380" s="523" t="e">
        <f t="shared" si="25"/>
        <v>#REF!</v>
      </c>
      <c r="F380" s="525" t="e">
        <f t="shared" si="24"/>
        <v>#REF!</v>
      </c>
      <c r="G380" s="524"/>
    </row>
    <row r="381" s="490" customFormat="1" ht="17.25" spans="1:7">
      <c r="A381" s="521"/>
      <c r="B381" s="526" t="s">
        <v>564</v>
      </c>
      <c r="C381" s="527" t="s">
        <v>62</v>
      </c>
      <c r="D381" s="511">
        <f>0.1*D372</f>
        <v>14.1</v>
      </c>
      <c r="E381" s="523">
        <f t="shared" si="25"/>
        <v>79.2891773758467</v>
      </c>
      <c r="F381" s="525">
        <f t="shared" si="24"/>
        <v>1117.97740099944</v>
      </c>
      <c r="G381" s="524"/>
    </row>
    <row r="382" s="490" customFormat="1" ht="17.25" spans="1:7">
      <c r="A382" s="521"/>
      <c r="B382" s="526" t="s">
        <v>565</v>
      </c>
      <c r="C382" s="527" t="s">
        <v>62</v>
      </c>
      <c r="D382" s="511">
        <f>2.4*D372</f>
        <v>338.4</v>
      </c>
      <c r="E382" s="523" t="e">
        <f t="shared" si="25"/>
        <v>#REF!</v>
      </c>
      <c r="F382" s="525" t="e">
        <f t="shared" si="24"/>
        <v>#REF!</v>
      </c>
      <c r="G382" s="524"/>
    </row>
    <row r="383" s="490" customFormat="1" ht="17.25" spans="1:7">
      <c r="A383" s="521"/>
      <c r="B383" s="526" t="s">
        <v>566</v>
      </c>
      <c r="C383" s="527" t="s">
        <v>559</v>
      </c>
      <c r="D383" s="511">
        <f>8*D372</f>
        <v>1128</v>
      </c>
      <c r="E383" s="523" t="e">
        <f t="shared" si="25"/>
        <v>#REF!</v>
      </c>
      <c r="F383" s="525" t="e">
        <f t="shared" si="24"/>
        <v>#REF!</v>
      </c>
      <c r="G383" s="524"/>
    </row>
    <row r="384" s="490" customFormat="1" ht="17.25" spans="1:7">
      <c r="A384" s="523">
        <v>3.26</v>
      </c>
      <c r="B384" s="522" t="s">
        <v>596</v>
      </c>
      <c r="C384" s="521" t="s">
        <v>90</v>
      </c>
      <c r="D384" s="523">
        <v>169</v>
      </c>
      <c r="E384" s="523"/>
      <c r="F384" s="525" t="e">
        <f>SUM(F385:F395)</f>
        <v>#REF!</v>
      </c>
      <c r="G384" s="524"/>
    </row>
    <row r="385" s="490" customFormat="1" ht="17.25" spans="1:7">
      <c r="A385" s="521"/>
      <c r="B385" s="526" t="s">
        <v>61</v>
      </c>
      <c r="C385" s="527" t="s">
        <v>62</v>
      </c>
      <c r="D385" s="511">
        <f>10*D384</f>
        <v>1690</v>
      </c>
      <c r="E385" s="523" t="e">
        <f t="shared" si="25"/>
        <v>#REF!</v>
      </c>
      <c r="F385" s="525" t="e">
        <f t="shared" si="24"/>
        <v>#REF!</v>
      </c>
      <c r="G385" s="524"/>
    </row>
    <row r="386" s="490" customFormat="1" ht="17.25" spans="1:7">
      <c r="A386" s="521"/>
      <c r="B386" s="526" t="s">
        <v>63</v>
      </c>
      <c r="C386" s="527" t="s">
        <v>62</v>
      </c>
      <c r="D386" s="511">
        <f>38*D384</f>
        <v>6422</v>
      </c>
      <c r="E386" s="523">
        <f t="shared" si="25"/>
        <v>12.4804472232673</v>
      </c>
      <c r="F386" s="525">
        <f t="shared" si="24"/>
        <v>80149.4320678225</v>
      </c>
      <c r="G386" s="524"/>
    </row>
    <row r="387" s="490" customFormat="1" ht="17.25" spans="1:7">
      <c r="A387" s="521"/>
      <c r="B387" s="526" t="s">
        <v>571</v>
      </c>
      <c r="C387" s="527" t="s">
        <v>62</v>
      </c>
      <c r="D387" s="511">
        <f>3.6*D384</f>
        <v>608.4</v>
      </c>
      <c r="E387" s="523">
        <f t="shared" si="25"/>
        <v>0</v>
      </c>
      <c r="F387" s="525">
        <f t="shared" si="24"/>
        <v>0</v>
      </c>
      <c r="G387" s="524"/>
    </row>
    <row r="388" s="490" customFormat="1" ht="17.25" spans="1:7">
      <c r="A388" s="521"/>
      <c r="B388" s="526" t="s">
        <v>572</v>
      </c>
      <c r="C388" s="527" t="s">
        <v>62</v>
      </c>
      <c r="D388" s="511">
        <f>D387</f>
        <v>608.4</v>
      </c>
      <c r="E388" s="523">
        <f t="shared" si="25"/>
        <v>0</v>
      </c>
      <c r="F388" s="525">
        <f t="shared" si="24"/>
        <v>0</v>
      </c>
      <c r="G388" s="524"/>
    </row>
    <row r="389" s="490" customFormat="1" ht="17.25" spans="1:7">
      <c r="A389" s="521"/>
      <c r="B389" s="526" t="s">
        <v>560</v>
      </c>
      <c r="C389" s="527" t="s">
        <v>62</v>
      </c>
      <c r="D389" s="511">
        <f>2*D384</f>
        <v>338</v>
      </c>
      <c r="E389" s="523" t="e">
        <f t="shared" si="25"/>
        <v>#REF!</v>
      </c>
      <c r="F389" s="525" t="e">
        <f t="shared" si="24"/>
        <v>#REF!</v>
      </c>
      <c r="G389" s="524"/>
    </row>
    <row r="390" s="490" customFormat="1" ht="17.25" spans="1:7">
      <c r="A390" s="521"/>
      <c r="B390" s="526" t="s">
        <v>561</v>
      </c>
      <c r="C390" s="527" t="s">
        <v>62</v>
      </c>
      <c r="D390" s="511">
        <f>1.25*D384</f>
        <v>211.25</v>
      </c>
      <c r="E390" s="523" t="e">
        <f t="shared" si="25"/>
        <v>#REF!</v>
      </c>
      <c r="F390" s="525" t="e">
        <f t="shared" si="24"/>
        <v>#REF!</v>
      </c>
      <c r="G390" s="524"/>
    </row>
    <row r="391" s="490" customFormat="1" ht="17.25" spans="1:7">
      <c r="A391" s="521"/>
      <c r="B391" s="526" t="s">
        <v>562</v>
      </c>
      <c r="C391" s="527" t="s">
        <v>559</v>
      </c>
      <c r="D391" s="511">
        <f>15*D384</f>
        <v>2535</v>
      </c>
      <c r="E391" s="523" t="e">
        <f t="shared" si="25"/>
        <v>#REF!</v>
      </c>
      <c r="F391" s="525" t="e">
        <f t="shared" si="24"/>
        <v>#REF!</v>
      </c>
      <c r="G391" s="524"/>
    </row>
    <row r="392" s="490" customFormat="1" ht="17.25" spans="1:7">
      <c r="A392" s="521"/>
      <c r="B392" s="526" t="s">
        <v>563</v>
      </c>
      <c r="C392" s="527" t="s">
        <v>62</v>
      </c>
      <c r="D392" s="511">
        <f>0.1*D384</f>
        <v>16.9</v>
      </c>
      <c r="E392" s="523" t="e">
        <f t="shared" si="25"/>
        <v>#REF!</v>
      </c>
      <c r="F392" s="525" t="e">
        <f t="shared" si="24"/>
        <v>#REF!</v>
      </c>
      <c r="G392" s="524"/>
    </row>
    <row r="393" s="490" customFormat="1" ht="17.25" spans="1:7">
      <c r="A393" s="521"/>
      <c r="B393" s="526" t="s">
        <v>564</v>
      </c>
      <c r="C393" s="527" t="s">
        <v>62</v>
      </c>
      <c r="D393" s="511">
        <f>0.1*D384</f>
        <v>16.9</v>
      </c>
      <c r="E393" s="523">
        <f t="shared" si="25"/>
        <v>79.2891773758467</v>
      </c>
      <c r="F393" s="525">
        <f t="shared" si="24"/>
        <v>1339.98709765181</v>
      </c>
      <c r="G393" s="524"/>
    </row>
    <row r="394" s="490" customFormat="1" ht="17.25" spans="1:7">
      <c r="A394" s="521"/>
      <c r="B394" s="526" t="s">
        <v>565</v>
      </c>
      <c r="C394" s="527" t="s">
        <v>62</v>
      </c>
      <c r="D394" s="511">
        <f>2.4*D384</f>
        <v>405.6</v>
      </c>
      <c r="E394" s="523" t="e">
        <f t="shared" si="25"/>
        <v>#REF!</v>
      </c>
      <c r="F394" s="525" t="e">
        <f t="shared" si="24"/>
        <v>#REF!</v>
      </c>
      <c r="G394" s="524"/>
    </row>
    <row r="395" s="490" customFormat="1" ht="17.25" spans="1:7">
      <c r="A395" s="521"/>
      <c r="B395" s="526" t="s">
        <v>566</v>
      </c>
      <c r="C395" s="527" t="s">
        <v>559</v>
      </c>
      <c r="D395" s="511">
        <f>8*D384</f>
        <v>1352</v>
      </c>
      <c r="E395" s="523" t="e">
        <f t="shared" si="25"/>
        <v>#REF!</v>
      </c>
      <c r="F395" s="525" t="e">
        <f t="shared" si="24"/>
        <v>#REF!</v>
      </c>
      <c r="G395" s="524"/>
    </row>
    <row r="396" s="490" customFormat="1" ht="17.25" spans="1:7">
      <c r="A396" s="523">
        <v>3.27</v>
      </c>
      <c r="B396" s="522" t="s">
        <v>597</v>
      </c>
      <c r="C396" s="521" t="s">
        <v>90</v>
      </c>
      <c r="D396" s="523">
        <v>255</v>
      </c>
      <c r="E396" s="523"/>
      <c r="F396" s="525" t="e">
        <f>SUM(F397:F407)</f>
        <v>#REF!</v>
      </c>
      <c r="G396" s="524"/>
    </row>
    <row r="397" s="490" customFormat="1" ht="17.25" spans="1:7">
      <c r="A397" s="521"/>
      <c r="B397" s="526" t="s">
        <v>61</v>
      </c>
      <c r="C397" s="527" t="s">
        <v>62</v>
      </c>
      <c r="D397" s="511">
        <f>10*D396</f>
        <v>2550</v>
      </c>
      <c r="E397" s="523" t="e">
        <f t="shared" si="25"/>
        <v>#REF!</v>
      </c>
      <c r="F397" s="525" t="e">
        <f t="shared" si="24"/>
        <v>#REF!</v>
      </c>
      <c r="G397" s="524"/>
    </row>
    <row r="398" s="490" customFormat="1" ht="17.25" spans="1:7">
      <c r="A398" s="521"/>
      <c r="B398" s="526" t="s">
        <v>63</v>
      </c>
      <c r="C398" s="527" t="s">
        <v>62</v>
      </c>
      <c r="D398" s="511">
        <f>38*D396</f>
        <v>9690</v>
      </c>
      <c r="E398" s="523">
        <f t="shared" si="25"/>
        <v>12.4804472232673</v>
      </c>
      <c r="F398" s="525">
        <f t="shared" si="24"/>
        <v>120935.53359346</v>
      </c>
      <c r="G398" s="524"/>
    </row>
    <row r="399" s="490" customFormat="1" ht="17.25" spans="1:7">
      <c r="A399" s="521"/>
      <c r="B399" s="526" t="s">
        <v>571</v>
      </c>
      <c r="C399" s="527" t="s">
        <v>62</v>
      </c>
      <c r="D399" s="511">
        <f>3.6*D396</f>
        <v>918</v>
      </c>
      <c r="E399" s="523">
        <f t="shared" si="25"/>
        <v>0</v>
      </c>
      <c r="F399" s="525">
        <f t="shared" si="24"/>
        <v>0</v>
      </c>
      <c r="G399" s="524"/>
    </row>
    <row r="400" s="490" customFormat="1" ht="17.25" spans="1:7">
      <c r="A400" s="521"/>
      <c r="B400" s="526" t="s">
        <v>572</v>
      </c>
      <c r="C400" s="527" t="s">
        <v>62</v>
      </c>
      <c r="D400" s="511">
        <f>D399</f>
        <v>918</v>
      </c>
      <c r="E400" s="523">
        <f t="shared" si="25"/>
        <v>0</v>
      </c>
      <c r="F400" s="525">
        <f t="shared" si="24"/>
        <v>0</v>
      </c>
      <c r="G400" s="524"/>
    </row>
    <row r="401" s="490" customFormat="1" ht="17.25" spans="1:7">
      <c r="A401" s="521"/>
      <c r="B401" s="526" t="s">
        <v>560</v>
      </c>
      <c r="C401" s="527" t="s">
        <v>62</v>
      </c>
      <c r="D401" s="511">
        <f>2*D396</f>
        <v>510</v>
      </c>
      <c r="E401" s="523" t="e">
        <f t="shared" si="25"/>
        <v>#REF!</v>
      </c>
      <c r="F401" s="525" t="e">
        <f t="shared" si="24"/>
        <v>#REF!</v>
      </c>
      <c r="G401" s="524"/>
    </row>
    <row r="402" s="490" customFormat="1" ht="17.25" spans="1:7">
      <c r="A402" s="521"/>
      <c r="B402" s="526" t="s">
        <v>561</v>
      </c>
      <c r="C402" s="527" t="s">
        <v>62</v>
      </c>
      <c r="D402" s="511">
        <f>1.25*D396</f>
        <v>318.75</v>
      </c>
      <c r="E402" s="523" t="e">
        <f t="shared" si="25"/>
        <v>#REF!</v>
      </c>
      <c r="F402" s="525" t="e">
        <f t="shared" si="24"/>
        <v>#REF!</v>
      </c>
      <c r="G402" s="524"/>
    </row>
    <row r="403" s="490" customFormat="1" ht="17.25" spans="1:7">
      <c r="A403" s="521"/>
      <c r="B403" s="526" t="s">
        <v>562</v>
      </c>
      <c r="C403" s="527" t="s">
        <v>559</v>
      </c>
      <c r="D403" s="511">
        <f>15*D396</f>
        <v>3825</v>
      </c>
      <c r="E403" s="523" t="e">
        <f t="shared" si="25"/>
        <v>#REF!</v>
      </c>
      <c r="F403" s="525" t="e">
        <f t="shared" si="24"/>
        <v>#REF!</v>
      </c>
      <c r="G403" s="524"/>
    </row>
    <row r="404" s="490" customFormat="1" ht="17.25" spans="1:7">
      <c r="A404" s="521"/>
      <c r="B404" s="526" t="s">
        <v>563</v>
      </c>
      <c r="C404" s="527" t="s">
        <v>62</v>
      </c>
      <c r="D404" s="511">
        <f>0.1*D396</f>
        <v>25.5</v>
      </c>
      <c r="E404" s="523" t="e">
        <f t="shared" si="25"/>
        <v>#REF!</v>
      </c>
      <c r="F404" s="525" t="e">
        <f t="shared" si="24"/>
        <v>#REF!</v>
      </c>
      <c r="G404" s="524"/>
    </row>
    <row r="405" s="490" customFormat="1" ht="17.25" spans="1:7">
      <c r="A405" s="521"/>
      <c r="B405" s="526" t="s">
        <v>564</v>
      </c>
      <c r="C405" s="527" t="s">
        <v>62</v>
      </c>
      <c r="D405" s="511">
        <f>0.1*D396</f>
        <v>25.5</v>
      </c>
      <c r="E405" s="523">
        <f t="shared" si="25"/>
        <v>79.2891773758467</v>
      </c>
      <c r="F405" s="525">
        <f t="shared" si="24"/>
        <v>2021.87402308409</v>
      </c>
      <c r="G405" s="524"/>
    </row>
    <row r="406" s="490" customFormat="1" ht="17.25" spans="1:7">
      <c r="A406" s="521"/>
      <c r="B406" s="526" t="s">
        <v>565</v>
      </c>
      <c r="C406" s="527" t="s">
        <v>62</v>
      </c>
      <c r="D406" s="511">
        <f>2.4*D396</f>
        <v>612</v>
      </c>
      <c r="E406" s="523" t="e">
        <f t="shared" si="25"/>
        <v>#REF!</v>
      </c>
      <c r="F406" s="525" t="e">
        <f t="shared" si="24"/>
        <v>#REF!</v>
      </c>
      <c r="G406" s="524"/>
    </row>
    <row r="407" s="490" customFormat="1" ht="17.25" spans="1:7">
      <c r="A407" s="521"/>
      <c r="B407" s="526" t="s">
        <v>566</v>
      </c>
      <c r="C407" s="527" t="s">
        <v>559</v>
      </c>
      <c r="D407" s="511">
        <f>8*D396</f>
        <v>2040</v>
      </c>
      <c r="E407" s="523" t="e">
        <f t="shared" si="25"/>
        <v>#REF!</v>
      </c>
      <c r="F407" s="525" t="e">
        <f t="shared" si="24"/>
        <v>#REF!</v>
      </c>
      <c r="G407" s="524"/>
    </row>
    <row r="408" s="490" customFormat="1" ht="17.25" spans="1:7">
      <c r="A408" s="523">
        <v>3.28</v>
      </c>
      <c r="B408" s="522" t="s">
        <v>598</v>
      </c>
      <c r="C408" s="521" t="s">
        <v>90</v>
      </c>
      <c r="D408" s="523">
        <v>195</v>
      </c>
      <c r="E408" s="523"/>
      <c r="F408" s="525" t="e">
        <f>SUM(F409:F419)</f>
        <v>#REF!</v>
      </c>
      <c r="G408" s="524"/>
    </row>
    <row r="409" s="490" customFormat="1" ht="17.25" spans="1:7">
      <c r="A409" s="521"/>
      <c r="B409" s="526" t="s">
        <v>61</v>
      </c>
      <c r="C409" s="527" t="s">
        <v>62</v>
      </c>
      <c r="D409" s="511">
        <f>10*D408</f>
        <v>1950</v>
      </c>
      <c r="E409" s="523" t="e">
        <f t="shared" si="25"/>
        <v>#REF!</v>
      </c>
      <c r="F409" s="525" t="e">
        <f t="shared" si="24"/>
        <v>#REF!</v>
      </c>
      <c r="G409" s="524"/>
    </row>
    <row r="410" s="490" customFormat="1" ht="17.25" spans="1:7">
      <c r="A410" s="521"/>
      <c r="B410" s="526" t="s">
        <v>63</v>
      </c>
      <c r="C410" s="527" t="s">
        <v>62</v>
      </c>
      <c r="D410" s="511">
        <f>38*D408</f>
        <v>7410</v>
      </c>
      <c r="E410" s="523">
        <f t="shared" si="25"/>
        <v>12.4804472232673</v>
      </c>
      <c r="F410" s="525">
        <f t="shared" si="24"/>
        <v>92480.1139244106</v>
      </c>
      <c r="G410" s="524"/>
    </row>
    <row r="411" s="490" customFormat="1" ht="17.25" spans="1:7">
      <c r="A411" s="521"/>
      <c r="B411" s="526" t="s">
        <v>571</v>
      </c>
      <c r="C411" s="527" t="s">
        <v>62</v>
      </c>
      <c r="D411" s="511">
        <f>3.6*D408</f>
        <v>702</v>
      </c>
      <c r="E411" s="523">
        <f t="shared" si="25"/>
        <v>0</v>
      </c>
      <c r="F411" s="525">
        <f t="shared" si="24"/>
        <v>0</v>
      </c>
      <c r="G411" s="524"/>
    </row>
    <row r="412" s="490" customFormat="1" ht="17.25" spans="1:7">
      <c r="A412" s="521"/>
      <c r="B412" s="526" t="s">
        <v>572</v>
      </c>
      <c r="C412" s="527" t="s">
        <v>62</v>
      </c>
      <c r="D412" s="511">
        <f>D411</f>
        <v>702</v>
      </c>
      <c r="E412" s="523">
        <f t="shared" si="25"/>
        <v>0</v>
      </c>
      <c r="F412" s="525">
        <f t="shared" si="24"/>
        <v>0</v>
      </c>
      <c r="G412" s="524"/>
    </row>
    <row r="413" s="490" customFormat="1" ht="17.25" spans="1:7">
      <c r="A413" s="521"/>
      <c r="B413" s="526" t="s">
        <v>560</v>
      </c>
      <c r="C413" s="527" t="s">
        <v>62</v>
      </c>
      <c r="D413" s="511">
        <f>2*D408</f>
        <v>390</v>
      </c>
      <c r="E413" s="523" t="e">
        <f t="shared" si="25"/>
        <v>#REF!</v>
      </c>
      <c r="F413" s="525" t="e">
        <f t="shared" si="24"/>
        <v>#REF!</v>
      </c>
      <c r="G413" s="524"/>
    </row>
    <row r="414" s="490" customFormat="1" ht="17.25" spans="1:7">
      <c r="A414" s="521"/>
      <c r="B414" s="526" t="s">
        <v>561</v>
      </c>
      <c r="C414" s="527" t="s">
        <v>62</v>
      </c>
      <c r="D414" s="511">
        <f>1.25*D408</f>
        <v>243.75</v>
      </c>
      <c r="E414" s="523" t="e">
        <f t="shared" si="25"/>
        <v>#REF!</v>
      </c>
      <c r="F414" s="525" t="e">
        <f t="shared" si="24"/>
        <v>#REF!</v>
      </c>
      <c r="G414" s="524"/>
    </row>
    <row r="415" s="490" customFormat="1" ht="17.25" spans="1:7">
      <c r="A415" s="521"/>
      <c r="B415" s="526" t="s">
        <v>562</v>
      </c>
      <c r="C415" s="527" t="s">
        <v>559</v>
      </c>
      <c r="D415" s="511">
        <f>15*D408</f>
        <v>2925</v>
      </c>
      <c r="E415" s="523" t="e">
        <f t="shared" si="25"/>
        <v>#REF!</v>
      </c>
      <c r="F415" s="525" t="e">
        <f t="shared" si="24"/>
        <v>#REF!</v>
      </c>
      <c r="G415" s="524"/>
    </row>
    <row r="416" s="490" customFormat="1" ht="17.25" spans="1:7">
      <c r="A416" s="521"/>
      <c r="B416" s="526" t="s">
        <v>563</v>
      </c>
      <c r="C416" s="527" t="s">
        <v>62</v>
      </c>
      <c r="D416" s="511">
        <f>0.1*D408</f>
        <v>19.5</v>
      </c>
      <c r="E416" s="523" t="e">
        <f t="shared" si="25"/>
        <v>#REF!</v>
      </c>
      <c r="F416" s="525" t="e">
        <f t="shared" si="24"/>
        <v>#REF!</v>
      </c>
      <c r="G416" s="524"/>
    </row>
    <row r="417" s="490" customFormat="1" ht="17.25" spans="1:7">
      <c r="A417" s="521"/>
      <c r="B417" s="526" t="s">
        <v>564</v>
      </c>
      <c r="C417" s="527" t="s">
        <v>62</v>
      </c>
      <c r="D417" s="511">
        <f>0.1*D408</f>
        <v>19.5</v>
      </c>
      <c r="E417" s="523">
        <f t="shared" si="25"/>
        <v>79.2891773758467</v>
      </c>
      <c r="F417" s="525">
        <f t="shared" si="24"/>
        <v>1546.13895882901</v>
      </c>
      <c r="G417" s="524"/>
    </row>
    <row r="418" s="490" customFormat="1" ht="17.25" spans="1:7">
      <c r="A418" s="521"/>
      <c r="B418" s="526" t="s">
        <v>565</v>
      </c>
      <c r="C418" s="527" t="s">
        <v>62</v>
      </c>
      <c r="D418" s="511">
        <f>2.4*D408</f>
        <v>468</v>
      </c>
      <c r="E418" s="523" t="e">
        <f t="shared" si="25"/>
        <v>#REF!</v>
      </c>
      <c r="F418" s="525" t="e">
        <f t="shared" si="24"/>
        <v>#REF!</v>
      </c>
      <c r="G418" s="524"/>
    </row>
    <row r="419" s="490" customFormat="1" ht="17.25" spans="1:7">
      <c r="A419" s="521"/>
      <c r="B419" s="526" t="s">
        <v>566</v>
      </c>
      <c r="C419" s="527" t="s">
        <v>559</v>
      </c>
      <c r="D419" s="511">
        <f>8*D408</f>
        <v>1560</v>
      </c>
      <c r="E419" s="523" t="e">
        <f t="shared" si="25"/>
        <v>#REF!</v>
      </c>
      <c r="F419" s="525" t="e">
        <f t="shared" si="24"/>
        <v>#REF!</v>
      </c>
      <c r="G419" s="524"/>
    </row>
    <row r="420" s="490" customFormat="1" ht="17.25" spans="1:7">
      <c r="A420" s="523">
        <v>3.29</v>
      </c>
      <c r="B420" s="522" t="s">
        <v>599</v>
      </c>
      <c r="C420" s="521" t="s">
        <v>90</v>
      </c>
      <c r="D420" s="523">
        <v>187</v>
      </c>
      <c r="E420" s="523"/>
      <c r="F420" s="525" t="e">
        <f>SUM(F421:F431)</f>
        <v>#REF!</v>
      </c>
      <c r="G420" s="524"/>
    </row>
    <row r="421" s="490" customFormat="1" ht="17.25" spans="1:7">
      <c r="A421" s="521"/>
      <c r="B421" s="526" t="s">
        <v>61</v>
      </c>
      <c r="C421" s="527" t="s">
        <v>62</v>
      </c>
      <c r="D421" s="511">
        <f>10*D420</f>
        <v>1870</v>
      </c>
      <c r="E421" s="523" t="e">
        <f t="shared" si="25"/>
        <v>#REF!</v>
      </c>
      <c r="F421" s="525" t="e">
        <f t="shared" si="24"/>
        <v>#REF!</v>
      </c>
      <c r="G421" s="524"/>
    </row>
    <row r="422" s="490" customFormat="1" ht="17.25" spans="1:7">
      <c r="A422" s="521"/>
      <c r="B422" s="526" t="s">
        <v>63</v>
      </c>
      <c r="C422" s="527" t="s">
        <v>62</v>
      </c>
      <c r="D422" s="511">
        <f>38*D420</f>
        <v>7106</v>
      </c>
      <c r="E422" s="523">
        <f t="shared" si="25"/>
        <v>12.4804472232673</v>
      </c>
      <c r="F422" s="525">
        <f t="shared" si="24"/>
        <v>88686.0579685374</v>
      </c>
      <c r="G422" s="524"/>
    </row>
    <row r="423" s="490" customFormat="1" ht="17.25" spans="1:7">
      <c r="A423" s="521"/>
      <c r="B423" s="526" t="s">
        <v>571</v>
      </c>
      <c r="C423" s="527" t="s">
        <v>62</v>
      </c>
      <c r="D423" s="511">
        <f>3.6*D420</f>
        <v>673.2</v>
      </c>
      <c r="E423" s="523">
        <f t="shared" si="25"/>
        <v>0</v>
      </c>
      <c r="F423" s="525">
        <f t="shared" si="24"/>
        <v>0</v>
      </c>
      <c r="G423" s="524"/>
    </row>
    <row r="424" s="490" customFormat="1" ht="17.25" spans="1:7">
      <c r="A424" s="521"/>
      <c r="B424" s="526" t="s">
        <v>572</v>
      </c>
      <c r="C424" s="527" t="s">
        <v>62</v>
      </c>
      <c r="D424" s="511">
        <f>D423</f>
        <v>673.2</v>
      </c>
      <c r="E424" s="523">
        <f t="shared" si="25"/>
        <v>0</v>
      </c>
      <c r="F424" s="525">
        <f t="shared" ref="F424:F487" si="26">D424*E424</f>
        <v>0</v>
      </c>
      <c r="G424" s="524"/>
    </row>
    <row r="425" s="490" customFormat="1" ht="17.25" spans="1:7">
      <c r="A425" s="521"/>
      <c r="B425" s="526" t="s">
        <v>560</v>
      </c>
      <c r="C425" s="527" t="s">
        <v>62</v>
      </c>
      <c r="D425" s="511">
        <f>2*D420</f>
        <v>374</v>
      </c>
      <c r="E425" s="523" t="e">
        <f t="shared" si="25"/>
        <v>#REF!</v>
      </c>
      <c r="F425" s="525" t="e">
        <f t="shared" si="26"/>
        <v>#REF!</v>
      </c>
      <c r="G425" s="524"/>
    </row>
    <row r="426" s="490" customFormat="1" ht="17.25" spans="1:7">
      <c r="A426" s="521"/>
      <c r="B426" s="526" t="s">
        <v>561</v>
      </c>
      <c r="C426" s="527" t="s">
        <v>62</v>
      </c>
      <c r="D426" s="511">
        <f>1.25*D420</f>
        <v>233.75</v>
      </c>
      <c r="E426" s="523" t="e">
        <f t="shared" si="25"/>
        <v>#REF!</v>
      </c>
      <c r="F426" s="525" t="e">
        <f t="shared" si="26"/>
        <v>#REF!</v>
      </c>
      <c r="G426" s="524"/>
    </row>
    <row r="427" s="490" customFormat="1" ht="17.25" spans="1:7">
      <c r="A427" s="521"/>
      <c r="B427" s="526" t="s">
        <v>562</v>
      </c>
      <c r="C427" s="527" t="s">
        <v>559</v>
      </c>
      <c r="D427" s="511">
        <f>15*D420</f>
        <v>2805</v>
      </c>
      <c r="E427" s="523" t="e">
        <f t="shared" si="25"/>
        <v>#REF!</v>
      </c>
      <c r="F427" s="525" t="e">
        <f t="shared" si="26"/>
        <v>#REF!</v>
      </c>
      <c r="G427" s="524"/>
    </row>
    <row r="428" s="490" customFormat="1" ht="17.25" spans="1:7">
      <c r="A428" s="521"/>
      <c r="B428" s="526" t="s">
        <v>563</v>
      </c>
      <c r="C428" s="527" t="s">
        <v>62</v>
      </c>
      <c r="D428" s="511">
        <f>0.1*D420</f>
        <v>18.7</v>
      </c>
      <c r="E428" s="523" t="e">
        <f t="shared" si="25"/>
        <v>#REF!</v>
      </c>
      <c r="F428" s="525" t="e">
        <f t="shared" si="26"/>
        <v>#REF!</v>
      </c>
      <c r="G428" s="524"/>
    </row>
    <row r="429" s="490" customFormat="1" ht="17.25" spans="1:7">
      <c r="A429" s="521"/>
      <c r="B429" s="526" t="s">
        <v>564</v>
      </c>
      <c r="C429" s="527" t="s">
        <v>62</v>
      </c>
      <c r="D429" s="511">
        <f>0.1*D420</f>
        <v>18.7</v>
      </c>
      <c r="E429" s="523">
        <f t="shared" si="25"/>
        <v>79.2891773758467</v>
      </c>
      <c r="F429" s="525">
        <f t="shared" si="26"/>
        <v>1482.70761692833</v>
      </c>
      <c r="G429" s="524"/>
    </row>
    <row r="430" s="490" customFormat="1" ht="17.25" spans="1:7">
      <c r="A430" s="521"/>
      <c r="B430" s="526" t="s">
        <v>565</v>
      </c>
      <c r="C430" s="527" t="s">
        <v>62</v>
      </c>
      <c r="D430" s="511">
        <f>2.4*D420</f>
        <v>448.8</v>
      </c>
      <c r="E430" s="523" t="e">
        <f t="shared" si="25"/>
        <v>#REF!</v>
      </c>
      <c r="F430" s="525" t="e">
        <f t="shared" si="26"/>
        <v>#REF!</v>
      </c>
      <c r="G430" s="524"/>
    </row>
    <row r="431" s="490" customFormat="1" ht="17.25" spans="1:7">
      <c r="A431" s="521"/>
      <c r="B431" s="526" t="s">
        <v>566</v>
      </c>
      <c r="C431" s="527" t="s">
        <v>559</v>
      </c>
      <c r="D431" s="511">
        <f>8*D420</f>
        <v>1496</v>
      </c>
      <c r="E431" s="523" t="e">
        <f t="shared" si="25"/>
        <v>#REF!</v>
      </c>
      <c r="F431" s="525" t="e">
        <f t="shared" si="26"/>
        <v>#REF!</v>
      </c>
      <c r="G431" s="524"/>
    </row>
    <row r="432" s="490" customFormat="1" ht="17.25" spans="1:7">
      <c r="A432" s="523">
        <v>3.3</v>
      </c>
      <c r="B432" s="522" t="s">
        <v>600</v>
      </c>
      <c r="C432" s="521" t="s">
        <v>90</v>
      </c>
      <c r="D432" s="523">
        <v>273</v>
      </c>
      <c r="E432" s="523"/>
      <c r="F432" s="525" t="e">
        <f>SUM(F433:F443)</f>
        <v>#REF!</v>
      </c>
      <c r="G432" s="524"/>
    </row>
    <row r="433" s="490" customFormat="1" ht="17.25" spans="1:7">
      <c r="A433" s="521"/>
      <c r="B433" s="526" t="s">
        <v>61</v>
      </c>
      <c r="C433" s="527" t="s">
        <v>62</v>
      </c>
      <c r="D433" s="511">
        <f>10*D432</f>
        <v>2730</v>
      </c>
      <c r="E433" s="523" t="e">
        <f t="shared" si="25"/>
        <v>#REF!</v>
      </c>
      <c r="F433" s="525" t="e">
        <f t="shared" si="26"/>
        <v>#REF!</v>
      </c>
      <c r="G433" s="524"/>
    </row>
    <row r="434" s="490" customFormat="1" ht="17.25" spans="1:7">
      <c r="A434" s="521"/>
      <c r="B434" s="526" t="s">
        <v>63</v>
      </c>
      <c r="C434" s="527" t="s">
        <v>62</v>
      </c>
      <c r="D434" s="511">
        <f>38*D432</f>
        <v>10374</v>
      </c>
      <c r="E434" s="523">
        <f t="shared" ref="E434:E502" si="27">E422</f>
        <v>12.4804472232673</v>
      </c>
      <c r="F434" s="525">
        <f t="shared" si="26"/>
        <v>129472.159494175</v>
      </c>
      <c r="G434" s="524"/>
    </row>
    <row r="435" s="490" customFormat="1" ht="17.25" spans="1:7">
      <c r="A435" s="521"/>
      <c r="B435" s="526" t="s">
        <v>571</v>
      </c>
      <c r="C435" s="527" t="s">
        <v>62</v>
      </c>
      <c r="D435" s="511">
        <f>3.6*D432</f>
        <v>982.8</v>
      </c>
      <c r="E435" s="523">
        <f t="shared" si="27"/>
        <v>0</v>
      </c>
      <c r="F435" s="525">
        <f t="shared" si="26"/>
        <v>0</v>
      </c>
      <c r="G435" s="524"/>
    </row>
    <row r="436" s="490" customFormat="1" ht="17.25" spans="1:7">
      <c r="A436" s="521"/>
      <c r="B436" s="526" t="s">
        <v>572</v>
      </c>
      <c r="C436" s="527" t="s">
        <v>62</v>
      </c>
      <c r="D436" s="511">
        <f>D435</f>
        <v>982.8</v>
      </c>
      <c r="E436" s="523">
        <f t="shared" si="27"/>
        <v>0</v>
      </c>
      <c r="F436" s="525">
        <f t="shared" si="26"/>
        <v>0</v>
      </c>
      <c r="G436" s="524"/>
    </row>
    <row r="437" s="490" customFormat="1" ht="17.25" spans="1:7">
      <c r="A437" s="521"/>
      <c r="B437" s="526" t="s">
        <v>560</v>
      </c>
      <c r="C437" s="527" t="s">
        <v>62</v>
      </c>
      <c r="D437" s="511">
        <f>2*D432</f>
        <v>546</v>
      </c>
      <c r="E437" s="523" t="e">
        <f t="shared" si="27"/>
        <v>#REF!</v>
      </c>
      <c r="F437" s="525" t="e">
        <f t="shared" si="26"/>
        <v>#REF!</v>
      </c>
      <c r="G437" s="524"/>
    </row>
    <row r="438" s="490" customFormat="1" ht="17.25" spans="1:7">
      <c r="A438" s="521"/>
      <c r="B438" s="526" t="s">
        <v>561</v>
      </c>
      <c r="C438" s="527" t="s">
        <v>62</v>
      </c>
      <c r="D438" s="511">
        <f>1.25*D432</f>
        <v>341.25</v>
      </c>
      <c r="E438" s="523" t="e">
        <f t="shared" si="27"/>
        <v>#REF!</v>
      </c>
      <c r="F438" s="525" t="e">
        <f t="shared" si="26"/>
        <v>#REF!</v>
      </c>
      <c r="G438" s="524"/>
    </row>
    <row r="439" s="490" customFormat="1" ht="17.25" spans="1:7">
      <c r="A439" s="521"/>
      <c r="B439" s="526" t="s">
        <v>562</v>
      </c>
      <c r="C439" s="527" t="s">
        <v>559</v>
      </c>
      <c r="D439" s="511">
        <f>15*D432</f>
        <v>4095</v>
      </c>
      <c r="E439" s="523" t="e">
        <f t="shared" si="27"/>
        <v>#REF!</v>
      </c>
      <c r="F439" s="525" t="e">
        <f t="shared" si="26"/>
        <v>#REF!</v>
      </c>
      <c r="G439" s="524"/>
    </row>
    <row r="440" s="490" customFormat="1" ht="17.25" spans="1:7">
      <c r="A440" s="521"/>
      <c r="B440" s="526" t="s">
        <v>563</v>
      </c>
      <c r="C440" s="527" t="s">
        <v>62</v>
      </c>
      <c r="D440" s="511">
        <f>0.1*D432</f>
        <v>27.3</v>
      </c>
      <c r="E440" s="523" t="e">
        <f t="shared" si="27"/>
        <v>#REF!</v>
      </c>
      <c r="F440" s="525" t="e">
        <f t="shared" si="26"/>
        <v>#REF!</v>
      </c>
      <c r="G440" s="524"/>
    </row>
    <row r="441" s="490" customFormat="1" ht="17.25" spans="1:7">
      <c r="A441" s="521"/>
      <c r="B441" s="526" t="s">
        <v>564</v>
      </c>
      <c r="C441" s="527" t="s">
        <v>62</v>
      </c>
      <c r="D441" s="511">
        <f>0.1*D432</f>
        <v>27.3</v>
      </c>
      <c r="E441" s="523">
        <f t="shared" si="27"/>
        <v>79.2891773758467</v>
      </c>
      <c r="F441" s="525">
        <f t="shared" si="26"/>
        <v>2164.59454236062</v>
      </c>
      <c r="G441" s="524"/>
    </row>
    <row r="442" s="490" customFormat="1" ht="17.25" spans="1:7">
      <c r="A442" s="521"/>
      <c r="B442" s="526" t="s">
        <v>565</v>
      </c>
      <c r="C442" s="527" t="s">
        <v>62</v>
      </c>
      <c r="D442" s="511">
        <f>2.4*D432</f>
        <v>655.2</v>
      </c>
      <c r="E442" s="523" t="e">
        <f t="shared" si="27"/>
        <v>#REF!</v>
      </c>
      <c r="F442" s="525" t="e">
        <f t="shared" si="26"/>
        <v>#REF!</v>
      </c>
      <c r="G442" s="524"/>
    </row>
    <row r="443" s="490" customFormat="1" ht="17.25" spans="1:7">
      <c r="A443" s="521"/>
      <c r="B443" s="526" t="s">
        <v>566</v>
      </c>
      <c r="C443" s="527" t="s">
        <v>559</v>
      </c>
      <c r="D443" s="511">
        <f>8*D432</f>
        <v>2184</v>
      </c>
      <c r="E443" s="523" t="e">
        <f t="shared" si="27"/>
        <v>#REF!</v>
      </c>
      <c r="F443" s="525" t="e">
        <f t="shared" si="26"/>
        <v>#REF!</v>
      </c>
      <c r="G443" s="524"/>
    </row>
    <row r="444" s="490" customFormat="1" ht="17.25" spans="1:7">
      <c r="A444" s="523">
        <v>3.31</v>
      </c>
      <c r="B444" s="522" t="s">
        <v>601</v>
      </c>
      <c r="C444" s="521" t="s">
        <v>90</v>
      </c>
      <c r="D444" s="523">
        <v>120</v>
      </c>
      <c r="E444" s="523"/>
      <c r="F444" s="525" t="e">
        <f>SUM(F445:F455)</f>
        <v>#REF!</v>
      </c>
      <c r="G444" s="524"/>
    </row>
    <row r="445" s="490" customFormat="1" ht="17.25" spans="1:7">
      <c r="A445" s="521"/>
      <c r="B445" s="526" t="s">
        <v>61</v>
      </c>
      <c r="C445" s="527" t="s">
        <v>62</v>
      </c>
      <c r="D445" s="511">
        <f>10*D444</f>
        <v>1200</v>
      </c>
      <c r="E445" s="523" t="e">
        <f t="shared" si="27"/>
        <v>#REF!</v>
      </c>
      <c r="F445" s="525" t="e">
        <f t="shared" si="26"/>
        <v>#REF!</v>
      </c>
      <c r="G445" s="524"/>
    </row>
    <row r="446" s="490" customFormat="1" ht="17.25" spans="1:7">
      <c r="A446" s="521"/>
      <c r="B446" s="526" t="s">
        <v>63</v>
      </c>
      <c r="C446" s="527" t="s">
        <v>62</v>
      </c>
      <c r="D446" s="511">
        <f>38*D444</f>
        <v>4560</v>
      </c>
      <c r="E446" s="523">
        <f t="shared" si="27"/>
        <v>12.4804472232673</v>
      </c>
      <c r="F446" s="525">
        <f t="shared" si="26"/>
        <v>56910.8393380988</v>
      </c>
      <c r="G446" s="524"/>
    </row>
    <row r="447" s="490" customFormat="1" ht="17.25" spans="1:7">
      <c r="A447" s="521"/>
      <c r="B447" s="526" t="s">
        <v>571</v>
      </c>
      <c r="C447" s="527" t="s">
        <v>62</v>
      </c>
      <c r="D447" s="511">
        <f>3.6*D444</f>
        <v>432</v>
      </c>
      <c r="E447" s="523">
        <f t="shared" si="27"/>
        <v>0</v>
      </c>
      <c r="F447" s="525">
        <f t="shared" si="26"/>
        <v>0</v>
      </c>
      <c r="G447" s="524"/>
    </row>
    <row r="448" s="490" customFormat="1" ht="17.25" spans="1:7">
      <c r="A448" s="521"/>
      <c r="B448" s="526" t="s">
        <v>572</v>
      </c>
      <c r="C448" s="527" t="s">
        <v>62</v>
      </c>
      <c r="D448" s="511">
        <f>D447</f>
        <v>432</v>
      </c>
      <c r="E448" s="523">
        <f t="shared" si="27"/>
        <v>0</v>
      </c>
      <c r="F448" s="525">
        <f t="shared" si="26"/>
        <v>0</v>
      </c>
      <c r="G448" s="524"/>
    </row>
    <row r="449" s="490" customFormat="1" ht="17.25" spans="1:7">
      <c r="A449" s="521"/>
      <c r="B449" s="526" t="s">
        <v>560</v>
      </c>
      <c r="C449" s="527" t="s">
        <v>62</v>
      </c>
      <c r="D449" s="511">
        <f>2*D444</f>
        <v>240</v>
      </c>
      <c r="E449" s="523" t="e">
        <f t="shared" si="27"/>
        <v>#REF!</v>
      </c>
      <c r="F449" s="525" t="e">
        <f t="shared" si="26"/>
        <v>#REF!</v>
      </c>
      <c r="G449" s="524"/>
    </row>
    <row r="450" s="490" customFormat="1" ht="17.25" spans="1:7">
      <c r="A450" s="521"/>
      <c r="B450" s="526" t="s">
        <v>561</v>
      </c>
      <c r="C450" s="527" t="s">
        <v>62</v>
      </c>
      <c r="D450" s="511">
        <f>1.25*D444</f>
        <v>150</v>
      </c>
      <c r="E450" s="523" t="e">
        <f t="shared" si="27"/>
        <v>#REF!</v>
      </c>
      <c r="F450" s="525" t="e">
        <f t="shared" si="26"/>
        <v>#REF!</v>
      </c>
      <c r="G450" s="524"/>
    </row>
    <row r="451" s="490" customFormat="1" ht="17.25" spans="1:7">
      <c r="A451" s="521"/>
      <c r="B451" s="526" t="s">
        <v>562</v>
      </c>
      <c r="C451" s="527" t="s">
        <v>559</v>
      </c>
      <c r="D451" s="511">
        <f>15*D444</f>
        <v>1800</v>
      </c>
      <c r="E451" s="523" t="e">
        <f t="shared" si="27"/>
        <v>#REF!</v>
      </c>
      <c r="F451" s="525" t="e">
        <f t="shared" si="26"/>
        <v>#REF!</v>
      </c>
      <c r="G451" s="524"/>
    </row>
    <row r="452" s="490" customFormat="1" ht="17.25" spans="1:7">
      <c r="A452" s="521"/>
      <c r="B452" s="526" t="s">
        <v>563</v>
      </c>
      <c r="C452" s="527" t="s">
        <v>62</v>
      </c>
      <c r="D452" s="511">
        <f>0.1*D444</f>
        <v>12</v>
      </c>
      <c r="E452" s="523" t="e">
        <f t="shared" si="27"/>
        <v>#REF!</v>
      </c>
      <c r="F452" s="525" t="e">
        <f t="shared" si="26"/>
        <v>#REF!</v>
      </c>
      <c r="G452" s="524"/>
    </row>
    <row r="453" s="490" customFormat="1" ht="17.25" spans="1:7">
      <c r="A453" s="521"/>
      <c r="B453" s="526" t="s">
        <v>564</v>
      </c>
      <c r="C453" s="527" t="s">
        <v>62</v>
      </c>
      <c r="D453" s="511">
        <f>0.1*D444</f>
        <v>12</v>
      </c>
      <c r="E453" s="523">
        <f t="shared" si="27"/>
        <v>79.2891773758467</v>
      </c>
      <c r="F453" s="525">
        <f t="shared" si="26"/>
        <v>951.470128510161</v>
      </c>
      <c r="G453" s="524"/>
    </row>
    <row r="454" s="490" customFormat="1" ht="17.25" spans="1:7">
      <c r="A454" s="521"/>
      <c r="B454" s="526" t="s">
        <v>565</v>
      </c>
      <c r="C454" s="527" t="s">
        <v>62</v>
      </c>
      <c r="D454" s="511">
        <f>2.4*D444</f>
        <v>288</v>
      </c>
      <c r="E454" s="523" t="e">
        <f t="shared" si="27"/>
        <v>#REF!</v>
      </c>
      <c r="F454" s="525" t="e">
        <f t="shared" si="26"/>
        <v>#REF!</v>
      </c>
      <c r="G454" s="524"/>
    </row>
    <row r="455" s="490" customFormat="1" ht="17.25" spans="1:7">
      <c r="A455" s="521"/>
      <c r="B455" s="526" t="s">
        <v>566</v>
      </c>
      <c r="C455" s="527" t="s">
        <v>559</v>
      </c>
      <c r="D455" s="511">
        <f>8*D444</f>
        <v>960</v>
      </c>
      <c r="E455" s="523" t="e">
        <f t="shared" si="27"/>
        <v>#REF!</v>
      </c>
      <c r="F455" s="525" t="e">
        <f t="shared" si="26"/>
        <v>#REF!</v>
      </c>
      <c r="G455" s="524"/>
    </row>
    <row r="456" s="490" customFormat="1" ht="17.25" spans="1:7">
      <c r="A456" s="523">
        <v>3.32</v>
      </c>
      <c r="B456" s="522" t="s">
        <v>602</v>
      </c>
      <c r="C456" s="521" t="s">
        <v>90</v>
      </c>
      <c r="D456" s="523">
        <v>123</v>
      </c>
      <c r="E456" s="523"/>
      <c r="F456" s="525" t="e">
        <f>SUM(F457:F467)</f>
        <v>#REF!</v>
      </c>
      <c r="G456" s="524"/>
    </row>
    <row r="457" s="490" customFormat="1" ht="17.25" spans="1:7">
      <c r="A457" s="521"/>
      <c r="B457" s="526" t="s">
        <v>61</v>
      </c>
      <c r="C457" s="527" t="s">
        <v>62</v>
      </c>
      <c r="D457" s="511">
        <f>10*D456</f>
        <v>1230</v>
      </c>
      <c r="E457" s="523" t="e">
        <f t="shared" si="27"/>
        <v>#REF!</v>
      </c>
      <c r="F457" s="525" t="e">
        <f t="shared" si="26"/>
        <v>#REF!</v>
      </c>
      <c r="G457" s="524"/>
    </row>
    <row r="458" s="490" customFormat="1" ht="17.25" spans="1:7">
      <c r="A458" s="521"/>
      <c r="B458" s="526" t="s">
        <v>63</v>
      </c>
      <c r="C458" s="527" t="s">
        <v>62</v>
      </c>
      <c r="D458" s="511">
        <f>38*D456</f>
        <v>4674</v>
      </c>
      <c r="E458" s="523">
        <f t="shared" si="27"/>
        <v>12.4804472232673</v>
      </c>
      <c r="F458" s="525">
        <f t="shared" si="26"/>
        <v>58333.6103215513</v>
      </c>
      <c r="G458" s="524"/>
    </row>
    <row r="459" s="490" customFormat="1" ht="17.25" spans="1:7">
      <c r="A459" s="521"/>
      <c r="B459" s="526" t="s">
        <v>571</v>
      </c>
      <c r="C459" s="527" t="s">
        <v>62</v>
      </c>
      <c r="D459" s="511">
        <f>3.6*D456</f>
        <v>442.8</v>
      </c>
      <c r="E459" s="523">
        <f t="shared" si="27"/>
        <v>0</v>
      </c>
      <c r="F459" s="525">
        <f t="shared" si="26"/>
        <v>0</v>
      </c>
      <c r="G459" s="524"/>
    </row>
    <row r="460" s="490" customFormat="1" ht="17.25" spans="1:7">
      <c r="A460" s="521"/>
      <c r="B460" s="526" t="s">
        <v>572</v>
      </c>
      <c r="C460" s="527" t="s">
        <v>62</v>
      </c>
      <c r="D460" s="511">
        <f>D459</f>
        <v>442.8</v>
      </c>
      <c r="E460" s="523">
        <f t="shared" si="27"/>
        <v>0</v>
      </c>
      <c r="F460" s="525">
        <f t="shared" si="26"/>
        <v>0</v>
      </c>
      <c r="G460" s="524"/>
    </row>
    <row r="461" s="490" customFormat="1" ht="17.25" spans="1:7">
      <c r="A461" s="521"/>
      <c r="B461" s="526" t="s">
        <v>560</v>
      </c>
      <c r="C461" s="527" t="s">
        <v>62</v>
      </c>
      <c r="D461" s="511">
        <f>2*D456</f>
        <v>246</v>
      </c>
      <c r="E461" s="523" t="e">
        <f t="shared" si="27"/>
        <v>#REF!</v>
      </c>
      <c r="F461" s="525" t="e">
        <f t="shared" si="26"/>
        <v>#REF!</v>
      </c>
      <c r="G461" s="524"/>
    </row>
    <row r="462" s="490" customFormat="1" ht="17.25" spans="1:7">
      <c r="A462" s="521"/>
      <c r="B462" s="526" t="s">
        <v>561</v>
      </c>
      <c r="C462" s="527" t="s">
        <v>62</v>
      </c>
      <c r="D462" s="511">
        <f>1.25*D456</f>
        <v>153.75</v>
      </c>
      <c r="E462" s="523" t="e">
        <f t="shared" si="27"/>
        <v>#REF!</v>
      </c>
      <c r="F462" s="525" t="e">
        <f t="shared" si="26"/>
        <v>#REF!</v>
      </c>
      <c r="G462" s="524"/>
    </row>
    <row r="463" s="490" customFormat="1" ht="17.25" spans="1:7">
      <c r="A463" s="521"/>
      <c r="B463" s="526" t="s">
        <v>562</v>
      </c>
      <c r="C463" s="527" t="s">
        <v>559</v>
      </c>
      <c r="D463" s="511">
        <f>15*D456</f>
        <v>1845</v>
      </c>
      <c r="E463" s="523" t="e">
        <f t="shared" si="27"/>
        <v>#REF!</v>
      </c>
      <c r="F463" s="525" t="e">
        <f t="shared" si="26"/>
        <v>#REF!</v>
      </c>
      <c r="G463" s="524"/>
    </row>
    <row r="464" s="490" customFormat="1" ht="17.25" spans="1:7">
      <c r="A464" s="521"/>
      <c r="B464" s="526" t="s">
        <v>563</v>
      </c>
      <c r="C464" s="527" t="s">
        <v>62</v>
      </c>
      <c r="D464" s="511">
        <f>0.1*D456</f>
        <v>12.3</v>
      </c>
      <c r="E464" s="523" t="e">
        <f t="shared" si="27"/>
        <v>#REF!</v>
      </c>
      <c r="F464" s="525" t="e">
        <f t="shared" si="26"/>
        <v>#REF!</v>
      </c>
      <c r="G464" s="524"/>
    </row>
    <row r="465" s="490" customFormat="1" ht="17.25" spans="1:7">
      <c r="A465" s="521"/>
      <c r="B465" s="526" t="s">
        <v>564</v>
      </c>
      <c r="C465" s="527" t="s">
        <v>62</v>
      </c>
      <c r="D465" s="511">
        <f>0.1*D456</f>
        <v>12.3</v>
      </c>
      <c r="E465" s="523">
        <f t="shared" si="27"/>
        <v>79.2891773758467</v>
      </c>
      <c r="F465" s="525">
        <f t="shared" si="26"/>
        <v>975.256881722915</v>
      </c>
      <c r="G465" s="524"/>
    </row>
    <row r="466" s="490" customFormat="1" ht="17.25" spans="1:7">
      <c r="A466" s="521"/>
      <c r="B466" s="526" t="s">
        <v>565</v>
      </c>
      <c r="C466" s="527" t="s">
        <v>62</v>
      </c>
      <c r="D466" s="511">
        <f>2.4*D456</f>
        <v>295.2</v>
      </c>
      <c r="E466" s="523" t="e">
        <f t="shared" si="27"/>
        <v>#REF!</v>
      </c>
      <c r="F466" s="525" t="e">
        <f t="shared" si="26"/>
        <v>#REF!</v>
      </c>
      <c r="G466" s="524"/>
    </row>
    <row r="467" s="490" customFormat="1" ht="17.25" spans="1:7">
      <c r="A467" s="521"/>
      <c r="B467" s="526" t="s">
        <v>566</v>
      </c>
      <c r="C467" s="527" t="s">
        <v>559</v>
      </c>
      <c r="D467" s="511">
        <f>8*D456</f>
        <v>984</v>
      </c>
      <c r="E467" s="523" t="e">
        <f t="shared" si="27"/>
        <v>#REF!</v>
      </c>
      <c r="F467" s="525" t="e">
        <f t="shared" si="26"/>
        <v>#REF!</v>
      </c>
      <c r="G467" s="524"/>
    </row>
    <row r="468" s="490" customFormat="1" ht="17.25" spans="1:7">
      <c r="A468" s="523">
        <v>3.33</v>
      </c>
      <c r="B468" s="522" t="s">
        <v>603</v>
      </c>
      <c r="C468" s="521" t="s">
        <v>90</v>
      </c>
      <c r="D468" s="523">
        <v>84</v>
      </c>
      <c r="E468" s="523"/>
      <c r="F468" s="525" t="e">
        <f>SUM(F469:F479)</f>
        <v>#REF!</v>
      </c>
      <c r="G468" s="524"/>
    </row>
    <row r="469" s="490" customFormat="1" ht="17.25" spans="1:7">
      <c r="A469" s="521"/>
      <c r="B469" s="526" t="s">
        <v>61</v>
      </c>
      <c r="C469" s="527" t="s">
        <v>62</v>
      </c>
      <c r="D469" s="511">
        <f>10*D468</f>
        <v>840</v>
      </c>
      <c r="E469" s="523" t="e">
        <f t="shared" si="27"/>
        <v>#REF!</v>
      </c>
      <c r="F469" s="525" t="e">
        <f t="shared" si="26"/>
        <v>#REF!</v>
      </c>
      <c r="G469" s="524"/>
    </row>
    <row r="470" s="490" customFormat="1" ht="17.25" spans="1:7">
      <c r="A470" s="521"/>
      <c r="B470" s="526" t="s">
        <v>63</v>
      </c>
      <c r="C470" s="527" t="s">
        <v>62</v>
      </c>
      <c r="D470" s="511">
        <f>38*D468</f>
        <v>3192</v>
      </c>
      <c r="E470" s="523">
        <f t="shared" si="27"/>
        <v>12.4804472232673</v>
      </c>
      <c r="F470" s="525">
        <f t="shared" si="26"/>
        <v>39837.5875366692</v>
      </c>
      <c r="G470" s="524"/>
    </row>
    <row r="471" s="490" customFormat="1" ht="17.25" spans="1:7">
      <c r="A471" s="521"/>
      <c r="B471" s="526" t="s">
        <v>571</v>
      </c>
      <c r="C471" s="527" t="s">
        <v>62</v>
      </c>
      <c r="D471" s="511">
        <f>3.6*D468</f>
        <v>302.4</v>
      </c>
      <c r="E471" s="523">
        <f t="shared" si="27"/>
        <v>0</v>
      </c>
      <c r="F471" s="525">
        <f t="shared" si="26"/>
        <v>0</v>
      </c>
      <c r="G471" s="524"/>
    </row>
    <row r="472" s="490" customFormat="1" ht="17.25" spans="1:7">
      <c r="A472" s="521"/>
      <c r="B472" s="526" t="s">
        <v>572</v>
      </c>
      <c r="C472" s="527" t="s">
        <v>62</v>
      </c>
      <c r="D472" s="511">
        <f>D471</f>
        <v>302.4</v>
      </c>
      <c r="E472" s="523">
        <f t="shared" si="27"/>
        <v>0</v>
      </c>
      <c r="F472" s="525">
        <f t="shared" si="26"/>
        <v>0</v>
      </c>
      <c r="G472" s="524"/>
    </row>
    <row r="473" s="490" customFormat="1" ht="17.25" spans="1:7">
      <c r="A473" s="521"/>
      <c r="B473" s="526" t="s">
        <v>560</v>
      </c>
      <c r="C473" s="527" t="s">
        <v>62</v>
      </c>
      <c r="D473" s="511">
        <f>2*D468</f>
        <v>168</v>
      </c>
      <c r="E473" s="523" t="e">
        <f t="shared" si="27"/>
        <v>#REF!</v>
      </c>
      <c r="F473" s="525" t="e">
        <f t="shared" si="26"/>
        <v>#REF!</v>
      </c>
      <c r="G473" s="524"/>
    </row>
    <row r="474" s="490" customFormat="1" ht="17.25" spans="1:7">
      <c r="A474" s="521"/>
      <c r="B474" s="526" t="s">
        <v>561</v>
      </c>
      <c r="C474" s="527" t="s">
        <v>62</v>
      </c>
      <c r="D474" s="511">
        <f>1.25*D468</f>
        <v>105</v>
      </c>
      <c r="E474" s="523" t="e">
        <f t="shared" si="27"/>
        <v>#REF!</v>
      </c>
      <c r="F474" s="525" t="e">
        <f t="shared" si="26"/>
        <v>#REF!</v>
      </c>
      <c r="G474" s="524"/>
    </row>
    <row r="475" s="490" customFormat="1" ht="17.25" spans="1:7">
      <c r="A475" s="521"/>
      <c r="B475" s="526" t="s">
        <v>562</v>
      </c>
      <c r="C475" s="527" t="s">
        <v>559</v>
      </c>
      <c r="D475" s="511">
        <f>15*D468</f>
        <v>1260</v>
      </c>
      <c r="E475" s="523" t="e">
        <f t="shared" si="27"/>
        <v>#REF!</v>
      </c>
      <c r="F475" s="525" t="e">
        <f t="shared" si="26"/>
        <v>#REF!</v>
      </c>
      <c r="G475" s="524"/>
    </row>
    <row r="476" s="490" customFormat="1" ht="17.25" spans="1:7">
      <c r="A476" s="521"/>
      <c r="B476" s="526" t="s">
        <v>563</v>
      </c>
      <c r="C476" s="527" t="s">
        <v>62</v>
      </c>
      <c r="D476" s="511">
        <f>0.1*D468</f>
        <v>8.4</v>
      </c>
      <c r="E476" s="523" t="e">
        <f t="shared" si="27"/>
        <v>#REF!</v>
      </c>
      <c r="F476" s="525" t="e">
        <f t="shared" si="26"/>
        <v>#REF!</v>
      </c>
      <c r="G476" s="524"/>
    </row>
    <row r="477" s="490" customFormat="1" ht="17.25" spans="1:7">
      <c r="A477" s="521"/>
      <c r="B477" s="526" t="s">
        <v>564</v>
      </c>
      <c r="C477" s="527" t="s">
        <v>62</v>
      </c>
      <c r="D477" s="511">
        <f>0.1*D468</f>
        <v>8.4</v>
      </c>
      <c r="E477" s="523">
        <f t="shared" si="27"/>
        <v>79.2891773758467</v>
      </c>
      <c r="F477" s="525">
        <f t="shared" si="26"/>
        <v>666.029089957113</v>
      </c>
      <c r="G477" s="524"/>
    </row>
    <row r="478" s="490" customFormat="1" ht="17.25" spans="1:7">
      <c r="A478" s="521"/>
      <c r="B478" s="526" t="s">
        <v>565</v>
      </c>
      <c r="C478" s="527" t="s">
        <v>62</v>
      </c>
      <c r="D478" s="511">
        <f>2.4*D468</f>
        <v>201.6</v>
      </c>
      <c r="E478" s="523" t="e">
        <f t="shared" si="27"/>
        <v>#REF!</v>
      </c>
      <c r="F478" s="525" t="e">
        <f t="shared" si="26"/>
        <v>#REF!</v>
      </c>
      <c r="G478" s="524"/>
    </row>
    <row r="479" s="490" customFormat="1" ht="17.25" spans="1:7">
      <c r="A479" s="521"/>
      <c r="B479" s="526" t="s">
        <v>566</v>
      </c>
      <c r="C479" s="527" t="s">
        <v>559</v>
      </c>
      <c r="D479" s="511">
        <f>8*D468</f>
        <v>672</v>
      </c>
      <c r="E479" s="523" t="e">
        <f t="shared" si="27"/>
        <v>#REF!</v>
      </c>
      <c r="F479" s="525" t="e">
        <f t="shared" si="26"/>
        <v>#REF!</v>
      </c>
      <c r="G479" s="524"/>
    </row>
    <row r="480" s="490" customFormat="1" ht="17.25" spans="1:7">
      <c r="A480" s="523">
        <v>3.34</v>
      </c>
      <c r="B480" s="522" t="s">
        <v>604</v>
      </c>
      <c r="C480" s="521" t="s">
        <v>90</v>
      </c>
      <c r="D480" s="523">
        <v>126</v>
      </c>
      <c r="E480" s="523"/>
      <c r="F480" s="525" t="e">
        <f>SUM(F481:F491)</f>
        <v>#REF!</v>
      </c>
      <c r="G480" s="524"/>
    </row>
    <row r="481" s="490" customFormat="1" ht="17.25" spans="1:7">
      <c r="A481" s="521"/>
      <c r="B481" s="526" t="s">
        <v>61</v>
      </c>
      <c r="C481" s="527" t="s">
        <v>62</v>
      </c>
      <c r="D481" s="511">
        <f>10*D480</f>
        <v>1260</v>
      </c>
      <c r="E481" s="523" t="e">
        <f t="shared" si="27"/>
        <v>#REF!</v>
      </c>
      <c r="F481" s="525" t="e">
        <f t="shared" si="26"/>
        <v>#REF!</v>
      </c>
      <c r="G481" s="524"/>
    </row>
    <row r="482" s="490" customFormat="1" ht="17.25" spans="1:7">
      <c r="A482" s="521"/>
      <c r="B482" s="526" t="s">
        <v>63</v>
      </c>
      <c r="C482" s="527" t="s">
        <v>62</v>
      </c>
      <c r="D482" s="511">
        <f>38*D480</f>
        <v>4788</v>
      </c>
      <c r="E482" s="523">
        <f t="shared" si="27"/>
        <v>12.4804472232673</v>
      </c>
      <c r="F482" s="525">
        <f t="shared" si="26"/>
        <v>59756.3813050038</v>
      </c>
      <c r="G482" s="524"/>
    </row>
    <row r="483" s="490" customFormat="1" ht="17.25" spans="1:7">
      <c r="A483" s="521"/>
      <c r="B483" s="526" t="s">
        <v>571</v>
      </c>
      <c r="C483" s="527" t="s">
        <v>62</v>
      </c>
      <c r="D483" s="511">
        <f>3.6*D480</f>
        <v>453.6</v>
      </c>
      <c r="E483" s="523">
        <f t="shared" si="27"/>
        <v>0</v>
      </c>
      <c r="F483" s="525">
        <f t="shared" si="26"/>
        <v>0</v>
      </c>
      <c r="G483" s="524"/>
    </row>
    <row r="484" s="490" customFormat="1" ht="17.25" spans="1:7">
      <c r="A484" s="521"/>
      <c r="B484" s="526" t="s">
        <v>572</v>
      </c>
      <c r="C484" s="527" t="s">
        <v>62</v>
      </c>
      <c r="D484" s="511">
        <f>D483</f>
        <v>453.6</v>
      </c>
      <c r="E484" s="523">
        <f t="shared" si="27"/>
        <v>0</v>
      </c>
      <c r="F484" s="525">
        <f t="shared" si="26"/>
        <v>0</v>
      </c>
      <c r="G484" s="524"/>
    </row>
    <row r="485" s="490" customFormat="1" ht="17.25" spans="1:7">
      <c r="A485" s="521"/>
      <c r="B485" s="526" t="s">
        <v>560</v>
      </c>
      <c r="C485" s="527" t="s">
        <v>62</v>
      </c>
      <c r="D485" s="511">
        <f>2*D480</f>
        <v>252</v>
      </c>
      <c r="E485" s="523" t="e">
        <f t="shared" si="27"/>
        <v>#REF!</v>
      </c>
      <c r="F485" s="525" t="e">
        <f t="shared" si="26"/>
        <v>#REF!</v>
      </c>
      <c r="G485" s="524"/>
    </row>
    <row r="486" s="490" customFormat="1" ht="17.25" spans="1:7">
      <c r="A486" s="521"/>
      <c r="B486" s="526" t="s">
        <v>561</v>
      </c>
      <c r="C486" s="527" t="s">
        <v>62</v>
      </c>
      <c r="D486" s="511">
        <f>1.25*D480</f>
        <v>157.5</v>
      </c>
      <c r="E486" s="523" t="e">
        <f t="shared" si="27"/>
        <v>#REF!</v>
      </c>
      <c r="F486" s="525" t="e">
        <f t="shared" si="26"/>
        <v>#REF!</v>
      </c>
      <c r="G486" s="524"/>
    </row>
    <row r="487" s="490" customFormat="1" ht="17.25" spans="1:7">
      <c r="A487" s="521"/>
      <c r="B487" s="526" t="s">
        <v>562</v>
      </c>
      <c r="C487" s="527" t="s">
        <v>559</v>
      </c>
      <c r="D487" s="511">
        <f>15*D480</f>
        <v>1890</v>
      </c>
      <c r="E487" s="523" t="e">
        <f t="shared" si="27"/>
        <v>#REF!</v>
      </c>
      <c r="F487" s="525" t="e">
        <f t="shared" si="26"/>
        <v>#REF!</v>
      </c>
      <c r="G487" s="524"/>
    </row>
    <row r="488" s="490" customFormat="1" ht="17.25" spans="1:7">
      <c r="A488" s="521"/>
      <c r="B488" s="526" t="s">
        <v>563</v>
      </c>
      <c r="C488" s="527" t="s">
        <v>62</v>
      </c>
      <c r="D488" s="511">
        <f>0.1*D480</f>
        <v>12.6</v>
      </c>
      <c r="E488" s="523" t="e">
        <f t="shared" si="27"/>
        <v>#REF!</v>
      </c>
      <c r="F488" s="525" t="e">
        <f t="shared" ref="F488:F527" si="28">D488*E488</f>
        <v>#REF!</v>
      </c>
      <c r="G488" s="524"/>
    </row>
    <row r="489" s="490" customFormat="1" ht="17.25" spans="1:7">
      <c r="A489" s="521"/>
      <c r="B489" s="526" t="s">
        <v>564</v>
      </c>
      <c r="C489" s="527" t="s">
        <v>62</v>
      </c>
      <c r="D489" s="511">
        <f>0.1*D480</f>
        <v>12.6</v>
      </c>
      <c r="E489" s="523">
        <f t="shared" si="27"/>
        <v>79.2891773758467</v>
      </c>
      <c r="F489" s="525">
        <f t="shared" si="28"/>
        <v>999.043634935669</v>
      </c>
      <c r="G489" s="524"/>
    </row>
    <row r="490" s="490" customFormat="1" ht="17.25" spans="1:7">
      <c r="A490" s="521"/>
      <c r="B490" s="526" t="s">
        <v>565</v>
      </c>
      <c r="C490" s="527" t="s">
        <v>62</v>
      </c>
      <c r="D490" s="511">
        <f>2.4*D480</f>
        <v>302.4</v>
      </c>
      <c r="E490" s="523" t="e">
        <f t="shared" si="27"/>
        <v>#REF!</v>
      </c>
      <c r="F490" s="525" t="e">
        <f t="shared" si="28"/>
        <v>#REF!</v>
      </c>
      <c r="G490" s="524"/>
    </row>
    <row r="491" s="490" customFormat="1" ht="17.25" spans="1:7">
      <c r="A491" s="521"/>
      <c r="B491" s="526" t="s">
        <v>566</v>
      </c>
      <c r="C491" s="527" t="s">
        <v>559</v>
      </c>
      <c r="D491" s="511">
        <f>8*D480</f>
        <v>1008</v>
      </c>
      <c r="E491" s="523" t="e">
        <f t="shared" si="27"/>
        <v>#REF!</v>
      </c>
      <c r="F491" s="525" t="e">
        <f t="shared" si="28"/>
        <v>#REF!</v>
      </c>
      <c r="G491" s="524"/>
    </row>
    <row r="492" s="490" customFormat="1" ht="17.25" spans="1:7">
      <c r="A492" s="523">
        <v>3.35</v>
      </c>
      <c r="B492" s="522" t="s">
        <v>605</v>
      </c>
      <c r="C492" s="521" t="s">
        <v>90</v>
      </c>
      <c r="D492" s="523">
        <v>148</v>
      </c>
      <c r="E492" s="523"/>
      <c r="F492" s="525" t="e">
        <f>SUM(F493:F503)</f>
        <v>#REF!</v>
      </c>
      <c r="G492" s="524"/>
    </row>
    <row r="493" s="490" customFormat="1" ht="17.25" spans="1:7">
      <c r="A493" s="521"/>
      <c r="B493" s="526" t="s">
        <v>61</v>
      </c>
      <c r="C493" s="527" t="s">
        <v>62</v>
      </c>
      <c r="D493" s="511">
        <f>10*D492</f>
        <v>1480</v>
      </c>
      <c r="E493" s="523" t="e">
        <f t="shared" si="27"/>
        <v>#REF!</v>
      </c>
      <c r="F493" s="525" t="e">
        <f t="shared" si="28"/>
        <v>#REF!</v>
      </c>
      <c r="G493" s="524"/>
    </row>
    <row r="494" s="490" customFormat="1" ht="17.25" spans="1:7">
      <c r="A494" s="521"/>
      <c r="B494" s="526" t="s">
        <v>63</v>
      </c>
      <c r="C494" s="527" t="s">
        <v>62</v>
      </c>
      <c r="D494" s="511">
        <f>38*D492</f>
        <v>5624</v>
      </c>
      <c r="E494" s="523">
        <f t="shared" si="27"/>
        <v>12.4804472232673</v>
      </c>
      <c r="F494" s="525">
        <f t="shared" si="28"/>
        <v>70190.0351836552</v>
      </c>
      <c r="G494" s="524"/>
    </row>
    <row r="495" s="490" customFormat="1" ht="17.25" spans="1:7">
      <c r="A495" s="521"/>
      <c r="B495" s="526" t="s">
        <v>571</v>
      </c>
      <c r="C495" s="527" t="s">
        <v>62</v>
      </c>
      <c r="D495" s="511">
        <f>3.6*D492</f>
        <v>532.8</v>
      </c>
      <c r="E495" s="523">
        <f t="shared" si="27"/>
        <v>0</v>
      </c>
      <c r="F495" s="525">
        <f t="shared" si="28"/>
        <v>0</v>
      </c>
      <c r="G495" s="524"/>
    </row>
    <row r="496" s="490" customFormat="1" ht="17.25" spans="1:7">
      <c r="A496" s="521"/>
      <c r="B496" s="526" t="s">
        <v>572</v>
      </c>
      <c r="C496" s="527" t="s">
        <v>62</v>
      </c>
      <c r="D496" s="511">
        <f>D495</f>
        <v>532.8</v>
      </c>
      <c r="E496" s="523">
        <f t="shared" si="27"/>
        <v>0</v>
      </c>
      <c r="F496" s="525">
        <f t="shared" si="28"/>
        <v>0</v>
      </c>
      <c r="G496" s="524"/>
    </row>
    <row r="497" s="490" customFormat="1" ht="17.25" spans="1:7">
      <c r="A497" s="521"/>
      <c r="B497" s="526" t="s">
        <v>560</v>
      </c>
      <c r="C497" s="527" t="s">
        <v>62</v>
      </c>
      <c r="D497" s="511">
        <f>2*D492</f>
        <v>296</v>
      </c>
      <c r="E497" s="523" t="e">
        <f t="shared" si="27"/>
        <v>#REF!</v>
      </c>
      <c r="F497" s="525" t="e">
        <f t="shared" si="28"/>
        <v>#REF!</v>
      </c>
      <c r="G497" s="524"/>
    </row>
    <row r="498" s="490" customFormat="1" ht="17.25" spans="1:7">
      <c r="A498" s="521"/>
      <c r="B498" s="526" t="s">
        <v>561</v>
      </c>
      <c r="C498" s="527" t="s">
        <v>62</v>
      </c>
      <c r="D498" s="511">
        <f>1.25*D492</f>
        <v>185</v>
      </c>
      <c r="E498" s="523" t="e">
        <f t="shared" si="27"/>
        <v>#REF!</v>
      </c>
      <c r="F498" s="525" t="e">
        <f t="shared" si="28"/>
        <v>#REF!</v>
      </c>
      <c r="G498" s="524"/>
    </row>
    <row r="499" s="490" customFormat="1" ht="17.25" spans="1:7">
      <c r="A499" s="521"/>
      <c r="B499" s="526" t="s">
        <v>562</v>
      </c>
      <c r="C499" s="527" t="s">
        <v>559</v>
      </c>
      <c r="D499" s="511">
        <f>15*D492</f>
        <v>2220</v>
      </c>
      <c r="E499" s="523" t="e">
        <f t="shared" si="27"/>
        <v>#REF!</v>
      </c>
      <c r="F499" s="525" t="e">
        <f t="shared" si="28"/>
        <v>#REF!</v>
      </c>
      <c r="G499" s="524"/>
    </row>
    <row r="500" s="490" customFormat="1" ht="17.25" spans="1:7">
      <c r="A500" s="521"/>
      <c r="B500" s="526" t="s">
        <v>563</v>
      </c>
      <c r="C500" s="527" t="s">
        <v>62</v>
      </c>
      <c r="D500" s="511">
        <f>0.1*D492</f>
        <v>14.8</v>
      </c>
      <c r="E500" s="523" t="e">
        <f t="shared" si="27"/>
        <v>#REF!</v>
      </c>
      <c r="F500" s="525" t="e">
        <f t="shared" si="28"/>
        <v>#REF!</v>
      </c>
      <c r="G500" s="524"/>
    </row>
    <row r="501" s="490" customFormat="1" ht="17.25" spans="1:7">
      <c r="A501" s="521"/>
      <c r="B501" s="526" t="s">
        <v>564</v>
      </c>
      <c r="C501" s="527" t="s">
        <v>62</v>
      </c>
      <c r="D501" s="511">
        <f>0.1*D492</f>
        <v>14.8</v>
      </c>
      <c r="E501" s="523">
        <f t="shared" si="27"/>
        <v>79.2891773758467</v>
      </c>
      <c r="F501" s="525">
        <f t="shared" si="28"/>
        <v>1173.47982516253</v>
      </c>
      <c r="G501" s="524"/>
    </row>
    <row r="502" s="490" customFormat="1" ht="17.25" spans="1:7">
      <c r="A502" s="521"/>
      <c r="B502" s="526" t="s">
        <v>565</v>
      </c>
      <c r="C502" s="527" t="s">
        <v>62</v>
      </c>
      <c r="D502" s="511">
        <f>2.4*D492</f>
        <v>355.2</v>
      </c>
      <c r="E502" s="523" t="e">
        <f t="shared" si="27"/>
        <v>#REF!</v>
      </c>
      <c r="F502" s="525" t="e">
        <f t="shared" si="28"/>
        <v>#REF!</v>
      </c>
      <c r="G502" s="524"/>
    </row>
    <row r="503" s="490" customFormat="1" ht="17.25" spans="1:7">
      <c r="A503" s="521"/>
      <c r="B503" s="526" t="s">
        <v>566</v>
      </c>
      <c r="C503" s="527" t="s">
        <v>559</v>
      </c>
      <c r="D503" s="511">
        <f>8*D492</f>
        <v>1184</v>
      </c>
      <c r="E503" s="523" t="e">
        <f>E491</f>
        <v>#REF!</v>
      </c>
      <c r="F503" s="525" t="e">
        <f t="shared" si="28"/>
        <v>#REF!</v>
      </c>
      <c r="G503" s="524"/>
    </row>
    <row r="504" s="490" customFormat="1" ht="17.25" spans="1:7">
      <c r="A504" s="523">
        <v>3.36</v>
      </c>
      <c r="B504" s="522" t="s">
        <v>606</v>
      </c>
      <c r="C504" s="521" t="s">
        <v>90</v>
      </c>
      <c r="D504" s="523">
        <v>202</v>
      </c>
      <c r="E504" s="523"/>
      <c r="F504" s="525" t="e">
        <f>SUM(F505:F515)</f>
        <v>#REF!</v>
      </c>
      <c r="G504" s="524"/>
    </row>
    <row r="505" s="490" customFormat="1" ht="17.25" spans="1:7">
      <c r="A505" s="521"/>
      <c r="B505" s="526" t="s">
        <v>61</v>
      </c>
      <c r="C505" s="527" t="s">
        <v>62</v>
      </c>
      <c r="D505" s="511">
        <f>10*D504</f>
        <v>2020</v>
      </c>
      <c r="E505" s="523" t="e">
        <f t="shared" ref="E505:E515" si="29">E493</f>
        <v>#REF!</v>
      </c>
      <c r="F505" s="525" t="e">
        <f t="shared" si="28"/>
        <v>#REF!</v>
      </c>
      <c r="G505" s="524"/>
    </row>
    <row r="506" s="490" customFormat="1" ht="17.25" spans="1:7">
      <c r="A506" s="521"/>
      <c r="B506" s="526" t="s">
        <v>63</v>
      </c>
      <c r="C506" s="527" t="s">
        <v>62</v>
      </c>
      <c r="D506" s="511">
        <f>38*D504</f>
        <v>7676</v>
      </c>
      <c r="E506" s="523">
        <f t="shared" si="29"/>
        <v>12.4804472232673</v>
      </c>
      <c r="F506" s="525">
        <f t="shared" si="28"/>
        <v>95799.9128857997</v>
      </c>
      <c r="G506" s="524"/>
    </row>
    <row r="507" s="490" customFormat="1" ht="17.25" spans="1:7">
      <c r="A507" s="521"/>
      <c r="B507" s="526" t="s">
        <v>571</v>
      </c>
      <c r="C507" s="527" t="s">
        <v>62</v>
      </c>
      <c r="D507" s="511">
        <f>3.6*D504</f>
        <v>727.2</v>
      </c>
      <c r="E507" s="523">
        <f t="shared" si="29"/>
        <v>0</v>
      </c>
      <c r="F507" s="525">
        <f t="shared" si="28"/>
        <v>0</v>
      </c>
      <c r="G507" s="524"/>
    </row>
    <row r="508" s="490" customFormat="1" ht="17.25" spans="1:7">
      <c r="A508" s="521"/>
      <c r="B508" s="526" t="s">
        <v>572</v>
      </c>
      <c r="C508" s="527" t="s">
        <v>62</v>
      </c>
      <c r="D508" s="511">
        <f>D507</f>
        <v>727.2</v>
      </c>
      <c r="E508" s="523">
        <f t="shared" si="29"/>
        <v>0</v>
      </c>
      <c r="F508" s="525">
        <f t="shared" si="28"/>
        <v>0</v>
      </c>
      <c r="G508" s="524"/>
    </row>
    <row r="509" s="490" customFormat="1" ht="17.25" spans="1:7">
      <c r="A509" s="521"/>
      <c r="B509" s="526" t="s">
        <v>560</v>
      </c>
      <c r="C509" s="527" t="s">
        <v>62</v>
      </c>
      <c r="D509" s="511">
        <f>2*D504</f>
        <v>404</v>
      </c>
      <c r="E509" s="523" t="e">
        <f t="shared" si="29"/>
        <v>#REF!</v>
      </c>
      <c r="F509" s="525" t="e">
        <f t="shared" si="28"/>
        <v>#REF!</v>
      </c>
      <c r="G509" s="524"/>
    </row>
    <row r="510" s="490" customFormat="1" ht="17.25" spans="1:7">
      <c r="A510" s="521"/>
      <c r="B510" s="526" t="s">
        <v>561</v>
      </c>
      <c r="C510" s="527" t="s">
        <v>62</v>
      </c>
      <c r="D510" s="511">
        <f>1.25*D504</f>
        <v>252.5</v>
      </c>
      <c r="E510" s="523" t="e">
        <f t="shared" si="29"/>
        <v>#REF!</v>
      </c>
      <c r="F510" s="525" t="e">
        <f t="shared" si="28"/>
        <v>#REF!</v>
      </c>
      <c r="G510" s="524"/>
    </row>
    <row r="511" s="490" customFormat="1" ht="17.25" spans="1:7">
      <c r="A511" s="521"/>
      <c r="B511" s="526" t="s">
        <v>562</v>
      </c>
      <c r="C511" s="527" t="s">
        <v>559</v>
      </c>
      <c r="D511" s="511">
        <f>15*D504</f>
        <v>3030</v>
      </c>
      <c r="E511" s="523" t="e">
        <f t="shared" si="29"/>
        <v>#REF!</v>
      </c>
      <c r="F511" s="525" t="e">
        <f t="shared" si="28"/>
        <v>#REF!</v>
      </c>
      <c r="G511" s="524"/>
    </row>
    <row r="512" s="490" customFormat="1" ht="17.25" spans="1:7">
      <c r="A512" s="521"/>
      <c r="B512" s="526" t="s">
        <v>563</v>
      </c>
      <c r="C512" s="527" t="s">
        <v>62</v>
      </c>
      <c r="D512" s="511">
        <f>0.1*D504</f>
        <v>20.2</v>
      </c>
      <c r="E512" s="523" t="e">
        <f t="shared" si="29"/>
        <v>#REF!</v>
      </c>
      <c r="F512" s="525" t="e">
        <f t="shared" si="28"/>
        <v>#REF!</v>
      </c>
      <c r="G512" s="524"/>
    </row>
    <row r="513" s="490" customFormat="1" ht="17.25" spans="1:7">
      <c r="A513" s="521"/>
      <c r="B513" s="526" t="s">
        <v>564</v>
      </c>
      <c r="C513" s="527" t="s">
        <v>62</v>
      </c>
      <c r="D513" s="511">
        <f>0.1*D504</f>
        <v>20.2</v>
      </c>
      <c r="E513" s="523">
        <f t="shared" si="29"/>
        <v>79.2891773758467</v>
      </c>
      <c r="F513" s="525">
        <f t="shared" si="28"/>
        <v>1601.6413829921</v>
      </c>
      <c r="G513" s="524"/>
    </row>
    <row r="514" s="490" customFormat="1" ht="17.25" spans="1:7">
      <c r="A514" s="521"/>
      <c r="B514" s="526" t="s">
        <v>565</v>
      </c>
      <c r="C514" s="527" t="s">
        <v>62</v>
      </c>
      <c r="D514" s="511">
        <f>2.4*D504</f>
        <v>484.8</v>
      </c>
      <c r="E514" s="523" t="e">
        <f t="shared" si="29"/>
        <v>#REF!</v>
      </c>
      <c r="F514" s="525" t="e">
        <f t="shared" si="28"/>
        <v>#REF!</v>
      </c>
      <c r="G514" s="524"/>
    </row>
    <row r="515" s="490" customFormat="1" ht="17.25" spans="1:7">
      <c r="A515" s="521"/>
      <c r="B515" s="526" t="s">
        <v>566</v>
      </c>
      <c r="C515" s="527" t="s">
        <v>559</v>
      </c>
      <c r="D515" s="511">
        <f>8*D504</f>
        <v>1616</v>
      </c>
      <c r="E515" s="523" t="e">
        <f t="shared" si="29"/>
        <v>#REF!</v>
      </c>
      <c r="F515" s="525" t="e">
        <f t="shared" si="28"/>
        <v>#REF!</v>
      </c>
      <c r="G515" s="524"/>
    </row>
    <row r="516" customFormat="1" ht="22.9" customHeight="1" spans="1:7">
      <c r="A516" s="538" t="s">
        <v>607</v>
      </c>
      <c r="B516" s="505" t="s">
        <v>608</v>
      </c>
      <c r="C516" s="506"/>
      <c r="D516" s="506"/>
      <c r="E516" s="506"/>
      <c r="F516" s="528" t="e">
        <f>F517+F528+F563+F567</f>
        <v>#REF!</v>
      </c>
      <c r="G516" s="502"/>
    </row>
    <row r="517" customFormat="1" ht="22.9" customHeight="1" spans="1:7">
      <c r="A517" s="539" t="s">
        <v>57</v>
      </c>
      <c r="B517" s="505" t="s">
        <v>609</v>
      </c>
      <c r="C517" s="539"/>
      <c r="D517" s="539"/>
      <c r="E517" s="502"/>
      <c r="F517" s="528" t="e">
        <f>F518+F521+F526</f>
        <v>#REF!</v>
      </c>
      <c r="G517" s="502"/>
    </row>
    <row r="518" customFormat="1" ht="22.9" customHeight="1" spans="1:7">
      <c r="A518" s="509">
        <v>1</v>
      </c>
      <c r="B518" s="503" t="s">
        <v>610</v>
      </c>
      <c r="C518" s="509"/>
      <c r="D518" s="509"/>
      <c r="E518" s="502"/>
      <c r="F518" s="525" t="e">
        <f>F519+F520</f>
        <v>#REF!</v>
      </c>
      <c r="G518" s="502"/>
    </row>
    <row r="519" customFormat="1" ht="22.9" customHeight="1" spans="1:7">
      <c r="A519" s="509"/>
      <c r="B519" s="503" t="s">
        <v>61</v>
      </c>
      <c r="C519" s="509" t="s">
        <v>62</v>
      </c>
      <c r="D519" s="509">
        <v>600</v>
      </c>
      <c r="E519" s="523" t="e">
        <f>E505</f>
        <v>#REF!</v>
      </c>
      <c r="F519" s="525" t="e">
        <f t="shared" si="28"/>
        <v>#REF!</v>
      </c>
      <c r="G519" s="502"/>
    </row>
    <row r="520" customFormat="1" ht="22.9" customHeight="1" spans="1:7">
      <c r="A520" s="509"/>
      <c r="B520" s="503" t="s">
        <v>63</v>
      </c>
      <c r="C520" s="509" t="s">
        <v>62</v>
      </c>
      <c r="D520" s="509">
        <v>950</v>
      </c>
      <c r="E520" s="523">
        <f>E506</f>
        <v>12.4804472232673</v>
      </c>
      <c r="F520" s="525">
        <f t="shared" si="28"/>
        <v>11856.4248621039</v>
      </c>
      <c r="G520" s="502"/>
    </row>
    <row r="521" customFormat="1" ht="22.9" customHeight="1" spans="1:7">
      <c r="A521" s="509">
        <v>2</v>
      </c>
      <c r="B521" s="503" t="s">
        <v>611</v>
      </c>
      <c r="C521" s="509" t="s">
        <v>90</v>
      </c>
      <c r="D521" s="509">
        <v>274</v>
      </c>
      <c r="E521" s="523"/>
      <c r="F521" s="525" t="e">
        <f>SUM(F522:F525)</f>
        <v>#REF!</v>
      </c>
      <c r="G521" s="502"/>
    </row>
    <row r="522" customFormat="1" ht="22.9" customHeight="1" spans="1:7">
      <c r="A522" s="509"/>
      <c r="B522" s="503" t="s">
        <v>612</v>
      </c>
      <c r="C522" s="509" t="s">
        <v>62</v>
      </c>
      <c r="D522" s="509">
        <v>16.83</v>
      </c>
      <c r="E522" s="523" t="e">
        <f>单价汇总表!#REF!/100</f>
        <v>#REF!</v>
      </c>
      <c r="F522" s="525" t="e">
        <f t="shared" si="28"/>
        <v>#REF!</v>
      </c>
      <c r="G522" s="502"/>
    </row>
    <row r="523" customFormat="1" ht="22.9" customHeight="1" spans="1:7">
      <c r="A523" s="509"/>
      <c r="B523" s="503" t="s">
        <v>61</v>
      </c>
      <c r="C523" s="509" t="s">
        <v>62</v>
      </c>
      <c r="D523" s="509">
        <v>301.4</v>
      </c>
      <c r="E523" s="523" t="e">
        <f>E519</f>
        <v>#REF!</v>
      </c>
      <c r="F523" s="525" t="e">
        <f t="shared" si="28"/>
        <v>#REF!</v>
      </c>
      <c r="G523" s="502"/>
    </row>
    <row r="524" customFormat="1" ht="22.9" customHeight="1" spans="1:7">
      <c r="A524" s="509"/>
      <c r="B524" s="503" t="s">
        <v>63</v>
      </c>
      <c r="C524" s="509" t="s">
        <v>62</v>
      </c>
      <c r="D524" s="509">
        <v>241.12</v>
      </c>
      <c r="E524" s="523">
        <f>E520</f>
        <v>12.4804472232673</v>
      </c>
      <c r="F524" s="525">
        <f t="shared" si="28"/>
        <v>3009.28543447421</v>
      </c>
      <c r="G524" s="502"/>
    </row>
    <row r="525" customFormat="1" ht="22.9" customHeight="1" spans="1:7">
      <c r="A525" s="509"/>
      <c r="B525" s="503" t="s">
        <v>613</v>
      </c>
      <c r="C525" s="509" t="s">
        <v>62</v>
      </c>
      <c r="D525" s="509">
        <v>0.08</v>
      </c>
      <c r="E525" s="523">
        <f>E27</f>
        <v>6000</v>
      </c>
      <c r="F525" s="525">
        <f t="shared" si="28"/>
        <v>480</v>
      </c>
      <c r="G525" s="502"/>
    </row>
    <row r="526" customFormat="1" ht="22.9" customHeight="1" spans="1:7">
      <c r="A526" s="509">
        <v>3</v>
      </c>
      <c r="B526" s="503" t="s">
        <v>614</v>
      </c>
      <c r="C526" s="509"/>
      <c r="D526" s="509"/>
      <c r="E526" s="523"/>
      <c r="F526" s="525">
        <f>F527</f>
        <v>24039.4767059839</v>
      </c>
      <c r="G526" s="502"/>
    </row>
    <row r="527" customFormat="1" ht="22.9" customHeight="1" spans="1:7">
      <c r="A527" s="509"/>
      <c r="B527" s="503" t="s">
        <v>615</v>
      </c>
      <c r="C527" s="509" t="s">
        <v>394</v>
      </c>
      <c r="D527" s="509">
        <v>1200</v>
      </c>
      <c r="E527" s="523">
        <f>单价汇总表!D16/1000</f>
        <v>20.0328972549866</v>
      </c>
      <c r="F527" s="525">
        <f t="shared" si="28"/>
        <v>24039.4767059839</v>
      </c>
      <c r="G527" s="502"/>
    </row>
    <row r="528" customFormat="1" ht="22.9" customHeight="1" spans="1:7">
      <c r="A528" s="539" t="s">
        <v>72</v>
      </c>
      <c r="B528" s="505" t="s">
        <v>616</v>
      </c>
      <c r="C528" s="539"/>
      <c r="D528" s="539"/>
      <c r="E528" s="523"/>
      <c r="F528" s="528" t="e">
        <f>F529+F537+F549</f>
        <v>#REF!</v>
      </c>
      <c r="G528" s="502"/>
    </row>
    <row r="529" customFormat="1" ht="22.9" customHeight="1" spans="1:7">
      <c r="A529" s="509">
        <v>1</v>
      </c>
      <c r="B529" s="503" t="s">
        <v>617</v>
      </c>
      <c r="C529" s="509"/>
      <c r="D529" s="509"/>
      <c r="E529" s="523"/>
      <c r="F529" s="525" t="e">
        <f>SUM(F530:F536)</f>
        <v>#REF!</v>
      </c>
      <c r="G529" s="502"/>
    </row>
    <row r="530" customFormat="1" ht="22.9" customHeight="1" spans="1:7">
      <c r="A530" s="509"/>
      <c r="B530" s="503" t="s">
        <v>618</v>
      </c>
      <c r="C530" s="509" t="s">
        <v>62</v>
      </c>
      <c r="D530" s="509">
        <v>12.25</v>
      </c>
      <c r="E530" s="523" t="e">
        <f>单价汇总表!#REF!/100</f>
        <v>#REF!</v>
      </c>
      <c r="F530" s="525" t="e">
        <f>D530*E530</f>
        <v>#REF!</v>
      </c>
      <c r="G530" s="502"/>
    </row>
    <row r="531" customFormat="1" ht="22.9" customHeight="1" spans="1:7">
      <c r="A531" s="509"/>
      <c r="B531" s="503" t="s">
        <v>619</v>
      </c>
      <c r="C531" s="509" t="s">
        <v>62</v>
      </c>
      <c r="D531" s="509">
        <v>12.29</v>
      </c>
      <c r="E531" s="523" t="e">
        <f>单价汇总表!#REF!/100</f>
        <v>#REF!</v>
      </c>
      <c r="F531" s="525" t="e">
        <f>D531*E531</f>
        <v>#REF!</v>
      </c>
      <c r="G531" s="502"/>
    </row>
    <row r="532" customFormat="1" ht="22.9" customHeight="1" spans="1:7">
      <c r="A532" s="509"/>
      <c r="B532" s="503" t="s">
        <v>620</v>
      </c>
      <c r="C532" s="509" t="s">
        <v>62</v>
      </c>
      <c r="D532" s="509">
        <v>3.27</v>
      </c>
      <c r="E532" s="523" t="e">
        <f>单价汇总表!#REF!/100</f>
        <v>#REF!</v>
      </c>
      <c r="F532" s="525" t="e">
        <f t="shared" ref="F532:F546" si="30">D532*E532</f>
        <v>#REF!</v>
      </c>
      <c r="G532" s="502"/>
    </row>
    <row r="533" customFormat="1" ht="22.9" customHeight="1" spans="1:7">
      <c r="A533" s="509"/>
      <c r="B533" s="503" t="s">
        <v>68</v>
      </c>
      <c r="C533" s="509" t="s">
        <v>69</v>
      </c>
      <c r="D533" s="509">
        <v>1.47</v>
      </c>
      <c r="E533" s="523">
        <f>单价汇总表!D14</f>
        <v>6220.99382408393</v>
      </c>
      <c r="F533" s="525">
        <f t="shared" si="30"/>
        <v>9144.86092140337</v>
      </c>
      <c r="G533" s="502"/>
    </row>
    <row r="534" customFormat="1" ht="22.9" customHeight="1" spans="1:7">
      <c r="A534" s="509"/>
      <c r="B534" s="503" t="s">
        <v>61</v>
      </c>
      <c r="C534" s="509" t="s">
        <v>62</v>
      </c>
      <c r="D534" s="509">
        <v>230.11</v>
      </c>
      <c r="E534" s="523" t="e">
        <f>E519</f>
        <v>#REF!</v>
      </c>
      <c r="F534" s="525" t="e">
        <f t="shared" si="30"/>
        <v>#REF!</v>
      </c>
      <c r="G534" s="502"/>
    </row>
    <row r="535" customFormat="1" ht="22.9" customHeight="1" spans="1:7">
      <c r="A535" s="509"/>
      <c r="B535" s="503" t="s">
        <v>63</v>
      </c>
      <c r="C535" s="509" t="s">
        <v>62</v>
      </c>
      <c r="D535" s="509">
        <v>132.46</v>
      </c>
      <c r="E535" s="523">
        <f>单价汇总表!D11/100</f>
        <v>21.7295909758467</v>
      </c>
      <c r="F535" s="525">
        <f t="shared" si="30"/>
        <v>2878.30162066066</v>
      </c>
      <c r="G535" s="502"/>
    </row>
    <row r="536" customFormat="1" ht="22.9" customHeight="1" spans="1:7">
      <c r="A536" s="509"/>
      <c r="B536" s="503" t="s">
        <v>621</v>
      </c>
      <c r="C536" s="509" t="s">
        <v>62</v>
      </c>
      <c r="D536" s="509">
        <v>50.79</v>
      </c>
      <c r="E536" s="523" t="e">
        <f>单价汇总表!#REF!/100</f>
        <v>#REF!</v>
      </c>
      <c r="F536" s="525" t="e">
        <f t="shared" si="30"/>
        <v>#REF!</v>
      </c>
      <c r="G536" s="502"/>
    </row>
    <row r="537" customFormat="1" ht="22.9" customHeight="1" spans="1:7">
      <c r="A537" s="509">
        <v>2</v>
      </c>
      <c r="B537" s="503" t="s">
        <v>622</v>
      </c>
      <c r="C537" s="509"/>
      <c r="D537" s="509"/>
      <c r="E537" s="523"/>
      <c r="F537" s="525" t="e">
        <f>SUM(F538:F548)</f>
        <v>#REF!</v>
      </c>
      <c r="G537" s="502"/>
    </row>
    <row r="538" customFormat="1" ht="22.9" customHeight="1" spans="1:7">
      <c r="A538" s="509"/>
      <c r="B538" s="503" t="s">
        <v>623</v>
      </c>
      <c r="C538" s="509" t="s">
        <v>62</v>
      </c>
      <c r="D538" s="509">
        <v>34.64</v>
      </c>
      <c r="E538" s="523" t="e">
        <f>E531</f>
        <v>#REF!</v>
      </c>
      <c r="F538" s="525" t="e">
        <f t="shared" si="30"/>
        <v>#REF!</v>
      </c>
      <c r="G538" s="502"/>
    </row>
    <row r="539" customFormat="1" ht="40.15" customHeight="1" spans="1:7">
      <c r="A539" s="509"/>
      <c r="B539" s="517" t="s">
        <v>624</v>
      </c>
      <c r="C539" s="509" t="s">
        <v>62</v>
      </c>
      <c r="D539" s="509">
        <v>4.41</v>
      </c>
      <c r="E539" s="523">
        <f>单价汇总表!D22/100</f>
        <v>921.369262661247</v>
      </c>
      <c r="F539" s="525">
        <f t="shared" si="30"/>
        <v>4063.2384483361</v>
      </c>
      <c r="G539" s="502"/>
    </row>
    <row r="540" customFormat="1" ht="22.9" customHeight="1" spans="1:7">
      <c r="A540" s="509"/>
      <c r="B540" s="503" t="s">
        <v>625</v>
      </c>
      <c r="C540" s="509" t="s">
        <v>62</v>
      </c>
      <c r="D540" s="509">
        <v>2.24</v>
      </c>
      <c r="E540" s="523" t="e">
        <f>单价汇总表!#REF!/100</f>
        <v>#REF!</v>
      </c>
      <c r="F540" s="525" t="e">
        <f t="shared" si="30"/>
        <v>#REF!</v>
      </c>
      <c r="G540" s="502"/>
    </row>
    <row r="541" customFormat="1" ht="22.9" customHeight="1" spans="1:7">
      <c r="A541" s="509"/>
      <c r="B541" s="503" t="s">
        <v>626</v>
      </c>
      <c r="C541" s="509" t="s">
        <v>62</v>
      </c>
      <c r="D541" s="509">
        <v>2.21</v>
      </c>
      <c r="E541" s="523" t="e">
        <f>E532</f>
        <v>#REF!</v>
      </c>
      <c r="F541" s="525" t="e">
        <f t="shared" si="30"/>
        <v>#REF!</v>
      </c>
      <c r="G541" s="502"/>
    </row>
    <row r="542" customFormat="1" ht="22.9" customHeight="1" spans="1:7">
      <c r="A542" s="509"/>
      <c r="B542" s="503" t="s">
        <v>68</v>
      </c>
      <c r="C542" s="509" t="s">
        <v>69</v>
      </c>
      <c r="D542" s="509">
        <v>2.48</v>
      </c>
      <c r="E542" s="523">
        <f>E533</f>
        <v>6220.99382408393</v>
      </c>
      <c r="F542" s="525">
        <f t="shared" si="30"/>
        <v>15428.0646837281</v>
      </c>
      <c r="G542" s="502"/>
    </row>
    <row r="543" customFormat="1" ht="22.9" customHeight="1" spans="1:7">
      <c r="A543" s="509"/>
      <c r="B543" s="503" t="s">
        <v>627</v>
      </c>
      <c r="C543" s="509" t="s">
        <v>628</v>
      </c>
      <c r="D543" s="509">
        <v>8.4</v>
      </c>
      <c r="E543" s="523" t="e">
        <f>单价汇总表!#REF!/100</f>
        <v>#REF!</v>
      </c>
      <c r="F543" s="525" t="e">
        <f t="shared" si="30"/>
        <v>#REF!</v>
      </c>
      <c r="G543" s="502"/>
    </row>
    <row r="544" customFormat="1" ht="22.9" customHeight="1" spans="1:7">
      <c r="A544" s="509"/>
      <c r="B544" s="503" t="s">
        <v>613</v>
      </c>
      <c r="C544" s="509" t="s">
        <v>62</v>
      </c>
      <c r="D544" s="509">
        <v>0.01</v>
      </c>
      <c r="E544" s="523">
        <f>E525</f>
        <v>6000</v>
      </c>
      <c r="F544" s="525">
        <f t="shared" si="30"/>
        <v>60</v>
      </c>
      <c r="G544" s="502"/>
    </row>
    <row r="545" customFormat="1" ht="22.9" customHeight="1" spans="1:7">
      <c r="A545" s="509"/>
      <c r="B545" s="503" t="s">
        <v>629</v>
      </c>
      <c r="C545" s="509" t="s">
        <v>62</v>
      </c>
      <c r="D545" s="509">
        <v>0.16</v>
      </c>
      <c r="E545" s="523">
        <v>336.28</v>
      </c>
      <c r="F545" s="525">
        <f t="shared" si="30"/>
        <v>53.8048</v>
      </c>
      <c r="G545" s="502"/>
    </row>
    <row r="546" customFormat="1" ht="22.9" customHeight="1" spans="1:7">
      <c r="A546" s="509"/>
      <c r="B546" s="503" t="s">
        <v>61</v>
      </c>
      <c r="C546" s="509" t="s">
        <v>62</v>
      </c>
      <c r="D546" s="509">
        <v>287.39</v>
      </c>
      <c r="E546" s="523" t="e">
        <f>E534</f>
        <v>#REF!</v>
      </c>
      <c r="F546" s="525" t="e">
        <f t="shared" si="30"/>
        <v>#REF!</v>
      </c>
      <c r="G546" s="502"/>
    </row>
    <row r="547" customFormat="1" ht="22.9" customHeight="1" spans="1:7">
      <c r="A547" s="509"/>
      <c r="B547" s="503" t="s">
        <v>63</v>
      </c>
      <c r="C547" s="509" t="s">
        <v>62</v>
      </c>
      <c r="D547" s="509">
        <v>187.01</v>
      </c>
      <c r="E547" s="523">
        <f>E535</f>
        <v>21.7295909758467</v>
      </c>
      <c r="F547" s="525">
        <f t="shared" ref="F547:F566" si="31">D547*E547</f>
        <v>4063.6508083931</v>
      </c>
      <c r="G547" s="502"/>
    </row>
    <row r="548" customFormat="1" ht="22.9" customHeight="1" spans="1:7">
      <c r="A548" s="509"/>
      <c r="B548" s="503" t="s">
        <v>621</v>
      </c>
      <c r="C548" s="509" t="s">
        <v>62</v>
      </c>
      <c r="D548" s="509">
        <v>34.13</v>
      </c>
      <c r="E548" s="523" t="e">
        <f>E536</f>
        <v>#REF!</v>
      </c>
      <c r="F548" s="525" t="e">
        <f t="shared" si="31"/>
        <v>#REF!</v>
      </c>
      <c r="G548" s="502"/>
    </row>
    <row r="549" customFormat="1" ht="22.9" customHeight="1" spans="1:7">
      <c r="A549" s="509">
        <v>3</v>
      </c>
      <c r="B549" s="503" t="s">
        <v>630</v>
      </c>
      <c r="C549" s="509"/>
      <c r="D549" s="509"/>
      <c r="E549" s="523"/>
      <c r="F549" s="525" t="e">
        <f>SUM(F550:F562)</f>
        <v>#REF!</v>
      </c>
      <c r="G549" s="502"/>
    </row>
    <row r="550" customFormat="1" ht="22.9" customHeight="1" spans="1:7">
      <c r="A550" s="509"/>
      <c r="B550" s="503" t="s">
        <v>618</v>
      </c>
      <c r="C550" s="509" t="s">
        <v>62</v>
      </c>
      <c r="D550" s="509">
        <v>175.46</v>
      </c>
      <c r="E550" s="523" t="e">
        <f>E530</f>
        <v>#REF!</v>
      </c>
      <c r="F550" s="525" t="e">
        <f t="shared" si="31"/>
        <v>#REF!</v>
      </c>
      <c r="G550" s="502"/>
    </row>
    <row r="551" customFormat="1" ht="22.9" customHeight="1" spans="1:7">
      <c r="A551" s="509"/>
      <c r="B551" s="503" t="s">
        <v>619</v>
      </c>
      <c r="C551" s="509" t="s">
        <v>62</v>
      </c>
      <c r="D551" s="509">
        <v>185.7</v>
      </c>
      <c r="E551" s="523" t="e">
        <f>E531</f>
        <v>#REF!</v>
      </c>
      <c r="F551" s="525" t="e">
        <f t="shared" si="31"/>
        <v>#REF!</v>
      </c>
      <c r="G551" s="502"/>
    </row>
    <row r="552" customFormat="1" ht="22.9" customHeight="1" spans="1:7">
      <c r="A552" s="509"/>
      <c r="B552" s="503" t="s">
        <v>626</v>
      </c>
      <c r="C552" s="509" t="s">
        <v>62</v>
      </c>
      <c r="D552" s="509">
        <v>44.04</v>
      </c>
      <c r="E552" s="523" t="e">
        <f>E532</f>
        <v>#REF!</v>
      </c>
      <c r="F552" s="525" t="e">
        <f t="shared" si="31"/>
        <v>#REF!</v>
      </c>
      <c r="G552" s="502"/>
    </row>
    <row r="553" customFormat="1" ht="22.9" customHeight="1" spans="1:7">
      <c r="A553" s="509"/>
      <c r="B553" s="503" t="s">
        <v>68</v>
      </c>
      <c r="C553" s="509" t="s">
        <v>69</v>
      </c>
      <c r="D553" s="509">
        <v>22.11</v>
      </c>
      <c r="E553" s="523">
        <f>E542</f>
        <v>6220.99382408393</v>
      </c>
      <c r="F553" s="525">
        <f t="shared" si="31"/>
        <v>137546.173450496</v>
      </c>
      <c r="G553" s="502"/>
    </row>
    <row r="554" customFormat="1" ht="22.9" customHeight="1" spans="1:7">
      <c r="A554" s="509"/>
      <c r="B554" s="503" t="s">
        <v>627</v>
      </c>
      <c r="C554" s="509" t="s">
        <v>628</v>
      </c>
      <c r="D554" s="509">
        <v>44.54</v>
      </c>
      <c r="E554" s="523" t="e">
        <f>E543</f>
        <v>#REF!</v>
      </c>
      <c r="F554" s="525" t="e">
        <f t="shared" si="31"/>
        <v>#REF!</v>
      </c>
      <c r="G554" s="502"/>
    </row>
    <row r="555" customFormat="1" ht="22.9" customHeight="1" spans="1:7">
      <c r="A555" s="509"/>
      <c r="B555" s="503" t="s">
        <v>613</v>
      </c>
      <c r="C555" s="509" t="s">
        <v>62</v>
      </c>
      <c r="D555" s="509">
        <v>0.11</v>
      </c>
      <c r="E555" s="523">
        <f>E544</f>
        <v>6000</v>
      </c>
      <c r="F555" s="525">
        <f t="shared" si="31"/>
        <v>660</v>
      </c>
      <c r="G555" s="502"/>
    </row>
    <row r="556" customFormat="1" ht="22.9" customHeight="1" spans="1:7">
      <c r="A556" s="509"/>
      <c r="B556" s="503" t="str">
        <f>B545</f>
        <v>20kg/m3苯板 </v>
      </c>
      <c r="C556" s="509" t="s">
        <v>62</v>
      </c>
      <c r="D556" s="509">
        <v>0.58</v>
      </c>
      <c r="E556" s="523">
        <f>E545</f>
        <v>336.28</v>
      </c>
      <c r="F556" s="525">
        <f t="shared" si="31"/>
        <v>195.0424</v>
      </c>
      <c r="G556" s="502"/>
    </row>
    <row r="557" customFormat="1" ht="22.9" customHeight="1" spans="1:7">
      <c r="A557" s="509"/>
      <c r="B557" s="503" t="s">
        <v>631</v>
      </c>
      <c r="C557" s="509" t="s">
        <v>62</v>
      </c>
      <c r="D557" s="509">
        <v>27.72</v>
      </c>
      <c r="E557" s="523" t="e">
        <f>单价汇总表!#REF!/100</f>
        <v>#REF!</v>
      </c>
      <c r="F557" s="525" t="e">
        <f t="shared" si="31"/>
        <v>#REF!</v>
      </c>
      <c r="G557" s="502"/>
    </row>
    <row r="558" customFormat="1" ht="22.9" customHeight="1" spans="1:7">
      <c r="A558" s="509"/>
      <c r="B558" s="503" t="s">
        <v>632</v>
      </c>
      <c r="C558" s="509" t="s">
        <v>62</v>
      </c>
      <c r="D558" s="509">
        <v>22.58</v>
      </c>
      <c r="E558" s="523" t="e">
        <f>单价汇总表!#REF!/100</f>
        <v>#REF!</v>
      </c>
      <c r="F558" s="525" t="e">
        <f t="shared" si="31"/>
        <v>#REF!</v>
      </c>
      <c r="G558" s="502"/>
    </row>
    <row r="559" customFormat="1" ht="22.9" customHeight="1" spans="1:7">
      <c r="A559" s="509"/>
      <c r="B559" s="503" t="s">
        <v>61</v>
      </c>
      <c r="C559" s="509" t="s">
        <v>62</v>
      </c>
      <c r="D559" s="509">
        <v>3200.61</v>
      </c>
      <c r="E559" s="523" t="e">
        <f>E546</f>
        <v>#REF!</v>
      </c>
      <c r="F559" s="525" t="e">
        <f t="shared" si="31"/>
        <v>#REF!</v>
      </c>
      <c r="G559" s="502"/>
    </row>
    <row r="560" customFormat="1" ht="22.9" customHeight="1" spans="1:7">
      <c r="A560" s="509"/>
      <c r="B560" s="503" t="s">
        <v>63</v>
      </c>
      <c r="C560" s="509" t="s">
        <v>62</v>
      </c>
      <c r="D560" s="509">
        <v>1186.29</v>
      </c>
      <c r="E560" s="523">
        <f>E547</f>
        <v>21.7295909758467</v>
      </c>
      <c r="F560" s="525">
        <f t="shared" si="31"/>
        <v>25777.5964787372</v>
      </c>
      <c r="G560" s="502"/>
    </row>
    <row r="561" customFormat="1" ht="22.9" customHeight="1" spans="1:7">
      <c r="A561" s="509"/>
      <c r="B561" s="503" t="s">
        <v>621</v>
      </c>
      <c r="C561" s="509" t="s">
        <v>62</v>
      </c>
      <c r="D561" s="509">
        <v>351.33</v>
      </c>
      <c r="E561" s="523" t="e">
        <f>E548</f>
        <v>#REF!</v>
      </c>
      <c r="F561" s="525" t="e">
        <f t="shared" si="31"/>
        <v>#REF!</v>
      </c>
      <c r="G561" s="502"/>
    </row>
    <row r="562" customFormat="1" ht="22.9" customHeight="1" spans="1:7">
      <c r="A562" s="509"/>
      <c r="B562" s="503" t="s">
        <v>633</v>
      </c>
      <c r="C562" s="509" t="s">
        <v>62</v>
      </c>
      <c r="D562" s="509">
        <v>7.39</v>
      </c>
      <c r="E562" s="523" t="e">
        <f>单价汇总表!#REF!/100</f>
        <v>#REF!</v>
      </c>
      <c r="F562" s="525" t="e">
        <f t="shared" si="31"/>
        <v>#REF!</v>
      </c>
      <c r="G562" s="502"/>
    </row>
    <row r="563" customFormat="1" ht="22.9" customHeight="1" spans="1:7">
      <c r="A563" s="539" t="s">
        <v>162</v>
      </c>
      <c r="B563" s="505" t="s">
        <v>634</v>
      </c>
      <c r="C563" s="539"/>
      <c r="D563" s="539"/>
      <c r="E563" s="523"/>
      <c r="F563" s="528" t="e">
        <f>F564</f>
        <v>#REF!</v>
      </c>
      <c r="G563" s="502"/>
    </row>
    <row r="564" customFormat="1" ht="22.9" customHeight="1" spans="1:7">
      <c r="A564" s="509">
        <v>1</v>
      </c>
      <c r="B564" s="503" t="s">
        <v>635</v>
      </c>
      <c r="C564" s="509"/>
      <c r="D564" s="509"/>
      <c r="E564" s="523"/>
      <c r="F564" s="525" t="e">
        <f>F565+F566</f>
        <v>#REF!</v>
      </c>
      <c r="G564" s="502"/>
    </row>
    <row r="565" customFormat="1" ht="22.9" customHeight="1" spans="1:7">
      <c r="A565" s="509"/>
      <c r="B565" s="503" t="s">
        <v>61</v>
      </c>
      <c r="C565" s="509" t="s">
        <v>62</v>
      </c>
      <c r="D565" s="509">
        <v>5</v>
      </c>
      <c r="E565" s="523" t="e">
        <f>E523</f>
        <v>#REF!</v>
      </c>
      <c r="F565" s="525" t="e">
        <f t="shared" si="31"/>
        <v>#REF!</v>
      </c>
      <c r="G565" s="502"/>
    </row>
    <row r="566" customFormat="1" ht="22.9" customHeight="1" spans="1:7">
      <c r="A566" s="509"/>
      <c r="B566" s="503" t="s">
        <v>632</v>
      </c>
      <c r="C566" s="509" t="s">
        <v>62</v>
      </c>
      <c r="D566" s="509">
        <v>5</v>
      </c>
      <c r="E566" s="523" t="e">
        <f>E558</f>
        <v>#REF!</v>
      </c>
      <c r="F566" s="525" t="e">
        <f t="shared" si="31"/>
        <v>#REF!</v>
      </c>
      <c r="G566" s="502"/>
    </row>
    <row r="567" customFormat="1" ht="22.9" customHeight="1" spans="1:7">
      <c r="A567" s="539" t="s">
        <v>214</v>
      </c>
      <c r="B567" s="505" t="s">
        <v>636</v>
      </c>
      <c r="C567" s="539"/>
      <c r="D567" s="539"/>
      <c r="E567" s="523"/>
      <c r="F567" s="528" t="e">
        <f>F568+F571</f>
        <v>#REF!</v>
      </c>
      <c r="G567" s="502"/>
    </row>
    <row r="568" customFormat="1" ht="22.9" customHeight="1" spans="1:7">
      <c r="A568" s="509">
        <v>1</v>
      </c>
      <c r="B568" s="503" t="s">
        <v>637</v>
      </c>
      <c r="C568" s="509" t="s">
        <v>373</v>
      </c>
      <c r="D568" s="509">
        <v>0.5</v>
      </c>
      <c r="E568" s="523"/>
      <c r="F568" s="525" t="e">
        <f>F569+F570</f>
        <v>#REF!</v>
      </c>
      <c r="G568" s="502"/>
    </row>
    <row r="569" customFormat="1" ht="22.9" customHeight="1" spans="1:7">
      <c r="A569" s="509"/>
      <c r="B569" s="503" t="s">
        <v>638</v>
      </c>
      <c r="C569" s="509" t="s">
        <v>62</v>
      </c>
      <c r="D569" s="509">
        <v>1000</v>
      </c>
      <c r="E569" s="523" t="e">
        <f>单价汇总表!#REF!/100</f>
        <v>#REF!</v>
      </c>
      <c r="F569" s="525" t="e">
        <f t="shared" ref="F569:F575" si="32">D569*E569</f>
        <v>#REF!</v>
      </c>
      <c r="G569" s="502"/>
    </row>
    <row r="570" customFormat="1" ht="22.9" customHeight="1" spans="1:7">
      <c r="A570" s="509"/>
      <c r="B570" s="503" t="s">
        <v>639</v>
      </c>
      <c r="C570" s="509" t="s">
        <v>394</v>
      </c>
      <c r="D570" s="509">
        <v>2000</v>
      </c>
      <c r="E570" s="523">
        <f>单价汇总表!D16/1000</f>
        <v>20.0328972549866</v>
      </c>
      <c r="F570" s="525">
        <f t="shared" si="32"/>
        <v>40065.7945099732</v>
      </c>
      <c r="G570" s="502"/>
    </row>
    <row r="571" customFormat="1" ht="22.9" customHeight="1" spans="1:7">
      <c r="A571" s="509">
        <v>2</v>
      </c>
      <c r="B571" s="503" t="s">
        <v>640</v>
      </c>
      <c r="C571" s="509" t="s">
        <v>90</v>
      </c>
      <c r="D571" s="509">
        <v>200</v>
      </c>
      <c r="E571" s="523"/>
      <c r="F571" s="525" t="e">
        <f>SUM(F572:F575)</f>
        <v>#REF!</v>
      </c>
      <c r="G571" s="502"/>
    </row>
    <row r="572" customFormat="1" ht="22.9" customHeight="1" spans="1:7">
      <c r="A572" s="509"/>
      <c r="B572" s="503" t="str">
        <f>B522</f>
        <v>C20砼 U 形板预制、运输及安装 </v>
      </c>
      <c r="C572" s="509" t="s">
        <v>62</v>
      </c>
      <c r="D572" s="509">
        <v>12.29</v>
      </c>
      <c r="E572" s="523" t="e">
        <f>E522</f>
        <v>#REF!</v>
      </c>
      <c r="F572" s="525" t="e">
        <f t="shared" si="32"/>
        <v>#REF!</v>
      </c>
      <c r="G572" s="502"/>
    </row>
    <row r="573" customFormat="1" ht="22.9" customHeight="1" spans="1:7">
      <c r="A573" s="509"/>
      <c r="B573" s="503" t="s">
        <v>61</v>
      </c>
      <c r="C573" s="509" t="s">
        <v>62</v>
      </c>
      <c r="D573" s="509">
        <v>180</v>
      </c>
      <c r="E573" s="523" t="e">
        <f>E523</f>
        <v>#REF!</v>
      </c>
      <c r="F573" s="525" t="e">
        <f t="shared" si="32"/>
        <v>#REF!</v>
      </c>
      <c r="G573" s="502"/>
    </row>
    <row r="574" customFormat="1" ht="22.9" customHeight="1" spans="1:7">
      <c r="A574" s="509"/>
      <c r="B574" s="503" t="s">
        <v>63</v>
      </c>
      <c r="C574" s="509" t="s">
        <v>62</v>
      </c>
      <c r="D574" s="509">
        <v>120</v>
      </c>
      <c r="E574" s="523">
        <f>E524</f>
        <v>12.4804472232673</v>
      </c>
      <c r="F574" s="525">
        <f t="shared" si="32"/>
        <v>1497.65366679207</v>
      </c>
      <c r="G574" s="502"/>
    </row>
    <row r="575" customFormat="1" ht="22.9" customHeight="1" spans="1:7">
      <c r="A575" s="509"/>
      <c r="B575" s="503" t="s">
        <v>613</v>
      </c>
      <c r="C575" s="509" t="s">
        <v>62</v>
      </c>
      <c r="D575" s="509">
        <v>0.06</v>
      </c>
      <c r="E575" s="523">
        <f>E555</f>
        <v>6000</v>
      </c>
      <c r="F575" s="525">
        <f t="shared" si="32"/>
        <v>360</v>
      </c>
      <c r="G575" s="502"/>
    </row>
    <row r="576" customFormat="1" ht="22.9" customHeight="1" spans="1:7">
      <c r="A576" s="502"/>
      <c r="B576" s="503"/>
      <c r="C576" s="502"/>
      <c r="D576" s="502"/>
      <c r="E576" s="502"/>
      <c r="F576" s="502"/>
      <c r="G576" s="502"/>
    </row>
    <row r="577" customFormat="1" ht="22.9" customHeight="1" spans="1:7">
      <c r="A577" s="502"/>
      <c r="B577" s="503"/>
      <c r="C577" s="502"/>
      <c r="D577" s="502"/>
      <c r="E577" s="502"/>
      <c r="F577" s="502"/>
      <c r="G577" s="502"/>
    </row>
    <row r="578" customFormat="1" ht="22.9" customHeight="1" spans="1:7">
      <c r="A578" s="502"/>
      <c r="B578" s="503"/>
      <c r="C578" s="502"/>
      <c r="D578" s="502"/>
      <c r="E578" s="502"/>
      <c r="F578" s="502"/>
      <c r="G578" s="502"/>
    </row>
    <row r="579" customFormat="1" ht="22.9" customHeight="1" spans="1:7">
      <c r="A579" s="502"/>
      <c r="B579" s="503"/>
      <c r="C579" s="502"/>
      <c r="D579" s="502"/>
      <c r="E579" s="502"/>
      <c r="F579" s="502"/>
      <c r="G579" s="502"/>
    </row>
    <row r="580" customFormat="1" ht="22.9" customHeight="1" spans="1:7">
      <c r="A580" s="502"/>
      <c r="B580" s="503"/>
      <c r="C580" s="502"/>
      <c r="D580" s="502"/>
      <c r="E580" s="502"/>
      <c r="F580" s="502"/>
      <c r="G580" s="502"/>
    </row>
    <row r="581" customFormat="1" ht="22.9" customHeight="1" spans="1:7">
      <c r="A581" s="502"/>
      <c r="B581" s="503"/>
      <c r="C581" s="502"/>
      <c r="D581" s="502"/>
      <c r="E581" s="502"/>
      <c r="F581" s="502"/>
      <c r="G581" s="502"/>
    </row>
    <row r="582" customFormat="1" ht="22.9" customHeight="1" spans="1:7">
      <c r="A582" s="502"/>
      <c r="B582" s="503"/>
      <c r="C582" s="502"/>
      <c r="D582" s="502"/>
      <c r="E582" s="502"/>
      <c r="F582" s="502"/>
      <c r="G582" s="502"/>
    </row>
    <row r="583" customFormat="1" ht="22.9" customHeight="1" spans="1:7">
      <c r="A583" s="502"/>
      <c r="B583" s="503"/>
      <c r="C583" s="502"/>
      <c r="D583" s="502"/>
      <c r="E583" s="502"/>
      <c r="F583" s="502"/>
      <c r="G583" s="502"/>
    </row>
    <row r="584" customFormat="1" ht="22.9" customHeight="1" spans="1:7">
      <c r="A584" s="502"/>
      <c r="B584" s="503"/>
      <c r="C584" s="502"/>
      <c r="D584" s="502"/>
      <c r="E584" s="502"/>
      <c r="F584" s="502"/>
      <c r="G584" s="502"/>
    </row>
    <row r="585" customFormat="1" ht="22.9" customHeight="1" spans="1:7">
      <c r="A585" s="502"/>
      <c r="B585" s="503"/>
      <c r="C585" s="502"/>
      <c r="D585" s="502"/>
      <c r="E585" s="502"/>
      <c r="F585" s="502"/>
      <c r="G585" s="502"/>
    </row>
    <row r="586" customFormat="1" ht="22.9" customHeight="1" spans="1:7">
      <c r="A586" s="502"/>
      <c r="B586" s="503"/>
      <c r="C586" s="502"/>
      <c r="D586" s="502"/>
      <c r="E586" s="502"/>
      <c r="F586" s="502"/>
      <c r="G586" s="502"/>
    </row>
    <row r="587" customFormat="1" ht="22.9" customHeight="1" spans="1:7">
      <c r="A587" s="502"/>
      <c r="B587" s="503"/>
      <c r="C587" s="502"/>
      <c r="D587" s="502"/>
      <c r="E587" s="502"/>
      <c r="F587" s="502"/>
      <c r="G587" s="502"/>
    </row>
    <row r="588" customFormat="1" ht="22.9" customHeight="1" spans="1:7">
      <c r="A588" s="502"/>
      <c r="B588" s="503"/>
      <c r="C588" s="502"/>
      <c r="D588" s="502"/>
      <c r="E588" s="502"/>
      <c r="F588" s="502"/>
      <c r="G588" s="502"/>
    </row>
    <row r="589" customFormat="1" ht="22.9" customHeight="1" spans="1:7">
      <c r="A589" s="502"/>
      <c r="B589" s="503"/>
      <c r="C589" s="502"/>
      <c r="D589" s="502"/>
      <c r="E589" s="502"/>
      <c r="F589" s="502"/>
      <c r="G589" s="502"/>
    </row>
    <row r="590" customFormat="1" ht="22.9" customHeight="1" spans="1:7">
      <c r="A590" s="502"/>
      <c r="B590" s="503"/>
      <c r="C590" s="502"/>
      <c r="D590" s="502"/>
      <c r="E590" s="502"/>
      <c r="F590" s="502"/>
      <c r="G590" s="502"/>
    </row>
    <row r="591" customFormat="1" ht="22.9" customHeight="1" spans="1:7">
      <c r="A591" s="502"/>
      <c r="B591" s="503"/>
      <c r="C591" s="502"/>
      <c r="D591" s="502"/>
      <c r="E591" s="502"/>
      <c r="F591" s="502"/>
      <c r="G591" s="502"/>
    </row>
    <row r="592" customFormat="1" ht="22.9" customHeight="1" spans="1:7">
      <c r="A592" s="502"/>
      <c r="B592" s="503"/>
      <c r="C592" s="502"/>
      <c r="D592" s="502"/>
      <c r="E592" s="502"/>
      <c r="F592" s="502"/>
      <c r="G592" s="502"/>
    </row>
    <row r="593" customFormat="1" ht="22.9" customHeight="1" spans="1:7">
      <c r="A593" s="502"/>
      <c r="B593" s="503"/>
      <c r="C593" s="502"/>
      <c r="D593" s="502"/>
      <c r="E593" s="502"/>
      <c r="F593" s="502"/>
      <c r="G593" s="502"/>
    </row>
    <row r="594" customFormat="1" ht="22.9" customHeight="1" spans="1:7">
      <c r="A594" s="502"/>
      <c r="B594" s="503"/>
      <c r="C594" s="502"/>
      <c r="D594" s="502"/>
      <c r="E594" s="502"/>
      <c r="F594" s="502"/>
      <c r="G594" s="502"/>
    </row>
    <row r="595" customFormat="1" ht="22.9" customHeight="1" spans="1:7">
      <c r="A595" s="502"/>
      <c r="B595" s="503"/>
      <c r="C595" s="502"/>
      <c r="D595" s="502"/>
      <c r="E595" s="502"/>
      <c r="F595" s="502"/>
      <c r="G595" s="502"/>
    </row>
    <row r="596" customFormat="1" ht="22.9" customHeight="1" spans="1:7">
      <c r="A596" s="502"/>
      <c r="B596" s="503"/>
      <c r="C596" s="502"/>
      <c r="D596" s="502"/>
      <c r="E596" s="502"/>
      <c r="F596" s="502"/>
      <c r="G596" s="502"/>
    </row>
    <row r="597" customFormat="1" ht="22.9" customHeight="1" spans="1:7">
      <c r="A597" s="502"/>
      <c r="B597" s="503"/>
      <c r="C597" s="502"/>
      <c r="D597" s="502"/>
      <c r="E597" s="502"/>
      <c r="F597" s="502"/>
      <c r="G597" s="502"/>
    </row>
    <row r="598" customFormat="1" ht="22.9" customHeight="1" spans="1:7">
      <c r="A598" s="502"/>
      <c r="B598" s="503"/>
      <c r="C598" s="502"/>
      <c r="D598" s="502"/>
      <c r="E598" s="502"/>
      <c r="F598" s="502"/>
      <c r="G598" s="502"/>
    </row>
    <row r="599" customFormat="1" ht="34.15" customHeight="1" spans="1:7">
      <c r="A599" s="502"/>
      <c r="B599" s="503"/>
      <c r="C599" s="502"/>
      <c r="D599" s="502"/>
      <c r="E599" s="502"/>
      <c r="F599" s="502"/>
      <c r="G599" s="502"/>
    </row>
    <row r="600" customFormat="1" ht="34.15" customHeight="1" spans="1:7">
      <c r="A600" s="502"/>
      <c r="B600" s="503"/>
      <c r="C600" s="502"/>
      <c r="D600" s="502"/>
      <c r="E600" s="502"/>
      <c r="F600" s="502"/>
      <c r="G600" s="502"/>
    </row>
    <row r="601" customFormat="1" ht="34.15" customHeight="1" spans="1:7">
      <c r="A601" s="502"/>
      <c r="B601" s="503"/>
      <c r="C601" s="502"/>
      <c r="D601" s="502"/>
      <c r="E601" s="502"/>
      <c r="F601" s="502"/>
      <c r="G601" s="502"/>
    </row>
    <row r="602" customFormat="1" ht="34.15" customHeight="1" spans="1:7">
      <c r="A602" s="502"/>
      <c r="B602" s="503"/>
      <c r="C602" s="502"/>
      <c r="D602" s="502"/>
      <c r="E602" s="502"/>
      <c r="F602" s="502"/>
      <c r="G602" s="502"/>
    </row>
    <row r="603" customFormat="1" ht="34.15" customHeight="1" spans="1:7">
      <c r="A603" s="502"/>
      <c r="B603" s="503"/>
      <c r="C603" s="502"/>
      <c r="D603" s="502"/>
      <c r="E603" s="502"/>
      <c r="F603" s="502"/>
      <c r="G603" s="502"/>
    </row>
    <row r="604" customFormat="1" ht="34.15" customHeight="1" spans="1:7">
      <c r="A604" s="502"/>
      <c r="B604" s="503"/>
      <c r="C604" s="502"/>
      <c r="D604" s="502"/>
      <c r="E604" s="502"/>
      <c r="F604" s="502"/>
      <c r="G604" s="502"/>
    </row>
    <row r="605" customFormat="1" ht="34.15" customHeight="1" spans="1:7">
      <c r="A605" s="502"/>
      <c r="B605" s="503"/>
      <c r="C605" s="502"/>
      <c r="D605" s="502"/>
      <c r="E605" s="502"/>
      <c r="F605" s="502"/>
      <c r="G605" s="502"/>
    </row>
    <row r="606" customFormat="1" ht="34.15" customHeight="1" spans="1:7">
      <c r="A606" s="502"/>
      <c r="B606" s="503"/>
      <c r="C606" s="502"/>
      <c r="D606" s="502"/>
      <c r="E606" s="502"/>
      <c r="F606" s="502"/>
      <c r="G606" s="502"/>
    </row>
    <row r="607" customFormat="1" ht="34.15" customHeight="1" spans="1:7">
      <c r="A607" s="502"/>
      <c r="B607" s="503"/>
      <c r="C607" s="502"/>
      <c r="D607" s="502"/>
      <c r="E607" s="502"/>
      <c r="F607" s="502"/>
      <c r="G607" s="502"/>
    </row>
    <row r="608" customFormat="1" ht="34.15" customHeight="1" spans="1:7">
      <c r="A608" s="502"/>
      <c r="B608" s="503"/>
      <c r="C608" s="502"/>
      <c r="D608" s="502"/>
      <c r="E608" s="502"/>
      <c r="F608" s="502"/>
      <c r="G608" s="502"/>
    </row>
    <row r="609" customFormat="1" ht="34.15" customHeight="1" spans="1:7">
      <c r="A609" s="502"/>
      <c r="B609" s="503"/>
      <c r="C609" s="502"/>
      <c r="D609" s="502"/>
      <c r="E609" s="502"/>
      <c r="F609" s="502"/>
      <c r="G609" s="502"/>
    </row>
    <row r="610" customFormat="1" ht="34.15" customHeight="1" spans="1:7">
      <c r="A610" s="502"/>
      <c r="B610" s="503"/>
      <c r="C610" s="502"/>
      <c r="D610" s="502"/>
      <c r="E610" s="502"/>
      <c r="F610" s="502"/>
      <c r="G610" s="502"/>
    </row>
    <row r="611" customFormat="1" ht="34.15" customHeight="1" spans="1:7">
      <c r="A611" s="502"/>
      <c r="B611" s="503"/>
      <c r="C611" s="502"/>
      <c r="D611" s="502"/>
      <c r="E611" s="502"/>
      <c r="F611" s="502"/>
      <c r="G611" s="502"/>
    </row>
    <row r="612" customFormat="1" ht="34.15" customHeight="1" spans="1:7">
      <c r="A612" s="502"/>
      <c r="B612" s="503"/>
      <c r="C612" s="502"/>
      <c r="D612" s="502"/>
      <c r="E612" s="502"/>
      <c r="F612" s="502"/>
      <c r="G612" s="502"/>
    </row>
    <row r="613" customFormat="1" ht="34.15" customHeight="1" spans="1:7">
      <c r="A613" s="502"/>
      <c r="B613" s="503"/>
      <c r="C613" s="502"/>
      <c r="D613" s="502"/>
      <c r="E613" s="502"/>
      <c r="F613" s="502"/>
      <c r="G613" s="502"/>
    </row>
    <row r="614" customFormat="1" ht="34.15" customHeight="1" spans="1:7">
      <c r="A614" s="502"/>
      <c r="B614" s="503"/>
      <c r="C614" s="502"/>
      <c r="D614" s="502"/>
      <c r="E614" s="502"/>
      <c r="F614" s="502"/>
      <c r="G614" s="502"/>
    </row>
    <row r="615" customFormat="1" ht="34.15" customHeight="1" spans="1:7">
      <c r="A615" s="502"/>
      <c r="B615" s="503"/>
      <c r="C615" s="502"/>
      <c r="D615" s="502"/>
      <c r="E615" s="502"/>
      <c r="F615" s="502"/>
      <c r="G615" s="502"/>
    </row>
    <row r="616" customFormat="1" ht="34.15" customHeight="1" spans="1:7">
      <c r="A616" s="502"/>
      <c r="B616" s="503"/>
      <c r="C616" s="502"/>
      <c r="D616" s="502"/>
      <c r="E616" s="502"/>
      <c r="F616" s="502"/>
      <c r="G616" s="502"/>
    </row>
    <row r="617" customFormat="1" ht="34.15" customHeight="1" spans="1:7">
      <c r="A617" s="502"/>
      <c r="B617" s="503"/>
      <c r="C617" s="502"/>
      <c r="D617" s="502"/>
      <c r="E617" s="502"/>
      <c r="F617" s="502"/>
      <c r="G617" s="502"/>
    </row>
    <row r="618" customFormat="1" ht="34.15" customHeight="1" spans="1:7">
      <c r="A618" s="502"/>
      <c r="B618" s="503"/>
      <c r="C618" s="502"/>
      <c r="D618" s="502"/>
      <c r="E618" s="502"/>
      <c r="F618" s="502"/>
      <c r="G618" s="502"/>
    </row>
    <row r="619" customFormat="1" ht="34.15" customHeight="1" spans="1:7">
      <c r="A619" s="502"/>
      <c r="B619" s="503"/>
      <c r="C619" s="502"/>
      <c r="D619" s="502"/>
      <c r="E619" s="502"/>
      <c r="F619" s="502"/>
      <c r="G619" s="502"/>
    </row>
    <row r="620" customFormat="1" ht="34.15" customHeight="1" spans="1:7">
      <c r="A620" s="502"/>
      <c r="B620" s="503"/>
      <c r="C620" s="502"/>
      <c r="D620" s="502"/>
      <c r="E620" s="502"/>
      <c r="F620" s="502"/>
      <c r="G620" s="502"/>
    </row>
    <row r="621" customFormat="1" ht="34.15" customHeight="1" spans="1:7">
      <c r="A621" s="502"/>
      <c r="B621" s="503"/>
      <c r="C621" s="502"/>
      <c r="D621" s="502"/>
      <c r="E621" s="502"/>
      <c r="F621" s="502"/>
      <c r="G621" s="502"/>
    </row>
    <row r="622" customFormat="1" ht="34.15" customHeight="1" spans="1:7">
      <c r="A622" s="502"/>
      <c r="B622" s="503"/>
      <c r="C622" s="502"/>
      <c r="D622" s="502"/>
      <c r="E622" s="502"/>
      <c r="F622" s="502"/>
      <c r="G622" s="502"/>
    </row>
    <row r="623" customFormat="1" ht="34.15" customHeight="1" spans="1:7">
      <c r="A623" s="502"/>
      <c r="B623" s="503"/>
      <c r="C623" s="502"/>
      <c r="D623" s="502"/>
      <c r="E623" s="502"/>
      <c r="F623" s="502"/>
      <c r="G623" s="502"/>
    </row>
    <row r="624" customFormat="1" ht="34.15" customHeight="1" spans="1:7">
      <c r="A624" s="502"/>
      <c r="B624" s="503"/>
      <c r="C624" s="502"/>
      <c r="D624" s="502"/>
      <c r="E624" s="502"/>
      <c r="F624" s="502"/>
      <c r="G624" s="502"/>
    </row>
    <row r="625" customFormat="1" ht="34.15" customHeight="1" spans="1:7">
      <c r="A625" s="502"/>
      <c r="B625" s="503"/>
      <c r="C625" s="502"/>
      <c r="D625" s="502"/>
      <c r="E625" s="502"/>
      <c r="F625" s="502"/>
      <c r="G625" s="502"/>
    </row>
    <row r="626" customFormat="1" ht="34.15" customHeight="1" spans="1:7">
      <c r="A626" s="502"/>
      <c r="B626" s="503"/>
      <c r="C626" s="502"/>
      <c r="D626" s="502"/>
      <c r="E626" s="502"/>
      <c r="F626" s="502"/>
      <c r="G626" s="502"/>
    </row>
    <row r="627" customFormat="1" ht="34.15" customHeight="1" spans="1:7">
      <c r="A627" s="502"/>
      <c r="B627" s="503"/>
      <c r="C627" s="502"/>
      <c r="D627" s="502"/>
      <c r="E627" s="502"/>
      <c r="F627" s="502"/>
      <c r="G627" s="502"/>
    </row>
    <row r="628" customFormat="1" ht="34.15" customHeight="1" spans="1:7">
      <c r="A628" s="502"/>
      <c r="B628" s="503"/>
      <c r="C628" s="502"/>
      <c r="D628" s="502"/>
      <c r="E628" s="502"/>
      <c r="F628" s="502"/>
      <c r="G628" s="502"/>
    </row>
    <row r="629" customFormat="1" ht="34.15" customHeight="1" spans="1:7">
      <c r="A629" s="502"/>
      <c r="B629" s="503"/>
      <c r="C629" s="502"/>
      <c r="D629" s="502"/>
      <c r="E629" s="502"/>
      <c r="F629" s="502"/>
      <c r="G629" s="502"/>
    </row>
    <row r="630" customFormat="1" ht="34.15" customHeight="1" spans="1:7">
      <c r="A630" s="502"/>
      <c r="B630" s="503"/>
      <c r="C630" s="502"/>
      <c r="D630" s="502"/>
      <c r="E630" s="502"/>
      <c r="F630" s="502"/>
      <c r="G630" s="502"/>
    </row>
    <row r="631" customFormat="1" ht="34.15" customHeight="1" spans="1:7">
      <c r="A631" s="502"/>
      <c r="B631" s="503"/>
      <c r="C631" s="502"/>
      <c r="D631" s="502"/>
      <c r="E631" s="502"/>
      <c r="F631" s="502"/>
      <c r="G631" s="502"/>
    </row>
    <row r="632" customFormat="1" ht="34.15" customHeight="1" spans="1:7">
      <c r="A632" s="502"/>
      <c r="B632" s="503"/>
      <c r="C632" s="502"/>
      <c r="D632" s="502"/>
      <c r="E632" s="502"/>
      <c r="F632" s="502"/>
      <c r="G632" s="502"/>
    </row>
    <row r="633" customFormat="1" ht="34.15" customHeight="1" spans="1:7">
      <c r="A633" s="502"/>
      <c r="B633" s="503"/>
      <c r="C633" s="502"/>
      <c r="D633" s="502"/>
      <c r="E633" s="502"/>
      <c r="F633" s="502"/>
      <c r="G633" s="502"/>
    </row>
    <row r="634" customFormat="1" ht="34.15" customHeight="1" spans="1:7">
      <c r="A634" s="502"/>
      <c r="B634" s="503"/>
      <c r="C634" s="502"/>
      <c r="D634" s="502"/>
      <c r="E634" s="502"/>
      <c r="F634" s="502"/>
      <c r="G634" s="502"/>
    </row>
    <row r="635" customFormat="1" ht="34.15" customHeight="1" spans="1:7">
      <c r="A635" s="502"/>
      <c r="B635" s="503"/>
      <c r="C635" s="502"/>
      <c r="D635" s="502"/>
      <c r="E635" s="502"/>
      <c r="F635" s="502"/>
      <c r="G635" s="502"/>
    </row>
    <row r="636" customFormat="1" ht="34.15" customHeight="1" spans="1:7">
      <c r="A636" s="502"/>
      <c r="B636" s="503"/>
      <c r="C636" s="502"/>
      <c r="D636" s="502"/>
      <c r="E636" s="502"/>
      <c r="F636" s="502"/>
      <c r="G636" s="502"/>
    </row>
    <row r="637" customFormat="1" ht="34.15" customHeight="1" spans="1:7">
      <c r="A637" s="502"/>
      <c r="B637" s="503"/>
      <c r="C637" s="502"/>
      <c r="D637" s="502"/>
      <c r="E637" s="502"/>
      <c r="F637" s="502"/>
      <c r="G637" s="502"/>
    </row>
    <row r="638" customFormat="1" ht="34.15" customHeight="1" spans="1:7">
      <c r="A638" s="502"/>
      <c r="B638" s="503"/>
      <c r="C638" s="502"/>
      <c r="D638" s="502"/>
      <c r="E638" s="502"/>
      <c r="F638" s="502"/>
      <c r="G638" s="502"/>
    </row>
    <row r="639" customFormat="1" ht="34.15" customHeight="1" spans="1:7">
      <c r="A639" s="502"/>
      <c r="B639" s="503"/>
      <c r="C639" s="502"/>
      <c r="D639" s="502"/>
      <c r="E639" s="502"/>
      <c r="F639" s="502"/>
      <c r="G639" s="502"/>
    </row>
    <row r="640" customFormat="1" ht="34.15" customHeight="1" spans="1:7">
      <c r="A640" s="502"/>
      <c r="B640" s="503"/>
      <c r="C640" s="502"/>
      <c r="D640" s="502"/>
      <c r="E640" s="502"/>
      <c r="F640" s="502"/>
      <c r="G640" s="502"/>
    </row>
    <row r="641" customFormat="1" ht="34.15" customHeight="1" spans="1:7">
      <c r="A641" s="502"/>
      <c r="B641" s="503"/>
      <c r="C641" s="502"/>
      <c r="D641" s="502"/>
      <c r="E641" s="502"/>
      <c r="F641" s="502"/>
      <c r="G641" s="502"/>
    </row>
    <row r="642" customFormat="1" ht="34.15" customHeight="1" spans="1:7">
      <c r="A642" s="502"/>
      <c r="B642" s="503"/>
      <c r="C642" s="502"/>
      <c r="D642" s="502"/>
      <c r="E642" s="502"/>
      <c r="F642" s="502"/>
      <c r="G642" s="502"/>
    </row>
    <row r="643" customFormat="1" ht="34.15" customHeight="1" spans="1:7">
      <c r="A643" s="502"/>
      <c r="B643" s="503"/>
      <c r="C643" s="502"/>
      <c r="D643" s="502"/>
      <c r="E643" s="502"/>
      <c r="F643" s="502"/>
      <c r="G643" s="502"/>
    </row>
    <row r="644" customFormat="1" ht="34.15" customHeight="1" spans="1:7">
      <c r="A644" s="502"/>
      <c r="B644" s="503"/>
      <c r="C644" s="502"/>
      <c r="D644" s="502"/>
      <c r="E644" s="502"/>
      <c r="F644" s="502"/>
      <c r="G644" s="502"/>
    </row>
    <row r="645" customFormat="1" ht="34.15" customHeight="1" spans="1:7">
      <c r="A645" s="502"/>
      <c r="B645" s="503"/>
      <c r="C645" s="502"/>
      <c r="D645" s="502"/>
      <c r="E645" s="502"/>
      <c r="F645" s="502"/>
      <c r="G645" s="502"/>
    </row>
    <row r="646" customFormat="1" ht="34.15" customHeight="1" spans="1:7">
      <c r="A646" s="502"/>
      <c r="B646" s="503"/>
      <c r="C646" s="502"/>
      <c r="D646" s="502"/>
      <c r="E646" s="502"/>
      <c r="F646" s="502"/>
      <c r="G646" s="502"/>
    </row>
    <row r="647" customFormat="1" ht="34.15" customHeight="1" spans="1:7">
      <c r="A647" s="502"/>
      <c r="B647" s="503"/>
      <c r="C647" s="502"/>
      <c r="D647" s="502"/>
      <c r="E647" s="502"/>
      <c r="F647" s="502"/>
      <c r="G647" s="502"/>
    </row>
    <row r="648" customFormat="1" ht="34.15" customHeight="1" spans="1:7">
      <c r="A648" s="502"/>
      <c r="B648" s="503"/>
      <c r="C648" s="502"/>
      <c r="D648" s="502"/>
      <c r="E648" s="502"/>
      <c r="F648" s="502"/>
      <c r="G648" s="502"/>
    </row>
    <row r="649" customFormat="1" ht="34.15" customHeight="1" spans="1:7">
      <c r="A649" s="502"/>
      <c r="B649" s="503"/>
      <c r="C649" s="502"/>
      <c r="D649" s="502"/>
      <c r="E649" s="502"/>
      <c r="F649" s="502"/>
      <c r="G649" s="502"/>
    </row>
    <row r="650" customFormat="1" ht="34.15" customHeight="1" spans="1:7">
      <c r="A650" s="502"/>
      <c r="B650" s="503"/>
      <c r="C650" s="502"/>
      <c r="D650" s="502"/>
      <c r="E650" s="502"/>
      <c r="F650" s="502"/>
      <c r="G650" s="502"/>
    </row>
    <row r="651" customFormat="1" ht="34.15" customHeight="1" spans="1:7">
      <c r="A651" s="502"/>
      <c r="B651" s="503"/>
      <c r="C651" s="502"/>
      <c r="D651" s="502"/>
      <c r="E651" s="502"/>
      <c r="F651" s="502"/>
      <c r="G651" s="502"/>
    </row>
    <row r="652" customFormat="1" ht="34.15" customHeight="1" spans="1:7">
      <c r="A652" s="502"/>
      <c r="B652" s="503"/>
      <c r="C652" s="502"/>
      <c r="D652" s="502"/>
      <c r="E652" s="502"/>
      <c r="F652" s="502"/>
      <c r="G652" s="502"/>
    </row>
    <row r="653" customFormat="1" ht="34.15" customHeight="1" spans="1:7">
      <c r="A653" s="502"/>
      <c r="B653" s="503"/>
      <c r="C653" s="502"/>
      <c r="D653" s="502"/>
      <c r="E653" s="502"/>
      <c r="F653" s="502"/>
      <c r="G653" s="502"/>
    </row>
    <row r="654" customFormat="1" ht="34.15" customHeight="1" spans="1:7">
      <c r="A654" s="502"/>
      <c r="B654" s="503"/>
      <c r="C654" s="502"/>
      <c r="D654" s="502"/>
      <c r="E654" s="502"/>
      <c r="F654" s="502"/>
      <c r="G654" s="502"/>
    </row>
    <row r="655" customFormat="1" ht="34.15" customHeight="1" spans="1:7">
      <c r="A655" s="502"/>
      <c r="B655" s="503"/>
      <c r="C655" s="502"/>
      <c r="D655" s="502"/>
      <c r="E655" s="502"/>
      <c r="F655" s="502"/>
      <c r="G655" s="502"/>
    </row>
    <row r="656" customFormat="1" ht="34.15" customHeight="1" spans="1:7">
      <c r="A656" s="502"/>
      <c r="B656" s="503"/>
      <c r="C656" s="502"/>
      <c r="D656" s="502"/>
      <c r="E656" s="502"/>
      <c r="F656" s="502"/>
      <c r="G656" s="502"/>
    </row>
    <row r="657" customFormat="1" ht="34.15" customHeight="1" spans="1:7">
      <c r="A657" s="502"/>
      <c r="B657" s="503"/>
      <c r="C657" s="502"/>
      <c r="D657" s="502"/>
      <c r="E657" s="502"/>
      <c r="F657" s="502"/>
      <c r="G657" s="502"/>
    </row>
    <row r="658" customFormat="1" ht="34.15" customHeight="1" spans="1:7">
      <c r="A658" s="502"/>
      <c r="B658" s="503"/>
      <c r="C658" s="502"/>
      <c r="D658" s="502"/>
      <c r="E658" s="502"/>
      <c r="F658" s="502"/>
      <c r="G658" s="502"/>
    </row>
    <row r="659" customFormat="1" ht="34.15" customHeight="1" spans="1:7">
      <c r="A659" s="502"/>
      <c r="B659" s="503"/>
      <c r="C659" s="502"/>
      <c r="D659" s="502"/>
      <c r="E659" s="502"/>
      <c r="F659" s="502"/>
      <c r="G659" s="502"/>
    </row>
    <row r="660" customFormat="1" ht="34.15" customHeight="1" spans="1:7">
      <c r="A660" s="502"/>
      <c r="B660" s="503"/>
      <c r="C660" s="502"/>
      <c r="D660" s="502"/>
      <c r="E660" s="502"/>
      <c r="F660" s="502"/>
      <c r="G660" s="502"/>
    </row>
    <row r="661" customFormat="1" ht="34.15" customHeight="1" spans="1:7">
      <c r="A661" s="502"/>
      <c r="B661" s="503"/>
      <c r="C661" s="502"/>
      <c r="D661" s="502"/>
      <c r="E661" s="502"/>
      <c r="F661" s="502"/>
      <c r="G661" s="502"/>
    </row>
    <row r="662" customFormat="1" ht="34.15" customHeight="1" spans="1:7">
      <c r="A662" s="502"/>
      <c r="B662" s="503"/>
      <c r="C662" s="502"/>
      <c r="D662" s="502"/>
      <c r="E662" s="502"/>
      <c r="F662" s="502"/>
      <c r="G662" s="502"/>
    </row>
    <row r="663" customFormat="1" ht="34.15" customHeight="1" spans="1:7">
      <c r="A663" s="502"/>
      <c r="B663" s="503"/>
      <c r="C663" s="502"/>
      <c r="D663" s="502"/>
      <c r="E663" s="502"/>
      <c r="F663" s="502"/>
      <c r="G663" s="502"/>
    </row>
    <row r="664" customFormat="1" ht="34.15" customHeight="1" spans="1:7">
      <c r="A664" s="502"/>
      <c r="B664" s="503"/>
      <c r="C664" s="502"/>
      <c r="D664" s="502"/>
      <c r="E664" s="502"/>
      <c r="F664" s="502"/>
      <c r="G664" s="502"/>
    </row>
    <row r="665" customFormat="1" ht="34.15" customHeight="1" spans="1:7">
      <c r="A665" s="502"/>
      <c r="B665" s="503"/>
      <c r="C665" s="502"/>
      <c r="D665" s="502"/>
      <c r="E665" s="502"/>
      <c r="F665" s="502"/>
      <c r="G665" s="502"/>
    </row>
    <row r="666" customFormat="1" ht="34.15" customHeight="1" spans="1:7">
      <c r="A666" s="502"/>
      <c r="B666" s="503"/>
      <c r="C666" s="502"/>
      <c r="D666" s="502"/>
      <c r="E666" s="502"/>
      <c r="F666" s="502"/>
      <c r="G666" s="502"/>
    </row>
    <row r="667" customFormat="1" ht="34.15" customHeight="1" spans="1:7">
      <c r="A667" s="502"/>
      <c r="B667" s="503"/>
      <c r="C667" s="502"/>
      <c r="D667" s="502"/>
      <c r="E667" s="502"/>
      <c r="F667" s="502"/>
      <c r="G667" s="502"/>
    </row>
    <row r="668" customFormat="1" ht="34.15" customHeight="1" spans="1:7">
      <c r="A668" s="502"/>
      <c r="B668" s="503"/>
      <c r="C668" s="502"/>
      <c r="D668" s="502"/>
      <c r="E668" s="502"/>
      <c r="F668" s="502"/>
      <c r="G668" s="502"/>
    </row>
    <row r="669" customFormat="1" ht="34.15" customHeight="1" spans="1:7">
      <c r="A669" s="502"/>
      <c r="B669" s="503"/>
      <c r="C669" s="502"/>
      <c r="D669" s="502"/>
      <c r="E669" s="502"/>
      <c r="F669" s="502"/>
      <c r="G669" s="502"/>
    </row>
    <row r="670" customFormat="1" ht="34.15" customHeight="1" spans="1:7">
      <c r="A670" s="502"/>
      <c r="B670" s="503"/>
      <c r="C670" s="502"/>
      <c r="D670" s="502"/>
      <c r="E670" s="502"/>
      <c r="F670" s="502"/>
      <c r="G670" s="502"/>
    </row>
    <row r="671" customFormat="1" ht="34.15" customHeight="1" spans="1:7">
      <c r="A671" s="502"/>
      <c r="B671" s="503"/>
      <c r="C671" s="502"/>
      <c r="D671" s="502"/>
      <c r="E671" s="502"/>
      <c r="F671" s="502"/>
      <c r="G671" s="502"/>
    </row>
    <row r="672" customFormat="1" ht="34.15" customHeight="1" spans="1:7">
      <c r="A672" s="502"/>
      <c r="B672" s="503"/>
      <c r="C672" s="502"/>
      <c r="D672" s="502"/>
      <c r="E672" s="502"/>
      <c r="F672" s="502"/>
      <c r="G672" s="502"/>
    </row>
    <row r="673" customFormat="1" ht="34.15" customHeight="1" spans="1:7">
      <c r="A673" s="502"/>
      <c r="B673" s="503"/>
      <c r="C673" s="502"/>
      <c r="D673" s="502"/>
      <c r="E673" s="502"/>
      <c r="F673" s="502"/>
      <c r="G673" s="502"/>
    </row>
    <row r="674" customFormat="1" ht="34.15" customHeight="1" spans="1:7">
      <c r="A674" s="502"/>
      <c r="B674" s="503"/>
      <c r="C674" s="502"/>
      <c r="D674" s="502"/>
      <c r="E674" s="502"/>
      <c r="F674" s="502"/>
      <c r="G674" s="502"/>
    </row>
    <row r="675" customFormat="1" ht="34.15" customHeight="1" spans="1:7">
      <c r="A675" s="502"/>
      <c r="B675" s="503"/>
      <c r="C675" s="502"/>
      <c r="D675" s="502"/>
      <c r="E675" s="502"/>
      <c r="F675" s="502"/>
      <c r="G675" s="502"/>
    </row>
    <row r="676" customFormat="1" ht="34.15" customHeight="1" spans="1:7">
      <c r="A676" s="502"/>
      <c r="B676" s="503"/>
      <c r="C676" s="502"/>
      <c r="D676" s="502"/>
      <c r="E676" s="502"/>
      <c r="F676" s="502"/>
      <c r="G676" s="502"/>
    </row>
    <row r="677" customFormat="1" ht="34.15" customHeight="1" spans="1:7">
      <c r="A677" s="502"/>
      <c r="B677" s="503"/>
      <c r="C677" s="502"/>
      <c r="D677" s="502"/>
      <c r="E677" s="502"/>
      <c r="F677" s="502"/>
      <c r="G677" s="502"/>
    </row>
    <row r="678" customFormat="1" ht="34.15" customHeight="1" spans="1:7">
      <c r="A678" s="502"/>
      <c r="B678" s="503"/>
      <c r="C678" s="502"/>
      <c r="D678" s="502"/>
      <c r="E678" s="502"/>
      <c r="F678" s="502"/>
      <c r="G678" s="502"/>
    </row>
    <row r="679" customFormat="1" ht="34.15" customHeight="1" spans="1:7">
      <c r="A679" s="502"/>
      <c r="B679" s="503"/>
      <c r="C679" s="502"/>
      <c r="D679" s="502"/>
      <c r="E679" s="502"/>
      <c r="F679" s="502"/>
      <c r="G679" s="502"/>
    </row>
    <row r="680" customFormat="1" ht="34.15" customHeight="1" spans="1:7">
      <c r="A680" s="502"/>
      <c r="B680" s="503"/>
      <c r="C680" s="502"/>
      <c r="D680" s="502"/>
      <c r="E680" s="502"/>
      <c r="F680" s="502"/>
      <c r="G680" s="502"/>
    </row>
    <row r="681" customFormat="1" ht="34.15" customHeight="1" spans="1:7">
      <c r="A681" s="502"/>
      <c r="B681" s="503"/>
      <c r="C681" s="502"/>
      <c r="D681" s="502"/>
      <c r="E681" s="502"/>
      <c r="F681" s="502"/>
      <c r="G681" s="502"/>
    </row>
    <row r="682" customFormat="1" ht="34.15" customHeight="1" spans="1:7">
      <c r="A682" s="502"/>
      <c r="B682" s="503"/>
      <c r="C682" s="502"/>
      <c r="D682" s="502"/>
      <c r="E682" s="502"/>
      <c r="F682" s="502"/>
      <c r="G682" s="502"/>
    </row>
    <row r="683" customFormat="1" ht="34.15" customHeight="1" spans="1:7">
      <c r="A683" s="502"/>
      <c r="B683" s="503"/>
      <c r="C683" s="502"/>
      <c r="D683" s="502"/>
      <c r="E683" s="502"/>
      <c r="F683" s="502"/>
      <c r="G683" s="502"/>
    </row>
    <row r="684" customFormat="1" ht="34.15" customHeight="1" spans="1:7">
      <c r="A684" s="502"/>
      <c r="B684" s="503"/>
      <c r="C684" s="502"/>
      <c r="D684" s="502"/>
      <c r="E684" s="502"/>
      <c r="F684" s="502"/>
      <c r="G684" s="502"/>
    </row>
    <row r="685" customFormat="1" ht="34.15" customHeight="1" spans="1:7">
      <c r="A685" s="502"/>
      <c r="B685" s="503"/>
      <c r="C685" s="502"/>
      <c r="D685" s="502"/>
      <c r="E685" s="502"/>
      <c r="F685" s="502"/>
      <c r="G685" s="502"/>
    </row>
    <row r="686" customFormat="1" ht="34.15" customHeight="1" spans="1:7">
      <c r="A686" s="502"/>
      <c r="B686" s="503"/>
      <c r="C686" s="502"/>
      <c r="D686" s="502"/>
      <c r="E686" s="502"/>
      <c r="F686" s="502"/>
      <c r="G686" s="502"/>
    </row>
    <row r="687" customFormat="1" ht="34.15" customHeight="1" spans="1:7">
      <c r="A687" s="502"/>
      <c r="B687" s="503"/>
      <c r="C687" s="502"/>
      <c r="D687" s="502"/>
      <c r="E687" s="502"/>
      <c r="F687" s="502"/>
      <c r="G687" s="502"/>
    </row>
    <row r="688" customFormat="1" ht="34.15" customHeight="1" spans="1:7">
      <c r="A688" s="502"/>
      <c r="B688" s="503"/>
      <c r="C688" s="502"/>
      <c r="D688" s="502"/>
      <c r="E688" s="502"/>
      <c r="F688" s="502"/>
      <c r="G688" s="502"/>
    </row>
    <row r="689" customFormat="1" ht="34.15" customHeight="1" spans="1:7">
      <c r="A689" s="502"/>
      <c r="B689" s="503"/>
      <c r="C689" s="502"/>
      <c r="D689" s="502"/>
      <c r="E689" s="502"/>
      <c r="F689" s="502"/>
      <c r="G689" s="502"/>
    </row>
    <row r="690" customFormat="1" ht="34.15" customHeight="1" spans="1:7">
      <c r="A690" s="502"/>
      <c r="B690" s="503"/>
      <c r="C690" s="502"/>
      <c r="D690" s="502"/>
      <c r="E690" s="502"/>
      <c r="F690" s="502"/>
      <c r="G690" s="502"/>
    </row>
    <row r="691" customFormat="1" ht="34.15" customHeight="1" spans="1:7">
      <c r="A691" s="502"/>
      <c r="B691" s="503"/>
      <c r="C691" s="502"/>
      <c r="D691" s="502"/>
      <c r="E691" s="502"/>
      <c r="F691" s="502"/>
      <c r="G691" s="502"/>
    </row>
    <row r="692" customFormat="1" ht="34.15" customHeight="1" spans="1:7">
      <c r="A692" s="502"/>
      <c r="B692" s="503"/>
      <c r="C692" s="502"/>
      <c r="D692" s="502"/>
      <c r="E692" s="502"/>
      <c r="F692" s="502"/>
      <c r="G692" s="502"/>
    </row>
    <row r="693" customFormat="1" ht="34.15" customHeight="1" spans="1:7">
      <c r="A693" s="502"/>
      <c r="B693" s="503"/>
      <c r="C693" s="502"/>
      <c r="D693" s="502"/>
      <c r="E693" s="502"/>
      <c r="F693" s="502"/>
      <c r="G693" s="502"/>
    </row>
    <row r="694" customFormat="1" ht="34.15" customHeight="1" spans="1:7">
      <c r="A694" s="502"/>
      <c r="B694" s="503"/>
      <c r="C694" s="502"/>
      <c r="D694" s="502"/>
      <c r="E694" s="502"/>
      <c r="F694" s="502"/>
      <c r="G694" s="502"/>
    </row>
    <row r="695" customFormat="1" ht="34.15" customHeight="1" spans="1:7">
      <c r="A695" s="502"/>
      <c r="B695" s="503"/>
      <c r="C695" s="502"/>
      <c r="D695" s="502"/>
      <c r="E695" s="502"/>
      <c r="F695" s="502"/>
      <c r="G695" s="502"/>
    </row>
    <row r="696" customFormat="1" ht="34.15" customHeight="1" spans="1:7">
      <c r="A696" s="502"/>
      <c r="B696" s="503"/>
      <c r="C696" s="502"/>
      <c r="D696" s="502"/>
      <c r="E696" s="502"/>
      <c r="F696" s="502"/>
      <c r="G696" s="502"/>
    </row>
    <row r="697" customFormat="1" ht="34.15" customHeight="1" spans="1:7">
      <c r="A697" s="502"/>
      <c r="B697" s="503"/>
      <c r="C697" s="502"/>
      <c r="D697" s="502"/>
      <c r="E697" s="502"/>
      <c r="F697" s="502"/>
      <c r="G697" s="502"/>
    </row>
    <row r="698" customFormat="1" ht="34.15" customHeight="1" spans="1:7">
      <c r="A698" s="502"/>
      <c r="B698" s="503"/>
      <c r="C698" s="502"/>
      <c r="D698" s="502"/>
      <c r="E698" s="502"/>
      <c r="F698" s="502"/>
      <c r="G698" s="502"/>
    </row>
    <row r="699" customFormat="1" ht="34.15" customHeight="1" spans="1:7">
      <c r="A699" s="502"/>
      <c r="B699" s="503"/>
      <c r="C699" s="502"/>
      <c r="D699" s="502"/>
      <c r="E699" s="502"/>
      <c r="F699" s="502"/>
      <c r="G699" s="502"/>
    </row>
    <row r="700" customFormat="1" ht="34.15" customHeight="1" spans="1:7">
      <c r="A700" s="502"/>
      <c r="B700" s="503"/>
      <c r="C700" s="502"/>
      <c r="D700" s="502"/>
      <c r="E700" s="502"/>
      <c r="F700" s="502"/>
      <c r="G700" s="502"/>
    </row>
    <row r="701" customFormat="1" ht="34.15" customHeight="1" spans="1:7">
      <c r="A701" s="502"/>
      <c r="B701" s="503"/>
      <c r="C701" s="502"/>
      <c r="D701" s="502"/>
      <c r="E701" s="502"/>
      <c r="F701" s="502"/>
      <c r="G701" s="502"/>
    </row>
    <row r="702" customFormat="1" ht="34.15" customHeight="1" spans="1:7">
      <c r="A702" s="502"/>
      <c r="B702" s="503"/>
      <c r="C702" s="502"/>
      <c r="D702" s="502"/>
      <c r="E702" s="502"/>
      <c r="F702" s="502"/>
      <c r="G702" s="502"/>
    </row>
    <row r="703" customFormat="1" ht="34.15" customHeight="1" spans="1:7">
      <c r="A703" s="502"/>
      <c r="B703" s="503"/>
      <c r="C703" s="502"/>
      <c r="D703" s="502"/>
      <c r="E703" s="502"/>
      <c r="F703" s="502"/>
      <c r="G703" s="502"/>
    </row>
    <row r="704" customFormat="1" ht="34.15" customHeight="1" spans="1:7">
      <c r="A704" s="502"/>
      <c r="B704" s="503"/>
      <c r="C704" s="502"/>
      <c r="D704" s="502"/>
      <c r="E704" s="502"/>
      <c r="F704" s="502"/>
      <c r="G704" s="502"/>
    </row>
    <row r="705" customFormat="1" ht="34.15" customHeight="1" spans="1:7">
      <c r="A705" s="502"/>
      <c r="B705" s="503"/>
      <c r="C705" s="502"/>
      <c r="D705" s="502"/>
      <c r="E705" s="502"/>
      <c r="F705" s="502"/>
      <c r="G705" s="502"/>
    </row>
    <row r="706" customFormat="1" ht="34.15" customHeight="1" spans="1:7">
      <c r="A706" s="502"/>
      <c r="B706" s="503"/>
      <c r="C706" s="502"/>
      <c r="D706" s="502"/>
      <c r="E706" s="502"/>
      <c r="F706" s="502"/>
      <c r="G706" s="502"/>
    </row>
    <row r="707" customFormat="1" ht="34.15" customHeight="1" spans="1:7">
      <c r="A707" s="502"/>
      <c r="B707" s="503"/>
      <c r="C707" s="502"/>
      <c r="D707" s="502"/>
      <c r="E707" s="502"/>
      <c r="F707" s="502"/>
      <c r="G707" s="502"/>
    </row>
    <row r="708" customFormat="1" ht="34.15" customHeight="1" spans="1:7">
      <c r="A708" s="502"/>
      <c r="B708" s="503"/>
      <c r="C708" s="502"/>
      <c r="D708" s="502"/>
      <c r="E708" s="502"/>
      <c r="F708" s="502"/>
      <c r="G708" s="502"/>
    </row>
    <row r="709" customFormat="1" ht="34.15" customHeight="1" spans="1:7">
      <c r="A709" s="502"/>
      <c r="B709" s="503"/>
      <c r="C709" s="502"/>
      <c r="D709" s="502"/>
      <c r="E709" s="502"/>
      <c r="F709" s="502"/>
      <c r="G709" s="502"/>
    </row>
    <row r="710" customFormat="1" ht="34.15" customHeight="1" spans="1:7">
      <c r="A710" s="502"/>
      <c r="B710" s="503"/>
      <c r="C710" s="502"/>
      <c r="D710" s="502"/>
      <c r="E710" s="502"/>
      <c r="F710" s="502"/>
      <c r="G710" s="502"/>
    </row>
    <row r="711" customFormat="1" ht="34.15" customHeight="1" spans="1:7">
      <c r="A711" s="502"/>
      <c r="B711" s="503"/>
      <c r="C711" s="502"/>
      <c r="D711" s="502"/>
      <c r="E711" s="502"/>
      <c r="F711" s="502"/>
      <c r="G711" s="502"/>
    </row>
    <row r="712" customFormat="1" ht="34.15" customHeight="1" spans="1:7">
      <c r="A712" s="502"/>
      <c r="B712" s="503"/>
      <c r="C712" s="502"/>
      <c r="D712" s="502"/>
      <c r="E712" s="502"/>
      <c r="F712" s="502"/>
      <c r="G712" s="502"/>
    </row>
    <row r="713" customFormat="1" ht="34.15" customHeight="1" spans="1:7">
      <c r="A713" s="502"/>
      <c r="B713" s="503"/>
      <c r="C713" s="502"/>
      <c r="D713" s="502"/>
      <c r="E713" s="502"/>
      <c r="F713" s="502"/>
      <c r="G713" s="502"/>
    </row>
    <row r="714" customFormat="1" ht="34.15" customHeight="1" spans="1:7">
      <c r="A714" s="502"/>
      <c r="B714" s="503"/>
      <c r="C714" s="502"/>
      <c r="D714" s="502"/>
      <c r="E714" s="502"/>
      <c r="F714" s="502"/>
      <c r="G714" s="502"/>
    </row>
    <row r="715" customFormat="1" ht="34.15" customHeight="1" spans="1:7">
      <c r="A715" s="502"/>
      <c r="B715" s="503"/>
      <c r="C715" s="502"/>
      <c r="D715" s="502"/>
      <c r="E715" s="502"/>
      <c r="F715" s="502"/>
      <c r="G715" s="502"/>
    </row>
    <row r="716" customFormat="1" ht="34.15" customHeight="1" spans="1:7">
      <c r="A716" s="502"/>
      <c r="B716" s="503"/>
      <c r="C716" s="502"/>
      <c r="D716" s="502"/>
      <c r="E716" s="502"/>
      <c r="F716" s="502"/>
      <c r="G716" s="502"/>
    </row>
    <row r="717" customFormat="1" ht="34.15" customHeight="1" spans="1:7">
      <c r="A717" s="502"/>
      <c r="B717" s="503"/>
      <c r="C717" s="502"/>
      <c r="D717" s="502"/>
      <c r="E717" s="502"/>
      <c r="F717" s="502"/>
      <c r="G717" s="502"/>
    </row>
    <row r="718" customFormat="1" ht="34.15" customHeight="1" spans="1:7">
      <c r="A718" s="502"/>
      <c r="B718" s="503"/>
      <c r="C718" s="502"/>
      <c r="D718" s="502"/>
      <c r="E718" s="502"/>
      <c r="F718" s="502"/>
      <c r="G718" s="502"/>
    </row>
    <row r="719" customFormat="1" ht="34.15" customHeight="1" spans="1:7">
      <c r="A719" s="502"/>
      <c r="B719" s="503"/>
      <c r="C719" s="502"/>
      <c r="D719" s="502"/>
      <c r="E719" s="502"/>
      <c r="F719" s="502"/>
      <c r="G719" s="502"/>
    </row>
    <row r="720" customFormat="1" ht="34.15" customHeight="1" spans="1:7">
      <c r="A720" s="502"/>
      <c r="B720" s="503"/>
      <c r="C720" s="502"/>
      <c r="D720" s="502"/>
      <c r="E720" s="502"/>
      <c r="F720" s="502"/>
      <c r="G720" s="502"/>
    </row>
    <row r="721" customFormat="1" ht="34.15" customHeight="1" spans="1:7">
      <c r="A721" s="502"/>
      <c r="B721" s="503"/>
      <c r="C721" s="502"/>
      <c r="D721" s="502"/>
      <c r="E721" s="502"/>
      <c r="F721" s="502"/>
      <c r="G721" s="502"/>
    </row>
    <row r="722" customFormat="1" ht="34.15" customHeight="1" spans="1:7">
      <c r="A722" s="502"/>
      <c r="B722" s="503"/>
      <c r="C722" s="502"/>
      <c r="D722" s="502"/>
      <c r="E722" s="502"/>
      <c r="F722" s="502"/>
      <c r="G722" s="502"/>
    </row>
    <row r="723" customFormat="1" ht="34.15" customHeight="1" spans="1:7">
      <c r="A723" s="502"/>
      <c r="B723" s="503"/>
      <c r="C723" s="502"/>
      <c r="D723" s="502"/>
      <c r="E723" s="502"/>
      <c r="F723" s="502"/>
      <c r="G723" s="502"/>
    </row>
    <row r="724" customFormat="1" ht="34.15" customHeight="1" spans="1:7">
      <c r="A724" s="502"/>
      <c r="B724" s="503"/>
      <c r="C724" s="502"/>
      <c r="D724" s="502"/>
      <c r="E724" s="502"/>
      <c r="F724" s="502"/>
      <c r="G724" s="502"/>
    </row>
    <row r="725" customFormat="1" ht="34.15" customHeight="1" spans="1:7">
      <c r="A725" s="502"/>
      <c r="B725" s="503"/>
      <c r="C725" s="502"/>
      <c r="D725" s="502"/>
      <c r="E725" s="502"/>
      <c r="F725" s="502"/>
      <c r="G725" s="502"/>
    </row>
    <row r="726" customFormat="1" ht="34.15" customHeight="1" spans="1:7">
      <c r="A726" s="502"/>
      <c r="B726" s="503"/>
      <c r="C726" s="502"/>
      <c r="D726" s="502"/>
      <c r="E726" s="502"/>
      <c r="F726" s="502"/>
      <c r="G726" s="502"/>
    </row>
    <row r="727" customFormat="1" ht="34.15" customHeight="1" spans="1:7">
      <c r="A727" s="502"/>
      <c r="B727" s="503"/>
      <c r="C727" s="502"/>
      <c r="D727" s="502"/>
      <c r="E727" s="502"/>
      <c r="F727" s="502"/>
      <c r="G727" s="502"/>
    </row>
    <row r="728" customFormat="1" ht="34.15" customHeight="1" spans="1:7">
      <c r="A728" s="502"/>
      <c r="B728" s="503"/>
      <c r="C728" s="502"/>
      <c r="D728" s="502"/>
      <c r="E728" s="502"/>
      <c r="F728" s="502"/>
      <c r="G728" s="502"/>
    </row>
    <row r="729" customFormat="1" ht="34.15" customHeight="1" spans="1:7">
      <c r="A729" s="502"/>
      <c r="B729" s="503"/>
      <c r="C729" s="502"/>
      <c r="D729" s="502"/>
      <c r="E729" s="502"/>
      <c r="F729" s="502"/>
      <c r="G729" s="502"/>
    </row>
    <row r="730" customFormat="1" ht="34.15" customHeight="1" spans="1:7">
      <c r="A730" s="502"/>
      <c r="B730" s="503"/>
      <c r="C730" s="502"/>
      <c r="D730" s="502"/>
      <c r="E730" s="502"/>
      <c r="F730" s="502"/>
      <c r="G730" s="502"/>
    </row>
    <row r="731" customFormat="1" ht="34.15" customHeight="1" spans="1:7">
      <c r="A731" s="502"/>
      <c r="B731" s="503"/>
      <c r="C731" s="502"/>
      <c r="D731" s="502"/>
      <c r="E731" s="502"/>
      <c r="F731" s="502"/>
      <c r="G731" s="502"/>
    </row>
    <row r="732" customFormat="1" ht="34.15" customHeight="1" spans="1:7">
      <c r="A732" s="502"/>
      <c r="B732" s="503"/>
      <c r="C732" s="502"/>
      <c r="D732" s="502"/>
      <c r="E732" s="502"/>
      <c r="F732" s="502"/>
      <c r="G732" s="502"/>
    </row>
    <row r="733" customFormat="1" ht="34.15" customHeight="1" spans="1:7">
      <c r="A733" s="502"/>
      <c r="B733" s="503"/>
      <c r="C733" s="502"/>
      <c r="D733" s="502"/>
      <c r="E733" s="502"/>
      <c r="F733" s="502"/>
      <c r="G733" s="502"/>
    </row>
    <row r="734" customFormat="1" ht="34.15" customHeight="1" spans="1:7">
      <c r="A734" s="502"/>
      <c r="B734" s="503"/>
      <c r="C734" s="502"/>
      <c r="D734" s="502"/>
      <c r="E734" s="502"/>
      <c r="F734" s="502"/>
      <c r="G734" s="502"/>
    </row>
    <row r="735" customFormat="1" ht="34.15" customHeight="1" spans="1:7">
      <c r="A735" s="502"/>
      <c r="B735" s="503"/>
      <c r="C735" s="502"/>
      <c r="D735" s="502"/>
      <c r="E735" s="502"/>
      <c r="F735" s="502"/>
      <c r="G735" s="502"/>
    </row>
    <row r="736" customFormat="1" ht="34.15" customHeight="1" spans="1:7">
      <c r="A736" s="502"/>
      <c r="B736" s="503"/>
      <c r="C736" s="502"/>
      <c r="D736" s="502"/>
      <c r="E736" s="502"/>
      <c r="F736" s="502"/>
      <c r="G736" s="502"/>
    </row>
    <row r="737" customFormat="1" ht="34.15" customHeight="1" spans="1:7">
      <c r="A737" s="502"/>
      <c r="B737" s="503"/>
      <c r="C737" s="502"/>
      <c r="D737" s="502"/>
      <c r="E737" s="502"/>
      <c r="F737" s="502"/>
      <c r="G737" s="502"/>
    </row>
    <row r="738" customFormat="1" ht="34.15" customHeight="1" spans="1:7">
      <c r="A738" s="502"/>
      <c r="B738" s="503"/>
      <c r="C738" s="502"/>
      <c r="D738" s="502"/>
      <c r="E738" s="502"/>
      <c r="F738" s="502"/>
      <c r="G738" s="502"/>
    </row>
    <row r="739" customFormat="1" ht="34.15" customHeight="1" spans="1:7">
      <c r="A739" s="502"/>
      <c r="B739" s="503"/>
      <c r="C739" s="502"/>
      <c r="D739" s="502"/>
      <c r="E739" s="502"/>
      <c r="F739" s="502"/>
      <c r="G739" s="502"/>
    </row>
    <row r="740" customFormat="1" ht="34.15" customHeight="1" spans="1:7">
      <c r="A740" s="502"/>
      <c r="B740" s="503"/>
      <c r="C740" s="502"/>
      <c r="D740" s="502"/>
      <c r="E740" s="502"/>
      <c r="F740" s="502"/>
      <c r="G740" s="502"/>
    </row>
    <row r="741" customFormat="1" ht="34.15" customHeight="1" spans="1:7">
      <c r="A741" s="502"/>
      <c r="B741" s="503"/>
      <c r="C741" s="502"/>
      <c r="D741" s="502"/>
      <c r="E741" s="502"/>
      <c r="F741" s="502"/>
      <c r="G741" s="502"/>
    </row>
    <row r="742" customFormat="1" ht="34.15" customHeight="1" spans="1:7">
      <c r="A742" s="502"/>
      <c r="B742" s="503"/>
      <c r="C742" s="502"/>
      <c r="D742" s="502"/>
      <c r="E742" s="502"/>
      <c r="F742" s="502"/>
      <c r="G742" s="502"/>
    </row>
    <row r="743" customFormat="1" ht="34.15" customHeight="1" spans="1:7">
      <c r="A743" s="502"/>
      <c r="B743" s="503"/>
      <c r="C743" s="502"/>
      <c r="D743" s="502"/>
      <c r="E743" s="502"/>
      <c r="F743" s="502"/>
      <c r="G743" s="502"/>
    </row>
    <row r="744" customFormat="1" ht="34.15" customHeight="1" spans="1:7">
      <c r="A744" s="502"/>
      <c r="B744" s="503"/>
      <c r="C744" s="502"/>
      <c r="D744" s="502"/>
      <c r="E744" s="502"/>
      <c r="F744" s="502"/>
      <c r="G744" s="502"/>
    </row>
    <row r="745" customFormat="1" ht="34.15" customHeight="1" spans="1:7">
      <c r="A745" s="502"/>
      <c r="B745" s="503"/>
      <c r="C745" s="502"/>
      <c r="D745" s="502"/>
      <c r="E745" s="502"/>
      <c r="F745" s="502"/>
      <c r="G745" s="502"/>
    </row>
    <row r="746" customFormat="1" ht="34.15" customHeight="1" spans="1:7">
      <c r="A746" s="502"/>
      <c r="B746" s="503"/>
      <c r="C746" s="502"/>
      <c r="D746" s="502"/>
      <c r="E746" s="502"/>
      <c r="F746" s="502"/>
      <c r="G746" s="502"/>
    </row>
    <row r="747" customFormat="1" ht="34.15" customHeight="1" spans="1:7">
      <c r="A747" s="502"/>
      <c r="B747" s="503"/>
      <c r="C747" s="502"/>
      <c r="D747" s="502"/>
      <c r="E747" s="502"/>
      <c r="F747" s="502"/>
      <c r="G747" s="502"/>
    </row>
    <row r="748" customFormat="1" ht="34.15" customHeight="1" spans="1:7">
      <c r="A748" s="502"/>
      <c r="B748" s="503"/>
      <c r="C748" s="502"/>
      <c r="D748" s="502"/>
      <c r="E748" s="502"/>
      <c r="F748" s="502"/>
      <c r="G748" s="502"/>
    </row>
    <row r="749" customFormat="1" ht="34.15" customHeight="1" spans="1:7">
      <c r="A749" s="502"/>
      <c r="B749" s="503"/>
      <c r="C749" s="502"/>
      <c r="D749" s="502"/>
      <c r="E749" s="502"/>
      <c r="F749" s="502"/>
      <c r="G749" s="502"/>
    </row>
    <row r="750" customFormat="1" ht="34.15" customHeight="1" spans="1:7">
      <c r="A750" s="502"/>
      <c r="B750" s="503"/>
      <c r="C750" s="502"/>
      <c r="D750" s="502"/>
      <c r="E750" s="502"/>
      <c r="F750" s="502"/>
      <c r="G750" s="502"/>
    </row>
    <row r="751" customFormat="1" ht="34.15" customHeight="1" spans="1:7">
      <c r="A751" s="502"/>
      <c r="B751" s="503"/>
      <c r="C751" s="502"/>
      <c r="D751" s="502"/>
      <c r="E751" s="502"/>
      <c r="F751" s="502"/>
      <c r="G751" s="502"/>
    </row>
    <row r="752" customFormat="1" ht="34.15" customHeight="1" spans="1:7">
      <c r="A752" s="502"/>
      <c r="B752" s="503"/>
      <c r="C752" s="502"/>
      <c r="D752" s="502"/>
      <c r="E752" s="502"/>
      <c r="F752" s="502"/>
      <c r="G752" s="502"/>
    </row>
    <row r="753" customFormat="1" ht="34.15" customHeight="1" spans="1:7">
      <c r="A753" s="502"/>
      <c r="B753" s="503"/>
      <c r="C753" s="502"/>
      <c r="D753" s="502"/>
      <c r="E753" s="502"/>
      <c r="F753" s="502"/>
      <c r="G753" s="502"/>
    </row>
    <row r="754" customFormat="1" ht="34.15" customHeight="1" spans="1:7">
      <c r="A754" s="502"/>
      <c r="B754" s="503"/>
      <c r="C754" s="502"/>
      <c r="D754" s="502"/>
      <c r="E754" s="502"/>
      <c r="F754" s="502"/>
      <c r="G754" s="502"/>
    </row>
    <row r="755" customFormat="1" ht="34.15" customHeight="1" spans="1:7">
      <c r="A755" s="502"/>
      <c r="B755" s="503"/>
      <c r="C755" s="502"/>
      <c r="D755" s="502"/>
      <c r="E755" s="502"/>
      <c r="F755" s="502"/>
      <c r="G755" s="502"/>
    </row>
    <row r="756" customFormat="1" ht="34.15" customHeight="1" spans="1:7">
      <c r="A756" s="502"/>
      <c r="B756" s="503"/>
      <c r="C756" s="502"/>
      <c r="D756" s="502"/>
      <c r="E756" s="502"/>
      <c r="F756" s="502"/>
      <c r="G756" s="502"/>
    </row>
    <row r="757" customFormat="1" ht="34.15" customHeight="1" spans="1:7">
      <c r="A757" s="502"/>
      <c r="B757" s="503"/>
      <c r="C757" s="502"/>
      <c r="D757" s="502"/>
      <c r="E757" s="502"/>
      <c r="F757" s="502"/>
      <c r="G757" s="502"/>
    </row>
    <row r="758" customFormat="1" ht="34.15" customHeight="1" spans="1:7">
      <c r="A758" s="502"/>
      <c r="B758" s="503"/>
      <c r="C758" s="502"/>
      <c r="D758" s="502"/>
      <c r="E758" s="502"/>
      <c r="F758" s="502"/>
      <c r="G758" s="502"/>
    </row>
    <row r="759" customFormat="1" ht="34.15" customHeight="1" spans="1:7">
      <c r="A759" s="502"/>
      <c r="B759" s="503"/>
      <c r="C759" s="502"/>
      <c r="D759" s="502"/>
      <c r="E759" s="502"/>
      <c r="F759" s="502"/>
      <c r="G759" s="502"/>
    </row>
    <row r="760" customFormat="1" ht="34.15" customHeight="1" spans="1:7">
      <c r="A760" s="502"/>
      <c r="B760" s="503"/>
      <c r="C760" s="502"/>
      <c r="D760" s="502"/>
      <c r="E760" s="502"/>
      <c r="F760" s="502"/>
      <c r="G760" s="502"/>
    </row>
    <row r="761" customFormat="1" ht="34.15" customHeight="1" spans="1:7">
      <c r="A761" s="502"/>
      <c r="B761" s="503"/>
      <c r="C761" s="502"/>
      <c r="D761" s="502"/>
      <c r="E761" s="502"/>
      <c r="F761" s="502"/>
      <c r="G761" s="502"/>
    </row>
    <row r="762" customFormat="1" ht="34.15" customHeight="1" spans="1:7">
      <c r="A762" s="502"/>
      <c r="B762" s="503"/>
      <c r="C762" s="502"/>
      <c r="D762" s="502"/>
      <c r="E762" s="502"/>
      <c r="F762" s="502"/>
      <c r="G762" s="502"/>
    </row>
    <row r="763" customFormat="1" ht="34.15" customHeight="1" spans="1:7">
      <c r="A763" s="502"/>
      <c r="B763" s="503"/>
      <c r="C763" s="502"/>
      <c r="D763" s="502"/>
      <c r="E763" s="502"/>
      <c r="F763" s="502"/>
      <c r="G763" s="502"/>
    </row>
    <row r="764" customFormat="1" ht="34.15" customHeight="1" spans="1:7">
      <c r="A764" s="502"/>
      <c r="B764" s="503"/>
      <c r="C764" s="502"/>
      <c r="D764" s="502"/>
      <c r="E764" s="502"/>
      <c r="F764" s="502"/>
      <c r="G764" s="502"/>
    </row>
    <row r="765" customFormat="1" ht="34.15" customHeight="1" spans="1:7">
      <c r="A765" s="502"/>
      <c r="B765" s="503"/>
      <c r="C765" s="502"/>
      <c r="D765" s="502"/>
      <c r="E765" s="502"/>
      <c r="F765" s="502"/>
      <c r="G765" s="502"/>
    </row>
    <row r="766" customFormat="1" ht="34.15" customHeight="1" spans="1:7">
      <c r="A766" s="502"/>
      <c r="B766" s="503"/>
      <c r="C766" s="502"/>
      <c r="D766" s="502"/>
      <c r="E766" s="502"/>
      <c r="F766" s="502"/>
      <c r="G766" s="502"/>
    </row>
    <row r="767" customFormat="1" ht="34.15" customHeight="1" spans="1:7">
      <c r="A767" s="502"/>
      <c r="B767" s="503"/>
      <c r="C767" s="502"/>
      <c r="D767" s="502"/>
      <c r="E767" s="502"/>
      <c r="F767" s="502"/>
      <c r="G767" s="502"/>
    </row>
    <row r="768" customFormat="1" ht="34.15" customHeight="1" spans="1:7">
      <c r="A768" s="502"/>
      <c r="B768" s="503"/>
      <c r="C768" s="502"/>
      <c r="D768" s="502"/>
      <c r="E768" s="502"/>
      <c r="F768" s="502"/>
      <c r="G768" s="502"/>
    </row>
    <row r="769" customFormat="1" ht="34.15" customHeight="1" spans="1:7">
      <c r="A769" s="502"/>
      <c r="B769" s="503"/>
      <c r="C769" s="502"/>
      <c r="D769" s="502"/>
      <c r="E769" s="502"/>
      <c r="F769" s="502"/>
      <c r="G769" s="502"/>
    </row>
    <row r="770" customFormat="1" ht="34.15" customHeight="1" spans="1:7">
      <c r="A770" s="502"/>
      <c r="B770" s="503"/>
      <c r="C770" s="502"/>
      <c r="D770" s="502"/>
      <c r="E770" s="502"/>
      <c r="F770" s="502"/>
      <c r="G770" s="502"/>
    </row>
    <row r="771" customFormat="1" ht="34.15" customHeight="1" spans="1:7">
      <c r="A771" s="502"/>
      <c r="B771" s="503"/>
      <c r="C771" s="502"/>
      <c r="D771" s="502"/>
      <c r="E771" s="502"/>
      <c r="F771" s="502"/>
      <c r="G771" s="502"/>
    </row>
    <row r="772" customFormat="1" ht="34.15" customHeight="1" spans="1:7">
      <c r="A772" s="502"/>
      <c r="B772" s="503"/>
      <c r="C772" s="502"/>
      <c r="D772" s="502"/>
      <c r="E772" s="502"/>
      <c r="F772" s="502"/>
      <c r="G772" s="502"/>
    </row>
    <row r="773" customFormat="1" ht="34.15" customHeight="1" spans="1:7">
      <c r="A773" s="502"/>
      <c r="B773" s="503"/>
      <c r="C773" s="502"/>
      <c r="D773" s="502"/>
      <c r="E773" s="502"/>
      <c r="F773" s="502"/>
      <c r="G773" s="502"/>
    </row>
    <row r="774" customFormat="1" ht="34.15" customHeight="1" spans="1:7">
      <c r="A774" s="502"/>
      <c r="B774" s="503"/>
      <c r="C774" s="502"/>
      <c r="D774" s="502"/>
      <c r="E774" s="502"/>
      <c r="F774" s="502"/>
      <c r="G774" s="502"/>
    </row>
    <row r="775" customFormat="1" ht="34.15" customHeight="1" spans="1:7">
      <c r="A775" s="502"/>
      <c r="B775" s="503"/>
      <c r="C775" s="502"/>
      <c r="D775" s="502"/>
      <c r="E775" s="502"/>
      <c r="F775" s="502"/>
      <c r="G775" s="502"/>
    </row>
    <row r="776" customFormat="1" ht="34.15" customHeight="1" spans="1:7">
      <c r="A776" s="502"/>
      <c r="B776" s="503"/>
      <c r="C776" s="502"/>
      <c r="D776" s="502"/>
      <c r="E776" s="502"/>
      <c r="F776" s="502"/>
      <c r="G776" s="502"/>
    </row>
    <row r="777" customFormat="1" ht="34.15" customHeight="1" spans="1:7">
      <c r="A777" s="502"/>
      <c r="B777" s="503"/>
      <c r="C777" s="502"/>
      <c r="D777" s="502"/>
      <c r="E777" s="502"/>
      <c r="F777" s="502"/>
      <c r="G777" s="502"/>
    </row>
    <row r="778" customFormat="1" ht="34.15" customHeight="1" spans="1:7">
      <c r="A778" s="502"/>
      <c r="B778" s="503"/>
      <c r="C778" s="502"/>
      <c r="D778" s="502"/>
      <c r="E778" s="502"/>
      <c r="F778" s="502"/>
      <c r="G778" s="502"/>
    </row>
    <row r="779" customFormat="1" ht="34.15" customHeight="1" spans="1:7">
      <c r="A779" s="502"/>
      <c r="B779" s="503"/>
      <c r="C779" s="502"/>
      <c r="D779" s="502"/>
      <c r="E779" s="502"/>
      <c r="F779" s="502"/>
      <c r="G779" s="502"/>
    </row>
    <row r="780" customFormat="1" ht="34.15" customHeight="1" spans="1:7">
      <c r="A780" s="502"/>
      <c r="B780" s="503"/>
      <c r="C780" s="502"/>
      <c r="D780" s="502"/>
      <c r="E780" s="502"/>
      <c r="F780" s="502"/>
      <c r="G780" s="502"/>
    </row>
    <row r="781" customFormat="1" ht="34.15" customHeight="1" spans="1:7">
      <c r="A781" s="502"/>
      <c r="B781" s="503"/>
      <c r="C781" s="502"/>
      <c r="D781" s="502"/>
      <c r="E781" s="502"/>
      <c r="F781" s="502"/>
      <c r="G781" s="502"/>
    </row>
    <row r="782" customFormat="1" ht="34.15" customHeight="1" spans="1:7">
      <c r="A782" s="502"/>
      <c r="B782" s="503"/>
      <c r="C782" s="502"/>
      <c r="D782" s="502"/>
      <c r="E782" s="502"/>
      <c r="F782" s="502"/>
      <c r="G782" s="502"/>
    </row>
    <row r="783" customFormat="1" ht="34.15" customHeight="1" spans="1:7">
      <c r="A783" s="502"/>
      <c r="B783" s="503"/>
      <c r="C783" s="502"/>
      <c r="D783" s="502"/>
      <c r="E783" s="502"/>
      <c r="F783" s="502"/>
      <c r="G783" s="502"/>
    </row>
    <row r="784" customFormat="1" ht="34.15" customHeight="1" spans="1:7">
      <c r="A784" s="502"/>
      <c r="B784" s="503"/>
      <c r="C784" s="502"/>
      <c r="D784" s="502"/>
      <c r="E784" s="502"/>
      <c r="F784" s="502"/>
      <c r="G784" s="502"/>
    </row>
    <row r="785" customFormat="1" ht="34.15" customHeight="1" spans="1:7">
      <c r="A785" s="502"/>
      <c r="B785" s="503"/>
      <c r="C785" s="502"/>
      <c r="D785" s="502"/>
      <c r="E785" s="502"/>
      <c r="F785" s="502"/>
      <c r="G785" s="502"/>
    </row>
    <row r="786" customFormat="1" ht="34.15" customHeight="1" spans="1:7">
      <c r="A786" s="502"/>
      <c r="B786" s="503"/>
      <c r="C786" s="502"/>
      <c r="D786" s="502"/>
      <c r="E786" s="502"/>
      <c r="F786" s="502"/>
      <c r="G786" s="502"/>
    </row>
    <row r="787" customFormat="1" ht="34.15" customHeight="1" spans="1:7">
      <c r="A787" s="502"/>
      <c r="B787" s="503"/>
      <c r="C787" s="502"/>
      <c r="D787" s="502"/>
      <c r="E787" s="502"/>
      <c r="F787" s="502"/>
      <c r="G787" s="502"/>
    </row>
    <row r="788" customFormat="1" ht="34.15" customHeight="1" spans="1:7">
      <c r="A788" s="502"/>
      <c r="B788" s="503"/>
      <c r="C788" s="502"/>
      <c r="D788" s="502"/>
      <c r="E788" s="502"/>
      <c r="F788" s="502"/>
      <c r="G788" s="502"/>
    </row>
    <row r="789" customFormat="1" ht="34.15" customHeight="1" spans="1:7">
      <c r="A789" s="502"/>
      <c r="B789" s="503"/>
      <c r="C789" s="502"/>
      <c r="D789" s="502"/>
      <c r="E789" s="502"/>
      <c r="F789" s="502"/>
      <c r="G789" s="502"/>
    </row>
    <row r="790" customFormat="1" ht="34.15" customHeight="1" spans="1:7">
      <c r="A790" s="502"/>
      <c r="B790" s="503"/>
      <c r="C790" s="502"/>
      <c r="D790" s="502"/>
      <c r="E790" s="502"/>
      <c r="F790" s="502"/>
      <c r="G790" s="502"/>
    </row>
    <row r="791" customFormat="1" ht="34.15" customHeight="1" spans="1:7">
      <c r="A791" s="502"/>
      <c r="B791" s="503"/>
      <c r="C791" s="502"/>
      <c r="D791" s="502"/>
      <c r="E791" s="502"/>
      <c r="F791" s="502"/>
      <c r="G791" s="502"/>
    </row>
    <row r="792" customFormat="1" ht="34.15" customHeight="1" spans="1:7">
      <c r="A792" s="502"/>
      <c r="B792" s="503"/>
      <c r="C792" s="502"/>
      <c r="D792" s="502"/>
      <c r="E792" s="502"/>
      <c r="F792" s="502"/>
      <c r="G792" s="502"/>
    </row>
    <row r="793" customFormat="1" ht="34.15" customHeight="1" spans="1:7">
      <c r="A793" s="502"/>
      <c r="B793" s="503"/>
      <c r="C793" s="502"/>
      <c r="D793" s="502"/>
      <c r="E793" s="502"/>
      <c r="F793" s="502"/>
      <c r="G793" s="502"/>
    </row>
    <row r="794" customFormat="1" ht="34.15" customHeight="1" spans="1:7">
      <c r="A794" s="502"/>
      <c r="B794" s="503"/>
      <c r="C794" s="502"/>
      <c r="D794" s="502"/>
      <c r="E794" s="502"/>
      <c r="F794" s="502"/>
      <c r="G794" s="502"/>
    </row>
    <row r="795" customFormat="1" ht="34.15" customHeight="1" spans="1:7">
      <c r="A795" s="502"/>
      <c r="B795" s="503"/>
      <c r="C795" s="502"/>
      <c r="D795" s="502"/>
      <c r="E795" s="502"/>
      <c r="F795" s="502"/>
      <c r="G795" s="502"/>
    </row>
    <row r="796" customFormat="1" ht="34.15" customHeight="1" spans="1:7">
      <c r="A796" s="502"/>
      <c r="B796" s="503"/>
      <c r="C796" s="502"/>
      <c r="D796" s="502"/>
      <c r="E796" s="502"/>
      <c r="F796" s="502"/>
      <c r="G796" s="502"/>
    </row>
    <row r="797" customFormat="1" ht="34.15" customHeight="1" spans="1:7">
      <c r="A797" s="502"/>
      <c r="B797" s="503"/>
      <c r="C797" s="502"/>
      <c r="D797" s="502"/>
      <c r="E797" s="502"/>
      <c r="F797" s="502"/>
      <c r="G797" s="502"/>
    </row>
    <row r="798" customFormat="1" ht="34.15" customHeight="1" spans="1:7">
      <c r="A798" s="502"/>
      <c r="B798" s="503"/>
      <c r="C798" s="502"/>
      <c r="D798" s="502"/>
      <c r="E798" s="502"/>
      <c r="F798" s="502"/>
      <c r="G798" s="502"/>
    </row>
    <row r="799" customFormat="1" ht="34.15" customHeight="1" spans="1:7">
      <c r="A799" s="502"/>
      <c r="B799" s="503"/>
      <c r="C799" s="502"/>
      <c r="D799" s="502"/>
      <c r="E799" s="502"/>
      <c r="F799" s="502"/>
      <c r="G799" s="502"/>
    </row>
    <row r="800" customFormat="1" ht="34.15" customHeight="1" spans="1:7">
      <c r="A800" s="502"/>
      <c r="B800" s="503"/>
      <c r="C800" s="502"/>
      <c r="D800" s="502"/>
      <c r="E800" s="502"/>
      <c r="F800" s="502"/>
      <c r="G800" s="502"/>
    </row>
    <row r="801" customFormat="1" ht="34.15" customHeight="1" spans="1:7">
      <c r="A801" s="502"/>
      <c r="B801" s="503"/>
      <c r="C801" s="502"/>
      <c r="D801" s="502"/>
      <c r="E801" s="502"/>
      <c r="F801" s="502"/>
      <c r="G801" s="502"/>
    </row>
    <row r="802" customFormat="1" ht="34.15" customHeight="1" spans="1:7">
      <c r="A802" s="502"/>
      <c r="B802" s="503"/>
      <c r="C802" s="502"/>
      <c r="D802" s="502"/>
      <c r="E802" s="502"/>
      <c r="F802" s="502"/>
      <c r="G802" s="502"/>
    </row>
    <row r="803" customFormat="1" ht="34.15" customHeight="1" spans="1:7">
      <c r="A803" s="502"/>
      <c r="B803" s="503"/>
      <c r="C803" s="502"/>
      <c r="D803" s="502"/>
      <c r="E803" s="502"/>
      <c r="F803" s="502"/>
      <c r="G803" s="502"/>
    </row>
    <row r="804" customFormat="1" ht="34.15" customHeight="1" spans="1:7">
      <c r="A804" s="502"/>
      <c r="B804" s="503"/>
      <c r="C804" s="502"/>
      <c r="D804" s="502"/>
      <c r="E804" s="502"/>
      <c r="F804" s="502"/>
      <c r="G804" s="502"/>
    </row>
    <row r="805" customFormat="1" ht="34.15" customHeight="1" spans="1:7">
      <c r="A805" s="502"/>
      <c r="B805" s="503"/>
      <c r="C805" s="502"/>
      <c r="D805" s="502"/>
      <c r="E805" s="502"/>
      <c r="F805" s="502"/>
      <c r="G805" s="502"/>
    </row>
    <row r="806" customFormat="1" ht="34.15" customHeight="1" spans="1:7">
      <c r="A806" s="502"/>
      <c r="B806" s="503"/>
      <c r="C806" s="502"/>
      <c r="D806" s="502"/>
      <c r="E806" s="502"/>
      <c r="F806" s="502"/>
      <c r="G806" s="502"/>
    </row>
    <row r="807" customFormat="1" ht="34.15" customHeight="1" spans="1:7">
      <c r="A807" s="502"/>
      <c r="B807" s="503"/>
      <c r="C807" s="502"/>
      <c r="D807" s="502"/>
      <c r="E807" s="502"/>
      <c r="F807" s="502"/>
      <c r="G807" s="502"/>
    </row>
    <row r="808" customFormat="1" ht="34.15" customHeight="1" spans="1:7">
      <c r="A808" s="502"/>
      <c r="B808" s="503"/>
      <c r="C808" s="502"/>
      <c r="D808" s="502"/>
      <c r="E808" s="502"/>
      <c r="F808" s="502"/>
      <c r="G808" s="502"/>
    </row>
    <row r="809" customFormat="1" ht="34.15" customHeight="1" spans="1:7">
      <c r="A809" s="502"/>
      <c r="B809" s="503"/>
      <c r="C809" s="502"/>
      <c r="D809" s="502"/>
      <c r="E809" s="502"/>
      <c r="F809" s="502"/>
      <c r="G809" s="502"/>
    </row>
    <row r="810" customFormat="1" ht="34.15" customHeight="1" spans="1:7">
      <c r="A810" s="502"/>
      <c r="B810" s="503"/>
      <c r="C810" s="502"/>
      <c r="D810" s="502"/>
      <c r="E810" s="502"/>
      <c r="F810" s="502"/>
      <c r="G810" s="502"/>
    </row>
    <row r="811" customFormat="1" ht="34.15" customHeight="1" spans="1:7">
      <c r="A811" s="502"/>
      <c r="B811" s="503"/>
      <c r="C811" s="502"/>
      <c r="D811" s="502"/>
      <c r="E811" s="502"/>
      <c r="F811" s="502"/>
      <c r="G811" s="502"/>
    </row>
    <row r="812" customFormat="1" ht="34.15" customHeight="1" spans="1:7">
      <c r="A812" s="502"/>
      <c r="B812" s="503"/>
      <c r="C812" s="502"/>
      <c r="D812" s="502"/>
      <c r="E812" s="502"/>
      <c r="F812" s="502"/>
      <c r="G812" s="502"/>
    </row>
    <row r="813" customFormat="1" ht="34.15" customHeight="1" spans="1:7">
      <c r="A813" s="502"/>
      <c r="B813" s="503"/>
      <c r="C813" s="502"/>
      <c r="D813" s="502"/>
      <c r="E813" s="502"/>
      <c r="F813" s="502"/>
      <c r="G813" s="502"/>
    </row>
    <row r="814" customFormat="1" ht="34.15" customHeight="1" spans="1:7">
      <c r="A814" s="502"/>
      <c r="B814" s="503"/>
      <c r="C814" s="502"/>
      <c r="D814" s="502"/>
      <c r="E814" s="502"/>
      <c r="F814" s="502"/>
      <c r="G814" s="502"/>
    </row>
    <row r="815" customFormat="1" ht="34.15" customHeight="1" spans="1:7">
      <c r="A815" s="502"/>
      <c r="B815" s="503"/>
      <c r="C815" s="502"/>
      <c r="D815" s="502"/>
      <c r="E815" s="502"/>
      <c r="F815" s="502"/>
      <c r="G815" s="502"/>
    </row>
    <row r="816" customFormat="1" ht="34.15" customHeight="1" spans="1:7">
      <c r="A816" s="502"/>
      <c r="B816" s="503"/>
      <c r="C816" s="502"/>
      <c r="D816" s="502"/>
      <c r="E816" s="502"/>
      <c r="F816" s="502"/>
      <c r="G816" s="502"/>
    </row>
    <row r="817" customFormat="1" ht="34.15" customHeight="1" spans="1:7">
      <c r="A817" s="502"/>
      <c r="B817" s="503"/>
      <c r="C817" s="502"/>
      <c r="D817" s="502"/>
      <c r="E817" s="502"/>
      <c r="F817" s="502"/>
      <c r="G817" s="502"/>
    </row>
    <row r="818" customFormat="1" ht="34.15" customHeight="1" spans="1:7">
      <c r="A818" s="502"/>
      <c r="B818" s="503"/>
      <c r="C818" s="502"/>
      <c r="D818" s="502"/>
      <c r="E818" s="502"/>
      <c r="F818" s="502"/>
      <c r="G818" s="502"/>
    </row>
    <row r="819" customFormat="1" ht="34.15" customHeight="1" spans="1:7">
      <c r="A819" s="502"/>
      <c r="B819" s="503"/>
      <c r="C819" s="502"/>
      <c r="D819" s="502"/>
      <c r="E819" s="502"/>
      <c r="F819" s="502"/>
      <c r="G819" s="502"/>
    </row>
    <row r="820" customFormat="1" ht="34.15" customHeight="1" spans="1:7">
      <c r="A820" s="502"/>
      <c r="B820" s="503"/>
      <c r="C820" s="502"/>
      <c r="D820" s="502"/>
      <c r="E820" s="502"/>
      <c r="F820" s="502"/>
      <c r="G820" s="502"/>
    </row>
    <row r="821" customFormat="1" ht="34.15" customHeight="1" spans="1:7">
      <c r="A821" s="502"/>
      <c r="B821" s="503"/>
      <c r="C821" s="502"/>
      <c r="D821" s="502"/>
      <c r="E821" s="502"/>
      <c r="F821" s="502"/>
      <c r="G821" s="502"/>
    </row>
    <row r="822" customFormat="1" ht="34.15" customHeight="1" spans="1:7">
      <c r="A822" s="502"/>
      <c r="B822" s="503"/>
      <c r="C822" s="502"/>
      <c r="D822" s="502"/>
      <c r="E822" s="502"/>
      <c r="F822" s="502"/>
      <c r="G822" s="502"/>
    </row>
    <row r="823" customFormat="1" ht="34.15" customHeight="1" spans="1:7">
      <c r="A823" s="502"/>
      <c r="B823" s="503"/>
      <c r="C823" s="502"/>
      <c r="D823" s="502"/>
      <c r="E823" s="502"/>
      <c r="F823" s="502"/>
      <c r="G823" s="502"/>
    </row>
    <row r="824" customFormat="1" ht="34.15" customHeight="1" spans="1:7">
      <c r="A824" s="502"/>
      <c r="B824" s="503"/>
      <c r="C824" s="502"/>
      <c r="D824" s="502"/>
      <c r="E824" s="502"/>
      <c r="F824" s="502"/>
      <c r="G824" s="502"/>
    </row>
    <row r="825" customFormat="1" ht="34.15" customHeight="1" spans="1:7">
      <c r="A825" s="502"/>
      <c r="B825" s="503"/>
      <c r="C825" s="502"/>
      <c r="D825" s="502"/>
      <c r="E825" s="502"/>
      <c r="F825" s="502"/>
      <c r="G825" s="502"/>
    </row>
    <row r="826" customFormat="1" ht="34.15" customHeight="1" spans="1:7">
      <c r="A826" s="502"/>
      <c r="B826" s="503"/>
      <c r="C826" s="502"/>
      <c r="D826" s="502"/>
      <c r="E826" s="502"/>
      <c r="F826" s="502"/>
      <c r="G826" s="502"/>
    </row>
    <row r="827" customFormat="1" ht="34.15" customHeight="1" spans="1:7">
      <c r="A827" s="502"/>
      <c r="B827" s="503"/>
      <c r="C827" s="502"/>
      <c r="D827" s="502"/>
      <c r="E827" s="502"/>
      <c r="F827" s="502"/>
      <c r="G827" s="502"/>
    </row>
    <row r="828" customFormat="1" ht="34.15" customHeight="1" spans="1:7">
      <c r="A828" s="502"/>
      <c r="B828" s="503"/>
      <c r="C828" s="502"/>
      <c r="D828" s="502"/>
      <c r="E828" s="502"/>
      <c r="F828" s="502"/>
      <c r="G828" s="502"/>
    </row>
    <row r="829" customFormat="1" ht="34.15" customHeight="1" spans="1:7">
      <c r="A829" s="502"/>
      <c r="B829" s="503"/>
      <c r="C829" s="502"/>
      <c r="D829" s="502"/>
      <c r="E829" s="502"/>
      <c r="F829" s="502"/>
      <c r="G829" s="502"/>
    </row>
    <row r="830" customFormat="1" ht="34.15" customHeight="1" spans="1:7">
      <c r="A830" s="502"/>
      <c r="B830" s="503"/>
      <c r="C830" s="502"/>
      <c r="D830" s="502"/>
      <c r="E830" s="502"/>
      <c r="F830" s="502"/>
      <c r="G830" s="502"/>
    </row>
    <row r="831" customFormat="1" ht="34.15" customHeight="1" spans="1:7">
      <c r="A831" s="502"/>
      <c r="B831" s="503"/>
      <c r="C831" s="502"/>
      <c r="D831" s="502"/>
      <c r="E831" s="502"/>
      <c r="F831" s="502"/>
      <c r="G831" s="502"/>
    </row>
    <row r="832" customFormat="1" ht="34.15" customHeight="1" spans="1:7">
      <c r="A832" s="502"/>
      <c r="B832" s="503"/>
      <c r="C832" s="502"/>
      <c r="D832" s="502"/>
      <c r="E832" s="502"/>
      <c r="F832" s="502"/>
      <c r="G832" s="502"/>
    </row>
    <row r="833" customFormat="1" ht="34.15" customHeight="1" spans="1:7">
      <c r="A833" s="502"/>
      <c r="B833" s="503"/>
      <c r="C833" s="502"/>
      <c r="D833" s="502"/>
      <c r="E833" s="502"/>
      <c r="F833" s="502"/>
      <c r="G833" s="502"/>
    </row>
    <row r="834" customFormat="1" ht="34.15" customHeight="1" spans="1:7">
      <c r="A834" s="502"/>
      <c r="B834" s="503"/>
      <c r="C834" s="502"/>
      <c r="D834" s="502"/>
      <c r="E834" s="502"/>
      <c r="F834" s="502"/>
      <c r="G834" s="502"/>
    </row>
    <row r="835" customFormat="1" ht="34.15" customHeight="1" spans="1:7">
      <c r="A835" s="502"/>
      <c r="B835" s="503"/>
      <c r="C835" s="502"/>
      <c r="D835" s="502"/>
      <c r="E835" s="502"/>
      <c r="F835" s="502"/>
      <c r="G835" s="502"/>
    </row>
    <row r="836" customFormat="1" ht="34.15" customHeight="1" spans="1:7">
      <c r="A836" s="502"/>
      <c r="B836" s="503"/>
      <c r="C836" s="502"/>
      <c r="D836" s="502"/>
      <c r="E836" s="502"/>
      <c r="F836" s="502"/>
      <c r="G836" s="502"/>
    </row>
    <row r="837" customFormat="1" ht="34.15" customHeight="1" spans="1:7">
      <c r="A837" s="502"/>
      <c r="B837" s="503"/>
      <c r="C837" s="502"/>
      <c r="D837" s="502"/>
      <c r="E837" s="502"/>
      <c r="F837" s="502"/>
      <c r="G837" s="502"/>
    </row>
    <row r="838" customFormat="1" ht="34.15" customHeight="1" spans="1:7">
      <c r="A838" s="502"/>
      <c r="B838" s="503"/>
      <c r="C838" s="502"/>
      <c r="D838" s="502"/>
      <c r="E838" s="502"/>
      <c r="F838" s="502"/>
      <c r="G838" s="502"/>
    </row>
    <row r="839" customFormat="1" ht="34.15" customHeight="1" spans="1:7">
      <c r="A839" s="502"/>
      <c r="B839" s="503"/>
      <c r="C839" s="502"/>
      <c r="D839" s="502"/>
      <c r="E839" s="502"/>
      <c r="F839" s="502"/>
      <c r="G839" s="502"/>
    </row>
    <row r="840" customFormat="1" ht="34.15" customHeight="1" spans="1:7">
      <c r="A840" s="502"/>
      <c r="B840" s="503"/>
      <c r="C840" s="502"/>
      <c r="D840" s="502"/>
      <c r="E840" s="502"/>
      <c r="F840" s="502"/>
      <c r="G840" s="502"/>
    </row>
    <row r="841" customFormat="1" ht="34.15" customHeight="1" spans="1:7">
      <c r="A841" s="502"/>
      <c r="B841" s="503"/>
      <c r="C841" s="502"/>
      <c r="D841" s="502"/>
      <c r="E841" s="502"/>
      <c r="F841" s="502"/>
      <c r="G841" s="502"/>
    </row>
    <row r="842" customFormat="1" ht="34.15" customHeight="1" spans="1:7">
      <c r="A842" s="502"/>
      <c r="B842" s="503"/>
      <c r="C842" s="502"/>
      <c r="D842" s="502"/>
      <c r="E842" s="502"/>
      <c r="F842" s="502"/>
      <c r="G842" s="502"/>
    </row>
    <row r="843" customFormat="1" ht="34.15" customHeight="1" spans="1:7">
      <c r="A843" s="502"/>
      <c r="B843" s="503"/>
      <c r="C843" s="502"/>
      <c r="D843" s="502"/>
      <c r="E843" s="502"/>
      <c r="F843" s="502"/>
      <c r="G843" s="502"/>
    </row>
    <row r="844" customFormat="1" ht="34.15" customHeight="1" spans="1:7">
      <c r="A844" s="502"/>
      <c r="B844" s="503"/>
      <c r="C844" s="502"/>
      <c r="D844" s="502"/>
      <c r="E844" s="502"/>
      <c r="F844" s="502"/>
      <c r="G844" s="502"/>
    </row>
    <row r="845" customFormat="1" ht="34.15" customHeight="1" spans="1:7">
      <c r="A845" s="502"/>
      <c r="B845" s="503"/>
      <c r="C845" s="502"/>
      <c r="D845" s="502"/>
      <c r="E845" s="502"/>
      <c r="F845" s="502"/>
      <c r="G845" s="502"/>
    </row>
    <row r="846" customFormat="1" ht="34.15" customHeight="1" spans="1:7">
      <c r="A846" s="502"/>
      <c r="B846" s="503"/>
      <c r="C846" s="502"/>
      <c r="D846" s="502"/>
      <c r="E846" s="502"/>
      <c r="F846" s="502"/>
      <c r="G846" s="502"/>
    </row>
    <row r="847" customFormat="1" ht="34.15" customHeight="1" spans="1:7">
      <c r="A847" s="502"/>
      <c r="B847" s="503"/>
      <c r="C847" s="502"/>
      <c r="D847" s="502"/>
      <c r="E847" s="502"/>
      <c r="F847" s="502"/>
      <c r="G847" s="502"/>
    </row>
    <row r="848" customFormat="1" ht="34.15" customHeight="1" spans="1:7">
      <c r="A848" s="502"/>
      <c r="B848" s="503"/>
      <c r="C848" s="502"/>
      <c r="D848" s="502"/>
      <c r="E848" s="502"/>
      <c r="F848" s="502"/>
      <c r="G848" s="502"/>
    </row>
    <row r="849" customFormat="1" ht="34.15" customHeight="1" spans="1:7">
      <c r="A849" s="502"/>
      <c r="B849" s="503"/>
      <c r="C849" s="502"/>
      <c r="D849" s="502"/>
      <c r="E849" s="502"/>
      <c r="F849" s="502"/>
      <c r="G849" s="502"/>
    </row>
    <row r="850" customFormat="1" ht="34.15" customHeight="1" spans="1:7">
      <c r="A850" s="502"/>
      <c r="B850" s="503"/>
      <c r="C850" s="502"/>
      <c r="D850" s="502"/>
      <c r="E850" s="502"/>
      <c r="F850" s="502"/>
      <c r="G850" s="502"/>
    </row>
    <row r="851" customFormat="1" ht="34.15" customHeight="1" spans="1:7">
      <c r="A851" s="502"/>
      <c r="B851" s="503"/>
      <c r="C851" s="502"/>
      <c r="D851" s="502"/>
      <c r="E851" s="502"/>
      <c r="F851" s="502"/>
      <c r="G851" s="502"/>
    </row>
    <row r="852" customFormat="1" ht="34.15" customHeight="1" spans="1:7">
      <c r="A852" s="502"/>
      <c r="B852" s="503"/>
      <c r="C852" s="502"/>
      <c r="D852" s="502"/>
      <c r="E852" s="502"/>
      <c r="F852" s="502"/>
      <c r="G852" s="502"/>
    </row>
    <row r="853" customFormat="1" ht="34.15" customHeight="1" spans="1:7">
      <c r="A853" s="502"/>
      <c r="B853" s="503"/>
      <c r="C853" s="502"/>
      <c r="D853" s="502"/>
      <c r="E853" s="502"/>
      <c r="F853" s="502"/>
      <c r="G853" s="502"/>
    </row>
    <row r="854" customFormat="1" ht="34.15" customHeight="1" spans="1:7">
      <c r="A854" s="502"/>
      <c r="B854" s="503"/>
      <c r="C854" s="502"/>
      <c r="D854" s="502"/>
      <c r="E854" s="502"/>
      <c r="F854" s="502"/>
      <c r="G854" s="502"/>
    </row>
    <row r="855" customFormat="1" ht="34.15" customHeight="1" spans="1:7">
      <c r="A855" s="502"/>
      <c r="B855" s="503"/>
      <c r="C855" s="502"/>
      <c r="D855" s="502"/>
      <c r="E855" s="502"/>
      <c r="F855" s="502"/>
      <c r="G855" s="502"/>
    </row>
    <row r="856" customFormat="1" ht="34.15" customHeight="1" spans="1:7">
      <c r="A856" s="502"/>
      <c r="B856" s="503"/>
      <c r="C856" s="502"/>
      <c r="D856" s="502"/>
      <c r="E856" s="502"/>
      <c r="F856" s="502"/>
      <c r="G856" s="502"/>
    </row>
    <row r="857" customFormat="1" ht="34.15" customHeight="1" spans="1:7">
      <c r="A857" s="502"/>
      <c r="B857" s="503"/>
      <c r="C857" s="502"/>
      <c r="D857" s="502"/>
      <c r="E857" s="502"/>
      <c r="F857" s="502"/>
      <c r="G857" s="502"/>
    </row>
    <row r="858" customFormat="1" ht="34.15" customHeight="1" spans="1:7">
      <c r="A858" s="502"/>
      <c r="B858" s="503"/>
      <c r="C858" s="502"/>
      <c r="D858" s="502"/>
      <c r="E858" s="502"/>
      <c r="F858" s="502"/>
      <c r="G858" s="502"/>
    </row>
    <row r="859" customFormat="1" ht="34.15" customHeight="1" spans="1:7">
      <c r="A859" s="502"/>
      <c r="B859" s="503"/>
      <c r="C859" s="502"/>
      <c r="D859" s="502"/>
      <c r="E859" s="502"/>
      <c r="F859" s="502"/>
      <c r="G859" s="502"/>
    </row>
    <row r="860" customFormat="1" ht="34.15" customHeight="1" spans="1:7">
      <c r="A860" s="502"/>
      <c r="B860" s="503"/>
      <c r="C860" s="502"/>
      <c r="D860" s="502"/>
      <c r="E860" s="502"/>
      <c r="F860" s="502"/>
      <c r="G860" s="502"/>
    </row>
    <row r="861" customFormat="1" ht="34.15" customHeight="1" spans="1:7">
      <c r="A861" s="502"/>
      <c r="B861" s="503"/>
      <c r="C861" s="502"/>
      <c r="D861" s="502"/>
      <c r="E861" s="502"/>
      <c r="F861" s="502"/>
      <c r="G861" s="502"/>
    </row>
    <row r="862" customFormat="1" ht="34.15" customHeight="1" spans="1:7">
      <c r="A862" s="502"/>
      <c r="B862" s="503"/>
      <c r="C862" s="502"/>
      <c r="D862" s="502"/>
      <c r="E862" s="502"/>
      <c r="F862" s="502"/>
      <c r="G862" s="502"/>
    </row>
    <row r="863" customFormat="1" ht="34.15" customHeight="1" spans="1:7">
      <c r="A863" s="502"/>
      <c r="B863" s="503"/>
      <c r="C863" s="502"/>
      <c r="D863" s="502"/>
      <c r="E863" s="502"/>
      <c r="F863" s="502"/>
      <c r="G863" s="502"/>
    </row>
    <row r="864" customFormat="1" ht="34.15" customHeight="1" spans="1:7">
      <c r="A864" s="502"/>
      <c r="B864" s="503"/>
      <c r="C864" s="502"/>
      <c r="D864" s="502"/>
      <c r="E864" s="502"/>
      <c r="F864" s="502"/>
      <c r="G864" s="502"/>
    </row>
    <row r="865" customFormat="1" ht="34.15" customHeight="1" spans="1:7">
      <c r="A865" s="502"/>
      <c r="B865" s="503"/>
      <c r="C865" s="502"/>
      <c r="D865" s="502"/>
      <c r="E865" s="502"/>
      <c r="F865" s="502"/>
      <c r="G865" s="502"/>
    </row>
    <row r="866" customFormat="1" ht="34.15" customHeight="1" spans="1:7">
      <c r="A866" s="502"/>
      <c r="B866" s="503"/>
      <c r="C866" s="502"/>
      <c r="D866" s="502"/>
      <c r="E866" s="502"/>
      <c r="F866" s="502"/>
      <c r="G866" s="502"/>
    </row>
    <row r="867" customFormat="1" ht="34.15" customHeight="1" spans="1:7">
      <c r="A867" s="502"/>
      <c r="B867" s="503"/>
      <c r="C867" s="502"/>
      <c r="D867" s="502"/>
      <c r="E867" s="502"/>
      <c r="F867" s="502"/>
      <c r="G867" s="502"/>
    </row>
    <row r="868" customFormat="1" ht="34.15" customHeight="1" spans="1:7">
      <c r="A868" s="502"/>
      <c r="B868" s="503"/>
      <c r="C868" s="502"/>
      <c r="D868" s="502"/>
      <c r="E868" s="502"/>
      <c r="F868" s="502"/>
      <c r="G868" s="502"/>
    </row>
    <row r="869" customFormat="1" ht="34.15" customHeight="1" spans="1:7">
      <c r="A869" s="502"/>
      <c r="B869" s="503"/>
      <c r="C869" s="502"/>
      <c r="D869" s="502"/>
      <c r="E869" s="502"/>
      <c r="F869" s="502"/>
      <c r="G869" s="502"/>
    </row>
    <row r="870" customFormat="1" ht="34.15" customHeight="1" spans="1:7">
      <c r="A870" s="502"/>
      <c r="B870" s="503"/>
      <c r="C870" s="502"/>
      <c r="D870" s="502"/>
      <c r="E870" s="502"/>
      <c r="F870" s="502"/>
      <c r="G870" s="502"/>
    </row>
    <row r="871" customFormat="1" ht="34.15" customHeight="1" spans="1:7">
      <c r="A871" s="502"/>
      <c r="B871" s="503"/>
      <c r="C871" s="502"/>
      <c r="D871" s="502"/>
      <c r="E871" s="502"/>
      <c r="F871" s="502"/>
      <c r="G871" s="502"/>
    </row>
    <row r="872" customFormat="1" ht="34.15" customHeight="1" spans="1:7">
      <c r="A872" s="502"/>
      <c r="B872" s="503"/>
      <c r="C872" s="502"/>
      <c r="D872" s="502"/>
      <c r="E872" s="502"/>
      <c r="F872" s="502"/>
      <c r="G872" s="502"/>
    </row>
    <row r="873" customFormat="1" ht="34.15" customHeight="1" spans="1:7">
      <c r="A873" s="502"/>
      <c r="B873" s="503"/>
      <c r="C873" s="502"/>
      <c r="D873" s="502"/>
      <c r="E873" s="502"/>
      <c r="F873" s="502"/>
      <c r="G873" s="502"/>
    </row>
    <row r="874" customFormat="1" ht="34.15" customHeight="1" spans="1:7">
      <c r="A874" s="502"/>
      <c r="B874" s="503"/>
      <c r="C874" s="502"/>
      <c r="D874" s="502"/>
      <c r="E874" s="502"/>
      <c r="F874" s="502"/>
      <c r="G874" s="502"/>
    </row>
    <row r="875" customFormat="1" ht="34.15" customHeight="1" spans="1:7">
      <c r="A875" s="502"/>
      <c r="B875" s="503"/>
      <c r="C875" s="502"/>
      <c r="D875" s="502"/>
      <c r="E875" s="502"/>
      <c r="F875" s="502"/>
      <c r="G875" s="502"/>
    </row>
    <row r="876" customFormat="1" ht="34.15" customHeight="1" spans="1:7">
      <c r="A876" s="502"/>
      <c r="B876" s="503"/>
      <c r="C876" s="502"/>
      <c r="D876" s="502"/>
      <c r="E876" s="502"/>
      <c r="F876" s="502"/>
      <c r="G876" s="502"/>
    </row>
    <row r="877" customFormat="1" ht="34.15" customHeight="1" spans="1:7">
      <c r="A877" s="502"/>
      <c r="B877" s="503"/>
      <c r="C877" s="502"/>
      <c r="D877" s="502"/>
      <c r="E877" s="502"/>
      <c r="F877" s="502"/>
      <c r="G877" s="502"/>
    </row>
    <row r="878" customFormat="1" ht="34.15" customHeight="1" spans="1:7">
      <c r="A878" s="502"/>
      <c r="B878" s="503"/>
      <c r="C878" s="502"/>
      <c r="D878" s="502"/>
      <c r="E878" s="502"/>
      <c r="F878" s="502"/>
      <c r="G878" s="502"/>
    </row>
    <row r="879" customFormat="1" ht="34.15" customHeight="1" spans="1:7">
      <c r="A879" s="502"/>
      <c r="B879" s="503"/>
      <c r="C879" s="502"/>
      <c r="D879" s="502"/>
      <c r="E879" s="502"/>
      <c r="F879" s="502"/>
      <c r="G879" s="502"/>
    </row>
    <row r="880" customFormat="1" ht="34.15" customHeight="1" spans="1:7">
      <c r="A880" s="502"/>
      <c r="B880" s="503"/>
      <c r="C880" s="502"/>
      <c r="D880" s="502"/>
      <c r="E880" s="502"/>
      <c r="F880" s="502"/>
      <c r="G880" s="502"/>
    </row>
    <row r="881" customFormat="1" ht="34.15" customHeight="1" spans="1:7">
      <c r="A881" s="502"/>
      <c r="B881" s="503"/>
      <c r="C881" s="502"/>
      <c r="D881" s="502"/>
      <c r="E881" s="502"/>
      <c r="F881" s="502"/>
      <c r="G881" s="502"/>
    </row>
    <row r="882" customFormat="1" ht="34.15" customHeight="1" spans="1:7">
      <c r="A882" s="502"/>
      <c r="B882" s="503"/>
      <c r="C882" s="502"/>
      <c r="D882" s="502"/>
      <c r="E882" s="502"/>
      <c r="F882" s="502"/>
      <c r="G882" s="502"/>
    </row>
    <row r="883" customFormat="1" ht="34.15" customHeight="1" spans="1:7">
      <c r="A883" s="502"/>
      <c r="B883" s="503"/>
      <c r="C883" s="502"/>
      <c r="D883" s="502"/>
      <c r="E883" s="502"/>
      <c r="F883" s="502"/>
      <c r="G883" s="502"/>
    </row>
    <row r="884" customFormat="1" ht="34.15" customHeight="1" spans="1:7">
      <c r="A884" s="502"/>
      <c r="B884" s="503"/>
      <c r="C884" s="502"/>
      <c r="D884" s="502"/>
      <c r="E884" s="502"/>
      <c r="F884" s="502"/>
      <c r="G884" s="502"/>
    </row>
    <row r="885" customFormat="1" ht="34.15" customHeight="1" spans="1:7">
      <c r="A885" s="502"/>
      <c r="B885" s="503"/>
      <c r="C885" s="502"/>
      <c r="D885" s="502"/>
      <c r="E885" s="502"/>
      <c r="F885" s="502"/>
      <c r="G885" s="502"/>
    </row>
    <row r="886" customFormat="1" ht="34.15" customHeight="1" spans="1:7">
      <c r="A886" s="502"/>
      <c r="B886" s="503"/>
      <c r="C886" s="502"/>
      <c r="D886" s="502"/>
      <c r="E886" s="502"/>
      <c r="F886" s="502"/>
      <c r="G886" s="502"/>
    </row>
    <row r="887" customFormat="1" ht="34.15" customHeight="1" spans="1:7">
      <c r="A887" s="502"/>
      <c r="B887" s="503"/>
      <c r="C887" s="502"/>
      <c r="D887" s="502"/>
      <c r="E887" s="502"/>
      <c r="F887" s="502"/>
      <c r="G887" s="502"/>
    </row>
    <row r="888" customFormat="1" ht="34.15" customHeight="1" spans="1:7">
      <c r="A888" s="502"/>
      <c r="B888" s="503"/>
      <c r="C888" s="502"/>
      <c r="D888" s="502"/>
      <c r="E888" s="502"/>
      <c r="F888" s="502"/>
      <c r="G888" s="502"/>
    </row>
    <row r="889" customFormat="1" ht="34.15" customHeight="1" spans="1:7">
      <c r="A889" s="502"/>
      <c r="B889" s="503"/>
      <c r="C889" s="502"/>
      <c r="D889" s="502"/>
      <c r="E889" s="502"/>
      <c r="F889" s="502"/>
      <c r="G889" s="502"/>
    </row>
    <row r="890" customFormat="1" ht="34.15" customHeight="1" spans="1:7">
      <c r="A890" s="502"/>
      <c r="B890" s="503"/>
      <c r="C890" s="502"/>
      <c r="D890" s="502"/>
      <c r="E890" s="502"/>
      <c r="F890" s="502"/>
      <c r="G890" s="502"/>
    </row>
    <row r="891" customFormat="1" ht="34.15" customHeight="1" spans="1:7">
      <c r="A891" s="502"/>
      <c r="B891" s="503"/>
      <c r="C891" s="502"/>
      <c r="D891" s="502"/>
      <c r="E891" s="502"/>
      <c r="F891" s="502"/>
      <c r="G891" s="502"/>
    </row>
    <row r="892" customFormat="1" ht="34.15" customHeight="1" spans="1:7">
      <c r="A892" s="502"/>
      <c r="B892" s="503"/>
      <c r="C892" s="502"/>
      <c r="D892" s="502"/>
      <c r="E892" s="502"/>
      <c r="F892" s="502"/>
      <c r="G892" s="502"/>
    </row>
    <row r="893" customFormat="1" ht="34.15" customHeight="1" spans="1:7">
      <c r="A893" s="502"/>
      <c r="B893" s="503"/>
      <c r="C893" s="502"/>
      <c r="D893" s="502"/>
      <c r="E893" s="502"/>
      <c r="F893" s="502"/>
      <c r="G893" s="502"/>
    </row>
    <row r="894" customFormat="1" ht="34.15" customHeight="1" spans="1:7">
      <c r="A894" s="502"/>
      <c r="B894" s="503"/>
      <c r="C894" s="502"/>
      <c r="D894" s="502"/>
      <c r="E894" s="502"/>
      <c r="F894" s="502"/>
      <c r="G894" s="502"/>
    </row>
    <row r="895" customFormat="1" ht="34.15" customHeight="1" spans="1:7">
      <c r="A895" s="502"/>
      <c r="B895" s="503"/>
      <c r="C895" s="502"/>
      <c r="D895" s="502"/>
      <c r="E895" s="502"/>
      <c r="F895" s="502"/>
      <c r="G895" s="502"/>
    </row>
    <row r="896" customFormat="1" ht="34.15" customHeight="1" spans="1:7">
      <c r="A896" s="502"/>
      <c r="B896" s="503"/>
      <c r="C896" s="502"/>
      <c r="D896" s="502"/>
      <c r="E896" s="502"/>
      <c r="F896" s="502"/>
      <c r="G896" s="502"/>
    </row>
    <row r="897" customFormat="1" ht="34.15" customHeight="1" spans="1:7">
      <c r="A897" s="502"/>
      <c r="B897" s="503"/>
      <c r="C897" s="502"/>
      <c r="D897" s="502"/>
      <c r="E897" s="502"/>
      <c r="F897" s="502"/>
      <c r="G897" s="502"/>
    </row>
    <row r="898" customFormat="1" ht="34.15" customHeight="1" spans="1:7">
      <c r="A898" s="502"/>
      <c r="B898" s="503"/>
      <c r="C898" s="502"/>
      <c r="D898" s="502"/>
      <c r="E898" s="502"/>
      <c r="F898" s="502"/>
      <c r="G898" s="502"/>
    </row>
    <row r="899" customFormat="1" ht="34.15" customHeight="1" spans="1:7">
      <c r="A899" s="502"/>
      <c r="B899" s="503"/>
      <c r="C899" s="502"/>
      <c r="D899" s="502"/>
      <c r="E899" s="502"/>
      <c r="F899" s="502"/>
      <c r="G899" s="502"/>
    </row>
    <row r="900" customFormat="1" ht="34.15" customHeight="1" spans="1:7">
      <c r="A900" s="502"/>
      <c r="B900" s="503"/>
      <c r="C900" s="502"/>
      <c r="D900" s="502"/>
      <c r="E900" s="502"/>
      <c r="F900" s="502"/>
      <c r="G900" s="502"/>
    </row>
    <row r="901" customFormat="1" ht="34.15" customHeight="1" spans="1:7">
      <c r="A901" s="502"/>
      <c r="B901" s="503"/>
      <c r="C901" s="502"/>
      <c r="D901" s="502"/>
      <c r="E901" s="502"/>
      <c r="F901" s="502"/>
      <c r="G901" s="502"/>
    </row>
    <row r="902" customFormat="1" ht="34.15" customHeight="1" spans="1:7">
      <c r="A902" s="502"/>
      <c r="B902" s="503"/>
      <c r="C902" s="502"/>
      <c r="D902" s="502"/>
      <c r="E902" s="502"/>
      <c r="F902" s="502"/>
      <c r="G902" s="502"/>
    </row>
    <row r="903" customFormat="1" ht="34.15" customHeight="1" spans="1:7">
      <c r="A903" s="502"/>
      <c r="B903" s="503"/>
      <c r="C903" s="502"/>
      <c r="D903" s="502"/>
      <c r="E903" s="502"/>
      <c r="F903" s="502"/>
      <c r="G903" s="502"/>
    </row>
    <row r="904" customFormat="1" ht="34.15" customHeight="1" spans="1:7">
      <c r="A904" s="502"/>
      <c r="B904" s="503"/>
      <c r="C904" s="502"/>
      <c r="D904" s="502"/>
      <c r="E904" s="502"/>
      <c r="F904" s="502"/>
      <c r="G904" s="502"/>
    </row>
    <row r="905" customFormat="1" ht="34.15" customHeight="1" spans="1:7">
      <c r="A905" s="502"/>
      <c r="B905" s="503"/>
      <c r="C905" s="502"/>
      <c r="D905" s="502"/>
      <c r="E905" s="502"/>
      <c r="F905" s="502"/>
      <c r="G905" s="502"/>
    </row>
    <row r="906" customFormat="1" ht="34.15" customHeight="1" spans="1:7">
      <c r="A906" s="502"/>
      <c r="B906" s="503"/>
      <c r="C906" s="502"/>
      <c r="D906" s="502"/>
      <c r="E906" s="502"/>
      <c r="F906" s="502"/>
      <c r="G906" s="502"/>
    </row>
    <row r="907" customFormat="1" ht="34.15" customHeight="1" spans="1:7">
      <c r="A907" s="502"/>
      <c r="B907" s="503"/>
      <c r="C907" s="502"/>
      <c r="D907" s="502"/>
      <c r="E907" s="502"/>
      <c r="F907" s="502"/>
      <c r="G907" s="502"/>
    </row>
    <row r="908" customFormat="1" ht="34.15" customHeight="1" spans="1:7">
      <c r="A908" s="502"/>
      <c r="B908" s="503"/>
      <c r="C908" s="502"/>
      <c r="D908" s="502"/>
      <c r="E908" s="502"/>
      <c r="F908" s="502"/>
      <c r="G908" s="502"/>
    </row>
    <row r="909" customFormat="1" ht="34.15" customHeight="1" spans="1:7">
      <c r="A909" s="502"/>
      <c r="B909" s="503"/>
      <c r="C909" s="502"/>
      <c r="D909" s="502"/>
      <c r="E909" s="502"/>
      <c r="F909" s="502"/>
      <c r="G909" s="502"/>
    </row>
    <row r="910" customFormat="1" ht="34.15" customHeight="1" spans="1:7">
      <c r="A910" s="502"/>
      <c r="B910" s="503"/>
      <c r="C910" s="502"/>
      <c r="D910" s="502"/>
      <c r="E910" s="502"/>
      <c r="F910" s="502"/>
      <c r="G910" s="502"/>
    </row>
    <row r="911" customFormat="1" ht="34.15" customHeight="1" spans="1:7">
      <c r="A911" s="502"/>
      <c r="B911" s="503"/>
      <c r="C911" s="502"/>
      <c r="D911" s="502"/>
      <c r="E911" s="502"/>
      <c r="F911" s="502"/>
      <c r="G911" s="502"/>
    </row>
    <row r="912" customFormat="1" ht="34.15" customHeight="1" spans="1:7">
      <c r="A912" s="502"/>
      <c r="B912" s="503"/>
      <c r="C912" s="502"/>
      <c r="D912" s="502"/>
      <c r="E912" s="502"/>
      <c r="F912" s="502"/>
      <c r="G912" s="502"/>
    </row>
    <row r="913" customFormat="1" ht="34.15" customHeight="1" spans="1:7">
      <c r="A913" s="502"/>
      <c r="B913" s="503"/>
      <c r="C913" s="502"/>
      <c r="D913" s="502"/>
      <c r="E913" s="502"/>
      <c r="F913" s="502"/>
      <c r="G913" s="502"/>
    </row>
    <row r="914" customFormat="1" ht="34.15" customHeight="1" spans="1:7">
      <c r="A914" s="502"/>
      <c r="B914" s="503"/>
      <c r="C914" s="502"/>
      <c r="D914" s="502"/>
      <c r="E914" s="502"/>
      <c r="F914" s="502"/>
      <c r="G914" s="502"/>
    </row>
    <row r="915" customFormat="1" ht="34.15" customHeight="1" spans="1:7">
      <c r="A915" s="502"/>
      <c r="B915" s="503"/>
      <c r="C915" s="502"/>
      <c r="D915" s="502"/>
      <c r="E915" s="502"/>
      <c r="F915" s="502"/>
      <c r="G915" s="502"/>
    </row>
    <row r="916" customFormat="1" ht="34.15" customHeight="1" spans="1:7">
      <c r="A916" s="502"/>
      <c r="B916" s="503"/>
      <c r="C916" s="502"/>
      <c r="D916" s="502"/>
      <c r="E916" s="502"/>
      <c r="F916" s="502"/>
      <c r="G916" s="502"/>
    </row>
    <row r="917" customFormat="1" ht="34.15" customHeight="1" spans="1:7">
      <c r="A917" s="502"/>
      <c r="B917" s="503"/>
      <c r="C917" s="502"/>
      <c r="D917" s="502"/>
      <c r="E917" s="502"/>
      <c r="F917" s="502"/>
      <c r="G917" s="502"/>
    </row>
    <row r="918" customFormat="1" ht="34.15" customHeight="1" spans="1:7">
      <c r="A918" s="502"/>
      <c r="B918" s="503"/>
      <c r="C918" s="502"/>
      <c r="D918" s="502"/>
      <c r="E918" s="502"/>
      <c r="F918" s="502"/>
      <c r="G918" s="502"/>
    </row>
    <row r="919" customFormat="1" ht="34.15" customHeight="1" spans="1:7">
      <c r="A919" s="502"/>
      <c r="B919" s="503"/>
      <c r="C919" s="502"/>
      <c r="D919" s="502"/>
      <c r="E919" s="502"/>
      <c r="F919" s="502"/>
      <c r="G919" s="502"/>
    </row>
    <row r="920" customFormat="1" ht="34.15" customHeight="1" spans="1:7">
      <c r="A920" s="502"/>
      <c r="B920" s="503"/>
      <c r="C920" s="502"/>
      <c r="D920" s="502"/>
      <c r="E920" s="502"/>
      <c r="F920" s="502"/>
      <c r="G920" s="502"/>
    </row>
    <row r="921" customFormat="1" ht="34.15" customHeight="1" spans="1:7">
      <c r="A921" s="502"/>
      <c r="B921" s="503"/>
      <c r="C921" s="502"/>
      <c r="D921" s="502"/>
      <c r="E921" s="502"/>
      <c r="F921" s="502"/>
      <c r="G921" s="502"/>
    </row>
    <row r="922" customFormat="1" ht="34.15" customHeight="1" spans="1:7">
      <c r="A922" s="502"/>
      <c r="B922" s="503"/>
      <c r="C922" s="502"/>
      <c r="D922" s="502"/>
      <c r="E922" s="502"/>
      <c r="F922" s="502"/>
      <c r="G922" s="502"/>
    </row>
    <row r="923" customFormat="1" ht="34.15" customHeight="1" spans="1:7">
      <c r="A923" s="502"/>
      <c r="B923" s="503"/>
      <c r="C923" s="502"/>
      <c r="D923" s="502"/>
      <c r="E923" s="502"/>
      <c r="F923" s="502"/>
      <c r="G923" s="502"/>
    </row>
    <row r="924" customFormat="1" ht="34.15" customHeight="1" spans="1:7">
      <c r="A924" s="502"/>
      <c r="B924" s="503"/>
      <c r="C924" s="502"/>
      <c r="D924" s="502"/>
      <c r="E924" s="502"/>
      <c r="F924" s="502"/>
      <c r="G924" s="502"/>
    </row>
    <row r="925" customFormat="1" ht="34.15" customHeight="1" spans="1:7">
      <c r="A925" s="502"/>
      <c r="B925" s="503"/>
      <c r="C925" s="502"/>
      <c r="D925" s="502"/>
      <c r="E925" s="502"/>
      <c r="F925" s="502"/>
      <c r="G925" s="502"/>
    </row>
    <row r="926" customFormat="1" ht="34.15" customHeight="1" spans="1:7">
      <c r="A926" s="502"/>
      <c r="B926" s="503"/>
      <c r="C926" s="502"/>
      <c r="D926" s="502"/>
      <c r="E926" s="502"/>
      <c r="F926" s="502"/>
      <c r="G926" s="502"/>
    </row>
    <row r="927" customFormat="1" ht="34.15" customHeight="1" spans="1:7">
      <c r="A927" s="502"/>
      <c r="B927" s="503"/>
      <c r="C927" s="502"/>
      <c r="D927" s="502"/>
      <c r="E927" s="502"/>
      <c r="F927" s="502"/>
      <c r="G927" s="502"/>
    </row>
    <row r="928" customFormat="1" ht="34.15" customHeight="1" spans="1:7">
      <c r="A928" s="502"/>
      <c r="B928" s="503"/>
      <c r="C928" s="502"/>
      <c r="D928" s="502"/>
      <c r="E928" s="502"/>
      <c r="F928" s="502"/>
      <c r="G928" s="502"/>
    </row>
    <row r="929" customFormat="1" ht="34.15" customHeight="1" spans="1:7">
      <c r="A929" s="502"/>
      <c r="B929" s="503"/>
      <c r="C929" s="502"/>
      <c r="D929" s="502"/>
      <c r="E929" s="502"/>
      <c r="F929" s="502"/>
      <c r="G929" s="502"/>
    </row>
    <row r="930" customFormat="1" ht="34.15" customHeight="1" spans="1:7">
      <c r="A930" s="502"/>
      <c r="B930" s="503"/>
      <c r="C930" s="502"/>
      <c r="D930" s="502"/>
      <c r="E930" s="502"/>
      <c r="F930" s="502"/>
      <c r="G930" s="502"/>
    </row>
    <row r="931" customFormat="1" ht="34.15" customHeight="1" spans="1:7">
      <c r="A931" s="502"/>
      <c r="B931" s="503"/>
      <c r="C931" s="502"/>
      <c r="D931" s="502"/>
      <c r="E931" s="502"/>
      <c r="F931" s="502"/>
      <c r="G931" s="502"/>
    </row>
    <row r="932" customFormat="1" ht="34.15" customHeight="1" spans="1:7">
      <c r="A932" s="502"/>
      <c r="B932" s="503"/>
      <c r="C932" s="502"/>
      <c r="D932" s="502"/>
      <c r="E932" s="502"/>
      <c r="F932" s="502"/>
      <c r="G932" s="502"/>
    </row>
    <row r="933" customFormat="1" ht="34.15" customHeight="1" spans="1:7">
      <c r="A933" s="502"/>
      <c r="B933" s="503"/>
      <c r="C933" s="502"/>
      <c r="D933" s="502"/>
      <c r="E933" s="502"/>
      <c r="F933" s="502"/>
      <c r="G933" s="502"/>
    </row>
    <row r="934" customFormat="1" ht="34.15" customHeight="1" spans="1:7">
      <c r="A934" s="502"/>
      <c r="B934" s="503"/>
      <c r="C934" s="502"/>
      <c r="D934" s="502"/>
      <c r="E934" s="502"/>
      <c r="F934" s="502"/>
      <c r="G934" s="502"/>
    </row>
    <row r="935" customFormat="1" ht="34.15" customHeight="1" spans="1:7">
      <c r="A935" s="502"/>
      <c r="B935" s="503"/>
      <c r="C935" s="502"/>
      <c r="D935" s="502"/>
      <c r="E935" s="502"/>
      <c r="F935" s="502"/>
      <c r="G935" s="502"/>
    </row>
    <row r="936" customFormat="1" ht="34.15" customHeight="1" spans="1:7">
      <c r="A936" s="502"/>
      <c r="B936" s="503"/>
      <c r="C936" s="502"/>
      <c r="D936" s="502"/>
      <c r="E936" s="502"/>
      <c r="F936" s="502"/>
      <c r="G936" s="502"/>
    </row>
    <row r="937" customFormat="1" ht="34.15" customHeight="1" spans="1:7">
      <c r="A937" s="502"/>
      <c r="B937" s="503"/>
      <c r="C937" s="502"/>
      <c r="D937" s="502"/>
      <c r="E937" s="502"/>
      <c r="F937" s="502"/>
      <c r="G937" s="502"/>
    </row>
    <row r="938" customFormat="1" ht="34.15" customHeight="1" spans="1:7">
      <c r="A938" s="502"/>
      <c r="B938" s="503"/>
      <c r="C938" s="502"/>
      <c r="D938" s="502"/>
      <c r="E938" s="502"/>
      <c r="F938" s="502"/>
      <c r="G938" s="502"/>
    </row>
    <row r="939" customFormat="1" ht="34.15" customHeight="1" spans="1:7">
      <c r="A939" s="502"/>
      <c r="B939" s="503"/>
      <c r="C939" s="502"/>
      <c r="D939" s="502"/>
      <c r="E939" s="502"/>
      <c r="F939" s="502"/>
      <c r="G939" s="502"/>
    </row>
    <row r="940" customFormat="1" ht="34.15" customHeight="1" spans="1:7">
      <c r="A940" s="502"/>
      <c r="B940" s="503"/>
      <c r="C940" s="502"/>
      <c r="D940" s="502"/>
      <c r="E940" s="502"/>
      <c r="F940" s="502"/>
      <c r="G940" s="502"/>
    </row>
    <row r="941" customFormat="1" ht="34.15" customHeight="1" spans="1:7">
      <c r="A941" s="502"/>
      <c r="B941" s="503"/>
      <c r="C941" s="502"/>
      <c r="D941" s="502"/>
      <c r="E941" s="502"/>
      <c r="F941" s="502"/>
      <c r="G941" s="502"/>
    </row>
    <row r="942" customFormat="1" ht="34.15" customHeight="1" spans="1:7">
      <c r="A942" s="502"/>
      <c r="B942" s="503"/>
      <c r="C942" s="502"/>
      <c r="D942" s="502"/>
      <c r="E942" s="502"/>
      <c r="F942" s="502"/>
      <c r="G942" s="502"/>
    </row>
    <row r="943" customFormat="1" ht="34.15" customHeight="1" spans="1:7">
      <c r="A943" s="502"/>
      <c r="B943" s="503"/>
      <c r="C943" s="502"/>
      <c r="D943" s="502"/>
      <c r="E943" s="502"/>
      <c r="F943" s="502"/>
      <c r="G943" s="502"/>
    </row>
    <row r="944" customFormat="1" ht="34.15" customHeight="1" spans="1:7">
      <c r="A944" s="502"/>
      <c r="B944" s="503"/>
      <c r="C944" s="502"/>
      <c r="D944" s="502"/>
      <c r="E944" s="502"/>
      <c r="F944" s="502"/>
      <c r="G944" s="502"/>
    </row>
    <row r="945" customFormat="1" ht="34.15" customHeight="1" spans="1:7">
      <c r="A945" s="502"/>
      <c r="B945" s="503"/>
      <c r="C945" s="502"/>
      <c r="D945" s="502"/>
      <c r="E945" s="502"/>
      <c r="F945" s="502"/>
      <c r="G945" s="502"/>
    </row>
    <row r="946" customFormat="1" ht="34.15" customHeight="1" spans="1:7">
      <c r="A946" s="502"/>
      <c r="B946" s="503"/>
      <c r="C946" s="502"/>
      <c r="D946" s="502"/>
      <c r="E946" s="502"/>
      <c r="F946" s="502"/>
      <c r="G946" s="502"/>
    </row>
    <row r="947" customFormat="1" ht="34.15" customHeight="1" spans="1:7">
      <c r="A947" s="502"/>
      <c r="B947" s="503"/>
      <c r="C947" s="502"/>
      <c r="D947" s="502"/>
      <c r="E947" s="502"/>
      <c r="F947" s="502"/>
      <c r="G947" s="502"/>
    </row>
    <row r="948" customFormat="1" ht="34.15" customHeight="1" spans="1:7">
      <c r="A948" s="502"/>
      <c r="B948" s="503"/>
      <c r="C948" s="502"/>
      <c r="D948" s="502"/>
      <c r="E948" s="502"/>
      <c r="F948" s="502"/>
      <c r="G948" s="502"/>
    </row>
    <row r="949" customFormat="1" ht="34.15" customHeight="1" spans="1:7">
      <c r="A949" s="502"/>
      <c r="B949" s="503"/>
      <c r="C949" s="502"/>
      <c r="D949" s="502"/>
      <c r="E949" s="502"/>
      <c r="F949" s="502"/>
      <c r="G949" s="502"/>
    </row>
    <row r="950" customFormat="1" ht="34.15" customHeight="1" spans="1:7">
      <c r="A950" s="502"/>
      <c r="B950" s="503"/>
      <c r="C950" s="502"/>
      <c r="D950" s="502"/>
      <c r="E950" s="502"/>
      <c r="F950" s="502"/>
      <c r="G950" s="502"/>
    </row>
    <row r="951" customFormat="1" ht="34.15" customHeight="1" spans="1:7">
      <c r="A951" s="502"/>
      <c r="B951" s="503"/>
      <c r="C951" s="502"/>
      <c r="D951" s="502"/>
      <c r="E951" s="502"/>
      <c r="F951" s="502"/>
      <c r="G951" s="502"/>
    </row>
    <row r="952" customFormat="1" ht="34.15" customHeight="1" spans="1:7">
      <c r="A952" s="502"/>
      <c r="B952" s="503"/>
      <c r="C952" s="502"/>
      <c r="D952" s="502"/>
      <c r="E952" s="502"/>
      <c r="F952" s="502"/>
      <c r="G952" s="502"/>
    </row>
    <row r="953" customFormat="1" ht="34.15" customHeight="1" spans="1:7">
      <c r="A953" s="502"/>
      <c r="B953" s="503"/>
      <c r="C953" s="502"/>
      <c r="D953" s="502"/>
      <c r="E953" s="502"/>
      <c r="F953" s="502"/>
      <c r="G953" s="502"/>
    </row>
    <row r="954" customFormat="1" ht="34.15" customHeight="1" spans="1:7">
      <c r="A954" s="502"/>
      <c r="B954" s="503"/>
      <c r="C954" s="502"/>
      <c r="D954" s="502"/>
      <c r="E954" s="502"/>
      <c r="F954" s="502"/>
      <c r="G954" s="502"/>
    </row>
    <row r="955" customFormat="1" ht="34.15" customHeight="1" spans="1:7">
      <c r="A955" s="502"/>
      <c r="B955" s="503"/>
      <c r="C955" s="502"/>
      <c r="D955" s="502"/>
      <c r="E955" s="502"/>
      <c r="F955" s="502"/>
      <c r="G955" s="502"/>
    </row>
    <row r="956" customFormat="1" ht="34.15" customHeight="1" spans="1:7">
      <c r="A956" s="502"/>
      <c r="B956" s="503"/>
      <c r="C956" s="502"/>
      <c r="D956" s="502"/>
      <c r="E956" s="502"/>
      <c r="F956" s="502"/>
      <c r="G956" s="502"/>
    </row>
    <row r="957" customFormat="1" ht="34.15" customHeight="1" spans="1:7">
      <c r="A957" s="502"/>
      <c r="B957" s="503"/>
      <c r="C957" s="502"/>
      <c r="D957" s="502"/>
      <c r="E957" s="502"/>
      <c r="F957" s="502"/>
      <c r="G957" s="502"/>
    </row>
    <row r="958" customFormat="1" ht="34.15" customHeight="1" spans="1:7">
      <c r="A958" s="502"/>
      <c r="B958" s="503"/>
      <c r="C958" s="502"/>
      <c r="D958" s="502"/>
      <c r="E958" s="502"/>
      <c r="F958" s="502"/>
      <c r="G958" s="502"/>
    </row>
    <row r="959" customFormat="1" ht="34.15" customHeight="1" spans="1:7">
      <c r="A959" s="502"/>
      <c r="B959" s="503"/>
      <c r="C959" s="502"/>
      <c r="D959" s="502"/>
      <c r="E959" s="502"/>
      <c r="F959" s="502"/>
      <c r="G959" s="502"/>
    </row>
    <row r="960" customFormat="1" ht="34.15" customHeight="1" spans="1:7">
      <c r="A960" s="502"/>
      <c r="B960" s="503"/>
      <c r="C960" s="502"/>
      <c r="D960" s="502"/>
      <c r="E960" s="502"/>
      <c r="F960" s="502"/>
      <c r="G960" s="502"/>
    </row>
    <row r="961" customFormat="1" ht="34.15" customHeight="1" spans="1:7">
      <c r="A961" s="502"/>
      <c r="B961" s="503"/>
      <c r="C961" s="502"/>
      <c r="D961" s="502"/>
      <c r="E961" s="502"/>
      <c r="F961" s="502"/>
      <c r="G961" s="502"/>
    </row>
    <row r="962" customFormat="1" ht="34.15" customHeight="1" spans="1:7">
      <c r="A962" s="502"/>
      <c r="B962" s="503"/>
      <c r="C962" s="502"/>
      <c r="D962" s="502"/>
      <c r="E962" s="502"/>
      <c r="F962" s="502"/>
      <c r="G962" s="502"/>
    </row>
    <row r="963" customFormat="1" ht="34.15" customHeight="1" spans="1:7">
      <c r="A963" s="502"/>
      <c r="B963" s="503"/>
      <c r="C963" s="502"/>
      <c r="D963" s="502"/>
      <c r="E963" s="502"/>
      <c r="F963" s="502"/>
      <c r="G963" s="502"/>
    </row>
    <row r="964" customFormat="1" ht="34.15" customHeight="1" spans="1:7">
      <c r="A964" s="502"/>
      <c r="B964" s="503"/>
      <c r="C964" s="502"/>
      <c r="D964" s="502"/>
      <c r="E964" s="502"/>
      <c r="F964" s="502"/>
      <c r="G964" s="502"/>
    </row>
    <row r="965" customFormat="1" ht="34.15" customHeight="1" spans="1:7">
      <c r="A965" s="502"/>
      <c r="B965" s="503"/>
      <c r="C965" s="502"/>
      <c r="D965" s="502"/>
      <c r="E965" s="502"/>
      <c r="F965" s="502"/>
      <c r="G965" s="502"/>
    </row>
    <row r="966" customFormat="1" ht="34.15" customHeight="1" spans="1:7">
      <c r="A966" s="502"/>
      <c r="B966" s="503"/>
      <c r="C966" s="502"/>
      <c r="D966" s="502"/>
      <c r="E966" s="502"/>
      <c r="F966" s="502"/>
      <c r="G966" s="502"/>
    </row>
    <row r="967" customFormat="1" ht="34.15" customHeight="1" spans="1:7">
      <c r="A967" s="502"/>
      <c r="B967" s="503"/>
      <c r="C967" s="502"/>
      <c r="D967" s="502"/>
      <c r="E967" s="502"/>
      <c r="F967" s="502"/>
      <c r="G967" s="502"/>
    </row>
    <row r="968" customFormat="1" ht="34.15" customHeight="1" spans="1:7">
      <c r="A968" s="502"/>
      <c r="B968" s="503"/>
      <c r="C968" s="502"/>
      <c r="D968" s="502"/>
      <c r="E968" s="502"/>
      <c r="F968" s="502"/>
      <c r="G968" s="502"/>
    </row>
    <row r="969" customFormat="1" ht="34.15" customHeight="1" spans="1:7">
      <c r="A969" s="502"/>
      <c r="B969" s="503"/>
      <c r="C969" s="502"/>
      <c r="D969" s="502"/>
      <c r="E969" s="502"/>
      <c r="F969" s="502"/>
      <c r="G969" s="502"/>
    </row>
    <row r="970" customFormat="1" ht="34.15" customHeight="1" spans="1:7">
      <c r="A970" s="502"/>
      <c r="B970" s="503"/>
      <c r="C970" s="502"/>
      <c r="D970" s="502"/>
      <c r="E970" s="502"/>
      <c r="F970" s="502"/>
      <c r="G970" s="502"/>
    </row>
    <row r="971" customFormat="1" ht="34.15" customHeight="1" spans="1:7">
      <c r="A971" s="502"/>
      <c r="B971" s="503"/>
      <c r="C971" s="502"/>
      <c r="D971" s="502"/>
      <c r="E971" s="502"/>
      <c r="F971" s="502"/>
      <c r="G971" s="502"/>
    </row>
    <row r="972" customFormat="1" ht="34.15" customHeight="1" spans="1:7">
      <c r="A972" s="502"/>
      <c r="B972" s="503"/>
      <c r="C972" s="502"/>
      <c r="D972" s="502"/>
      <c r="E972" s="502"/>
      <c r="F972" s="502"/>
      <c r="G972" s="502"/>
    </row>
    <row r="973" customFormat="1" ht="34.15" customHeight="1" spans="1:7">
      <c r="A973" s="502"/>
      <c r="B973" s="503"/>
      <c r="C973" s="502"/>
      <c r="D973" s="502"/>
      <c r="E973" s="502"/>
      <c r="F973" s="502"/>
      <c r="G973" s="502"/>
    </row>
    <row r="974" customFormat="1" ht="34.15" customHeight="1" spans="1:7">
      <c r="A974" s="502"/>
      <c r="B974" s="503"/>
      <c r="C974" s="502"/>
      <c r="D974" s="502"/>
      <c r="E974" s="502"/>
      <c r="F974" s="502"/>
      <c r="G974" s="502"/>
    </row>
    <row r="975" customFormat="1" ht="34.15" customHeight="1" spans="1:7">
      <c r="A975" s="502"/>
      <c r="B975" s="503"/>
      <c r="C975" s="502"/>
      <c r="D975" s="502"/>
      <c r="E975" s="502"/>
      <c r="F975" s="502"/>
      <c r="G975" s="502"/>
    </row>
    <row r="976" customFormat="1" ht="34.15" customHeight="1" spans="1:7">
      <c r="A976" s="502"/>
      <c r="B976" s="503"/>
      <c r="C976" s="502"/>
      <c r="D976" s="502"/>
      <c r="E976" s="502"/>
      <c r="F976" s="502"/>
      <c r="G976" s="502"/>
    </row>
    <row r="977" customFormat="1" ht="34.15" customHeight="1" spans="1:7">
      <c r="A977" s="502"/>
      <c r="B977" s="503"/>
      <c r="C977" s="502"/>
      <c r="D977" s="502"/>
      <c r="E977" s="502"/>
      <c r="F977" s="502"/>
      <c r="G977" s="502"/>
    </row>
    <row r="978" customFormat="1" ht="34.15" customHeight="1" spans="1:7">
      <c r="A978" s="502"/>
      <c r="B978" s="503"/>
      <c r="C978" s="502"/>
      <c r="D978" s="502"/>
      <c r="E978" s="502"/>
      <c r="F978" s="502"/>
      <c r="G978" s="502"/>
    </row>
    <row r="979" customFormat="1" ht="34.15" customHeight="1" spans="1:7">
      <c r="A979" s="502"/>
      <c r="B979" s="503"/>
      <c r="C979" s="502"/>
      <c r="D979" s="502"/>
      <c r="E979" s="502"/>
      <c r="F979" s="502"/>
      <c r="G979" s="502"/>
    </row>
    <row r="980" customFormat="1" ht="34.15" customHeight="1" spans="1:7">
      <c r="A980" s="502"/>
      <c r="B980" s="503"/>
      <c r="C980" s="502"/>
      <c r="D980" s="502"/>
      <c r="E980" s="502"/>
      <c r="F980" s="502"/>
      <c r="G980" s="502"/>
    </row>
    <row r="981" customFormat="1" ht="34.15" customHeight="1" spans="1:7">
      <c r="A981" s="502"/>
      <c r="B981" s="503"/>
      <c r="C981" s="502"/>
      <c r="D981" s="502"/>
      <c r="E981" s="502"/>
      <c r="F981" s="502"/>
      <c r="G981" s="502"/>
    </row>
    <row r="982" customFormat="1" ht="34.15" customHeight="1" spans="1:7">
      <c r="A982" s="502"/>
      <c r="B982" s="503"/>
      <c r="C982" s="502"/>
      <c r="D982" s="502"/>
      <c r="E982" s="502"/>
      <c r="F982" s="502"/>
      <c r="G982" s="502"/>
    </row>
    <row r="983" customFormat="1" ht="34.15" customHeight="1" spans="1:7">
      <c r="A983" s="502"/>
      <c r="B983" s="503"/>
      <c r="C983" s="502"/>
      <c r="D983" s="502"/>
      <c r="E983" s="502"/>
      <c r="F983" s="502"/>
      <c r="G983" s="502"/>
    </row>
    <row r="984" customFormat="1" ht="34.15" customHeight="1" spans="1:7">
      <c r="A984" s="502"/>
      <c r="B984" s="503"/>
      <c r="C984" s="502"/>
      <c r="D984" s="502"/>
      <c r="E984" s="502"/>
      <c r="F984" s="502"/>
      <c r="G984" s="502"/>
    </row>
    <row r="985" customFormat="1" ht="34.15" customHeight="1" spans="1:7">
      <c r="A985" s="502"/>
      <c r="B985" s="503"/>
      <c r="C985" s="502"/>
      <c r="D985" s="502"/>
      <c r="E985" s="502"/>
      <c r="F985" s="502"/>
      <c r="G985" s="502"/>
    </row>
    <row r="986" customFormat="1" ht="34.15" customHeight="1" spans="1:7">
      <c r="A986" s="502"/>
      <c r="B986" s="503"/>
      <c r="C986" s="502"/>
      <c r="D986" s="502"/>
      <c r="E986" s="502"/>
      <c r="F986" s="502"/>
      <c r="G986" s="502"/>
    </row>
    <row r="987" customFormat="1" ht="34.15" customHeight="1" spans="1:7">
      <c r="A987" s="502"/>
      <c r="B987" s="503"/>
      <c r="C987" s="502"/>
      <c r="D987" s="502"/>
      <c r="E987" s="502"/>
      <c r="F987" s="502"/>
      <c r="G987" s="502"/>
    </row>
    <row r="988" customFormat="1" ht="34.15" customHeight="1" spans="1:7">
      <c r="A988" s="502"/>
      <c r="B988" s="503"/>
      <c r="C988" s="502"/>
      <c r="D988" s="502"/>
      <c r="E988" s="502"/>
      <c r="F988" s="502"/>
      <c r="G988" s="502"/>
    </row>
    <row r="989" customFormat="1" ht="34.15" customHeight="1" spans="1:7">
      <c r="A989" s="502"/>
      <c r="B989" s="503"/>
      <c r="C989" s="502"/>
      <c r="D989" s="502"/>
      <c r="E989" s="502"/>
      <c r="F989" s="502"/>
      <c r="G989" s="502"/>
    </row>
    <row r="990" customFormat="1" ht="34.15" customHeight="1" spans="1:7">
      <c r="A990" s="502"/>
      <c r="B990" s="503"/>
      <c r="C990" s="502"/>
      <c r="D990" s="502"/>
      <c r="E990" s="502"/>
      <c r="F990" s="502"/>
      <c r="G990" s="502"/>
    </row>
    <row r="991" customFormat="1" ht="34.15" customHeight="1" spans="1:7">
      <c r="A991" s="502"/>
      <c r="B991" s="503"/>
      <c r="C991" s="502"/>
      <c r="D991" s="502"/>
      <c r="E991" s="502"/>
      <c r="F991" s="502"/>
      <c r="G991" s="502"/>
    </row>
    <row r="992" customFormat="1" ht="34.15" customHeight="1" spans="1:7">
      <c r="A992" s="502"/>
      <c r="B992" s="503"/>
      <c r="C992" s="502"/>
      <c r="D992" s="502"/>
      <c r="E992" s="502"/>
      <c r="F992" s="502"/>
      <c r="G992" s="502"/>
    </row>
    <row r="993" customFormat="1" ht="34.15" customHeight="1" spans="1:7">
      <c r="A993" s="502"/>
      <c r="B993" s="503"/>
      <c r="C993" s="502"/>
      <c r="D993" s="502"/>
      <c r="E993" s="502"/>
      <c r="F993" s="502"/>
      <c r="G993" s="502"/>
    </row>
    <row r="994" customFormat="1" ht="34.15" customHeight="1" spans="1:7">
      <c r="A994" s="502"/>
      <c r="B994" s="503"/>
      <c r="C994" s="502"/>
      <c r="D994" s="502"/>
      <c r="E994" s="502"/>
      <c r="F994" s="502"/>
      <c r="G994" s="502"/>
    </row>
    <row r="995" customFormat="1" ht="34.15" customHeight="1" spans="1:7">
      <c r="A995" s="502"/>
      <c r="B995" s="503"/>
      <c r="C995" s="502"/>
      <c r="D995" s="502"/>
      <c r="E995" s="502"/>
      <c r="F995" s="502"/>
      <c r="G995" s="502"/>
    </row>
    <row r="996" customFormat="1" ht="34.15" customHeight="1" spans="1:7">
      <c r="A996" s="502"/>
      <c r="B996" s="503"/>
      <c r="C996" s="502"/>
      <c r="D996" s="502"/>
      <c r="E996" s="502"/>
      <c r="F996" s="502"/>
      <c r="G996" s="502"/>
    </row>
    <row r="997" customFormat="1" ht="34.15" customHeight="1" spans="1:7">
      <c r="A997" s="502"/>
      <c r="B997" s="503"/>
      <c r="C997" s="502"/>
      <c r="D997" s="502"/>
      <c r="E997" s="502"/>
      <c r="F997" s="502"/>
      <c r="G997" s="502"/>
    </row>
    <row r="998" customFormat="1" ht="34.15" customHeight="1" spans="1:7">
      <c r="A998" s="502"/>
      <c r="B998" s="503"/>
      <c r="C998" s="502"/>
      <c r="D998" s="502"/>
      <c r="E998" s="502"/>
      <c r="F998" s="502"/>
      <c r="G998" s="502"/>
    </row>
    <row r="999" customFormat="1" ht="34.15" customHeight="1" spans="1:7">
      <c r="A999" s="502"/>
      <c r="B999" s="503"/>
      <c r="C999" s="502"/>
      <c r="D999" s="502"/>
      <c r="E999" s="502"/>
      <c r="F999" s="502"/>
      <c r="G999" s="502"/>
    </row>
    <row r="1000" customFormat="1" ht="34.15" customHeight="1" spans="1:7">
      <c r="A1000" s="502"/>
      <c r="B1000" s="503"/>
      <c r="C1000" s="502"/>
      <c r="D1000" s="502"/>
      <c r="E1000" s="502"/>
      <c r="F1000" s="502"/>
      <c r="G1000" s="502"/>
    </row>
    <row r="1001" customFormat="1" ht="34.15" customHeight="1" spans="1:7">
      <c r="A1001" s="502"/>
      <c r="B1001" s="503"/>
      <c r="C1001" s="502"/>
      <c r="D1001" s="502"/>
      <c r="E1001" s="502"/>
      <c r="F1001" s="502"/>
      <c r="G1001" s="502"/>
    </row>
    <row r="1002" customFormat="1" ht="34.15" customHeight="1" spans="1:7">
      <c r="A1002" s="502"/>
      <c r="B1002" s="503"/>
      <c r="C1002" s="502"/>
      <c r="D1002" s="502"/>
      <c r="E1002" s="502"/>
      <c r="F1002" s="502"/>
      <c r="G1002" s="502"/>
    </row>
    <row r="1003" customFormat="1" ht="34.15" customHeight="1" spans="1:7">
      <c r="A1003" s="502"/>
      <c r="B1003" s="503"/>
      <c r="C1003" s="502"/>
      <c r="D1003" s="502"/>
      <c r="E1003" s="502"/>
      <c r="F1003" s="502"/>
      <c r="G1003" s="502"/>
    </row>
    <row r="1004" customFormat="1" ht="34.15" customHeight="1" spans="1:7">
      <c r="A1004" s="502"/>
      <c r="B1004" s="503"/>
      <c r="C1004" s="502"/>
      <c r="D1004" s="502"/>
      <c r="E1004" s="502"/>
      <c r="F1004" s="502"/>
      <c r="G1004" s="502"/>
    </row>
    <row r="1005" customFormat="1" ht="34.15" customHeight="1" spans="1:7">
      <c r="A1005" s="502"/>
      <c r="B1005" s="503"/>
      <c r="C1005" s="502"/>
      <c r="D1005" s="502"/>
      <c r="E1005" s="502"/>
      <c r="F1005" s="502"/>
      <c r="G1005" s="502"/>
    </row>
    <row r="1006" customFormat="1" ht="34.15" customHeight="1" spans="1:7">
      <c r="A1006" s="502"/>
      <c r="B1006" s="503"/>
      <c r="C1006" s="502"/>
      <c r="D1006" s="502"/>
      <c r="E1006" s="502"/>
      <c r="F1006" s="502"/>
      <c r="G1006" s="502"/>
    </row>
    <row r="1007" customFormat="1" ht="34.15" customHeight="1" spans="1:7">
      <c r="A1007" s="502"/>
      <c r="B1007" s="503"/>
      <c r="C1007" s="502"/>
      <c r="D1007" s="502"/>
      <c r="E1007" s="502"/>
      <c r="F1007" s="502"/>
      <c r="G1007" s="502"/>
    </row>
    <row r="1008" customFormat="1" ht="34.15" customHeight="1" spans="1:7">
      <c r="A1008" s="502"/>
      <c r="B1008" s="503"/>
      <c r="C1008" s="502"/>
      <c r="D1008" s="502"/>
      <c r="E1008" s="502"/>
      <c r="F1008" s="502"/>
      <c r="G1008" s="502"/>
    </row>
    <row r="1009" customFormat="1" ht="34.15" customHeight="1" spans="1:7">
      <c r="A1009" s="502"/>
      <c r="B1009" s="503"/>
      <c r="C1009" s="502"/>
      <c r="D1009" s="502"/>
      <c r="E1009" s="502"/>
      <c r="F1009" s="502"/>
      <c r="G1009" s="502"/>
    </row>
    <row r="1010" customFormat="1" ht="34.15" customHeight="1" spans="1:7">
      <c r="A1010" s="502"/>
      <c r="B1010" s="503"/>
      <c r="C1010" s="502"/>
      <c r="D1010" s="502"/>
      <c r="E1010" s="502"/>
      <c r="F1010" s="502"/>
      <c r="G1010" s="502"/>
    </row>
    <row r="1011" customFormat="1" ht="34.15" customHeight="1" spans="1:7">
      <c r="A1011" s="502"/>
      <c r="B1011" s="503"/>
      <c r="C1011" s="502"/>
      <c r="D1011" s="502"/>
      <c r="E1011" s="502"/>
      <c r="F1011" s="502"/>
      <c r="G1011" s="502"/>
    </row>
    <row r="1012" customFormat="1" ht="34.15" customHeight="1" spans="1:7">
      <c r="A1012" s="502"/>
      <c r="B1012" s="503"/>
      <c r="C1012" s="502"/>
      <c r="D1012" s="502"/>
      <c r="E1012" s="502"/>
      <c r="F1012" s="502"/>
      <c r="G1012" s="502"/>
    </row>
    <row r="1013" customFormat="1" ht="34.15" customHeight="1" spans="1:7">
      <c r="A1013" s="502"/>
      <c r="B1013" s="503"/>
      <c r="C1013" s="502"/>
      <c r="D1013" s="502"/>
      <c r="E1013" s="502"/>
      <c r="F1013" s="502"/>
      <c r="G1013" s="502"/>
    </row>
    <row r="1014" customFormat="1" ht="34.15" customHeight="1" spans="1:7">
      <c r="A1014" s="502"/>
      <c r="B1014" s="503"/>
      <c r="C1014" s="502"/>
      <c r="D1014" s="502"/>
      <c r="E1014" s="502"/>
      <c r="F1014" s="502"/>
      <c r="G1014" s="502"/>
    </row>
    <row r="1015" customFormat="1" ht="34.15" customHeight="1" spans="1:7">
      <c r="A1015" s="502"/>
      <c r="B1015" s="503"/>
      <c r="C1015" s="502"/>
      <c r="D1015" s="502"/>
      <c r="E1015" s="502"/>
      <c r="F1015" s="502"/>
      <c r="G1015" s="502"/>
    </row>
    <row r="1016" customFormat="1" ht="34.15" customHeight="1" spans="1:7">
      <c r="A1016" s="502"/>
      <c r="B1016" s="503"/>
      <c r="C1016" s="502"/>
      <c r="D1016" s="502"/>
      <c r="E1016" s="502"/>
      <c r="F1016" s="502"/>
      <c r="G1016" s="502"/>
    </row>
    <row r="1017" customFormat="1" ht="34.15" customHeight="1" spans="1:7">
      <c r="A1017" s="502"/>
      <c r="B1017" s="503"/>
      <c r="C1017" s="502"/>
      <c r="D1017" s="502"/>
      <c r="E1017" s="502"/>
      <c r="F1017" s="502"/>
      <c r="G1017" s="502"/>
    </row>
    <row r="1018" customFormat="1" ht="34.15" customHeight="1" spans="1:7">
      <c r="A1018" s="502"/>
      <c r="B1018" s="503"/>
      <c r="C1018" s="502"/>
      <c r="D1018" s="502"/>
      <c r="E1018" s="502"/>
      <c r="F1018" s="502"/>
      <c r="G1018" s="502"/>
    </row>
    <row r="1019" customFormat="1" ht="34.15" customHeight="1" spans="1:7">
      <c r="A1019" s="502"/>
      <c r="B1019" s="503"/>
      <c r="C1019" s="502"/>
      <c r="D1019" s="502"/>
      <c r="E1019" s="502"/>
      <c r="F1019" s="502"/>
      <c r="G1019" s="502"/>
    </row>
    <row r="1020" customFormat="1" ht="34.15" customHeight="1" spans="1:7">
      <c r="A1020" s="502"/>
      <c r="B1020" s="503"/>
      <c r="C1020" s="502"/>
      <c r="D1020" s="502"/>
      <c r="E1020" s="502"/>
      <c r="F1020" s="502"/>
      <c r="G1020" s="502"/>
    </row>
    <row r="1021" customFormat="1" ht="34.15" customHeight="1" spans="1:7">
      <c r="A1021" s="502"/>
      <c r="B1021" s="503"/>
      <c r="C1021" s="502"/>
      <c r="D1021" s="502"/>
      <c r="E1021" s="502"/>
      <c r="F1021" s="502"/>
      <c r="G1021" s="502"/>
    </row>
    <row r="1022" customFormat="1" ht="34.15" customHeight="1" spans="1:7">
      <c r="A1022" s="502"/>
      <c r="B1022" s="503"/>
      <c r="C1022" s="502"/>
      <c r="D1022" s="502"/>
      <c r="E1022" s="502"/>
      <c r="F1022" s="502"/>
      <c r="G1022" s="502"/>
    </row>
    <row r="1023" customFormat="1" ht="34.15" customHeight="1" spans="1:7">
      <c r="A1023" s="502"/>
      <c r="B1023" s="503"/>
      <c r="C1023" s="502"/>
      <c r="D1023" s="502"/>
      <c r="E1023" s="502"/>
      <c r="F1023" s="502"/>
      <c r="G1023" s="502"/>
    </row>
    <row r="1024" customFormat="1" ht="34.15" customHeight="1" spans="1:7">
      <c r="A1024" s="502"/>
      <c r="B1024" s="503"/>
      <c r="C1024" s="502"/>
      <c r="D1024" s="502"/>
      <c r="E1024" s="502"/>
      <c r="F1024" s="502"/>
      <c r="G1024" s="502"/>
    </row>
    <row r="1025" customFormat="1" ht="34.15" customHeight="1" spans="1:7">
      <c r="A1025" s="502"/>
      <c r="B1025" s="503"/>
      <c r="C1025" s="502"/>
      <c r="D1025" s="502"/>
      <c r="E1025" s="502"/>
      <c r="F1025" s="502"/>
      <c r="G1025" s="502"/>
    </row>
    <row r="1026" customFormat="1" ht="34.15" customHeight="1" spans="1:7">
      <c r="A1026" s="502"/>
      <c r="B1026" s="503"/>
      <c r="C1026" s="502"/>
      <c r="D1026" s="502"/>
      <c r="E1026" s="502"/>
      <c r="F1026" s="502"/>
      <c r="G1026" s="502"/>
    </row>
    <row r="1027" customFormat="1" ht="34.15" customHeight="1" spans="1:7">
      <c r="A1027" s="502"/>
      <c r="B1027" s="503"/>
      <c r="C1027" s="502"/>
      <c r="D1027" s="502"/>
      <c r="E1027" s="502"/>
      <c r="F1027" s="502"/>
      <c r="G1027" s="502"/>
    </row>
    <row r="1028" customFormat="1" ht="34.15" customHeight="1" spans="1:7">
      <c r="A1028" s="502"/>
      <c r="B1028" s="503"/>
      <c r="C1028" s="502"/>
      <c r="D1028" s="502"/>
      <c r="E1028" s="502"/>
      <c r="F1028" s="502"/>
      <c r="G1028" s="502"/>
    </row>
    <row r="1029" customFormat="1" ht="34.15" customHeight="1" spans="1:7">
      <c r="A1029" s="502"/>
      <c r="B1029" s="503"/>
      <c r="C1029" s="502"/>
      <c r="D1029" s="502"/>
      <c r="E1029" s="502"/>
      <c r="F1029" s="502"/>
      <c r="G1029" s="502"/>
    </row>
    <row r="1030" customFormat="1" ht="34.15" customHeight="1" spans="1:7">
      <c r="A1030" s="502"/>
      <c r="B1030" s="503"/>
      <c r="C1030" s="502"/>
      <c r="D1030" s="502"/>
      <c r="E1030" s="502"/>
      <c r="F1030" s="502"/>
      <c r="G1030" s="502"/>
    </row>
    <row r="1031" customFormat="1" ht="34.15" customHeight="1" spans="1:7">
      <c r="A1031" s="502"/>
      <c r="B1031" s="503"/>
      <c r="C1031" s="502"/>
      <c r="D1031" s="502"/>
      <c r="E1031" s="502"/>
      <c r="F1031" s="502"/>
      <c r="G1031" s="502"/>
    </row>
    <row r="1032" customFormat="1" ht="34.15" customHeight="1" spans="1:7">
      <c r="A1032" s="502"/>
      <c r="B1032" s="503"/>
      <c r="C1032" s="502"/>
      <c r="D1032" s="502"/>
      <c r="E1032" s="502"/>
      <c r="F1032" s="502"/>
      <c r="G1032" s="502"/>
    </row>
    <row r="1033" customFormat="1" ht="34.15" customHeight="1" spans="1:7">
      <c r="A1033" s="502"/>
      <c r="B1033" s="503"/>
      <c r="C1033" s="502"/>
      <c r="D1033" s="502"/>
      <c r="E1033" s="502"/>
      <c r="F1033" s="502"/>
      <c r="G1033" s="502"/>
    </row>
    <row r="1034" customFormat="1" ht="34.15" customHeight="1" spans="1:7">
      <c r="A1034" s="502"/>
      <c r="B1034" s="503"/>
      <c r="C1034" s="502"/>
      <c r="D1034" s="502"/>
      <c r="E1034" s="502"/>
      <c r="F1034" s="502"/>
      <c r="G1034" s="502"/>
    </row>
    <row r="1035" customFormat="1" ht="34.15" customHeight="1" spans="1:7">
      <c r="A1035" s="502"/>
      <c r="B1035" s="503"/>
      <c r="C1035" s="502"/>
      <c r="D1035" s="502"/>
      <c r="E1035" s="502"/>
      <c r="F1035" s="502"/>
      <c r="G1035" s="502"/>
    </row>
    <row r="1036" customFormat="1" ht="34.15" customHeight="1" spans="1:7">
      <c r="A1036" s="502"/>
      <c r="B1036" s="503"/>
      <c r="C1036" s="502"/>
      <c r="D1036" s="502"/>
      <c r="E1036" s="502"/>
      <c r="F1036" s="502"/>
      <c r="G1036" s="502"/>
    </row>
    <row r="1037" customFormat="1" ht="34.15" customHeight="1" spans="1:7">
      <c r="A1037" s="502"/>
      <c r="B1037" s="503"/>
      <c r="C1037" s="502"/>
      <c r="D1037" s="502"/>
      <c r="E1037" s="502"/>
      <c r="F1037" s="502"/>
      <c r="G1037" s="502"/>
    </row>
    <row r="1038" customFormat="1" ht="34.15" customHeight="1" spans="1:7">
      <c r="A1038" s="502"/>
      <c r="B1038" s="503"/>
      <c r="C1038" s="502"/>
      <c r="D1038" s="502"/>
      <c r="E1038" s="502"/>
      <c r="F1038" s="502"/>
      <c r="G1038" s="502"/>
    </row>
    <row r="1039" customFormat="1" ht="34.15" customHeight="1" spans="1:7">
      <c r="A1039" s="502"/>
      <c r="B1039" s="503"/>
      <c r="C1039" s="502"/>
      <c r="D1039" s="502"/>
      <c r="E1039" s="502"/>
      <c r="F1039" s="502"/>
      <c r="G1039" s="502"/>
    </row>
    <row r="1040" customFormat="1" ht="34.15" customHeight="1" spans="1:7">
      <c r="A1040" s="502"/>
      <c r="B1040" s="503"/>
      <c r="C1040" s="502"/>
      <c r="D1040" s="502"/>
      <c r="E1040" s="502"/>
      <c r="F1040" s="502"/>
      <c r="G1040" s="502"/>
    </row>
    <row r="1041" customFormat="1" ht="34.15" customHeight="1" spans="1:7">
      <c r="A1041" s="502"/>
      <c r="B1041" s="503"/>
      <c r="C1041" s="502"/>
      <c r="D1041" s="502"/>
      <c r="E1041" s="502"/>
      <c r="F1041" s="502"/>
      <c r="G1041" s="502"/>
    </row>
    <row r="1042" customFormat="1" ht="34.15" customHeight="1" spans="1:7">
      <c r="A1042" s="502"/>
      <c r="B1042" s="503"/>
      <c r="C1042" s="502"/>
      <c r="D1042" s="502"/>
      <c r="E1042" s="502"/>
      <c r="F1042" s="502"/>
      <c r="G1042" s="502"/>
    </row>
    <row r="1043" customFormat="1" ht="34.15" customHeight="1" spans="1:7">
      <c r="A1043" s="502"/>
      <c r="B1043" s="503"/>
      <c r="C1043" s="502"/>
      <c r="D1043" s="502"/>
      <c r="E1043" s="502"/>
      <c r="F1043" s="502"/>
      <c r="G1043" s="502"/>
    </row>
    <row r="1044" customFormat="1" ht="34.15" customHeight="1" spans="1:7">
      <c r="A1044" s="502"/>
      <c r="B1044" s="503"/>
      <c r="C1044" s="502"/>
      <c r="D1044" s="502"/>
      <c r="E1044" s="502"/>
      <c r="F1044" s="502"/>
      <c r="G1044" s="502"/>
    </row>
    <row r="1045" customFormat="1" ht="34.15" customHeight="1" spans="1:7">
      <c r="A1045" s="502"/>
      <c r="B1045" s="503"/>
      <c r="C1045" s="502"/>
      <c r="D1045" s="502"/>
      <c r="E1045" s="502"/>
      <c r="F1045" s="502"/>
      <c r="G1045" s="502"/>
    </row>
    <row r="1046" customFormat="1" ht="34.15" customHeight="1" spans="1:7">
      <c r="A1046" s="502"/>
      <c r="B1046" s="503"/>
      <c r="C1046" s="502"/>
      <c r="D1046" s="502"/>
      <c r="E1046" s="502"/>
      <c r="F1046" s="502"/>
      <c r="G1046" s="502"/>
    </row>
    <row r="1047" customFormat="1" ht="34.15" customHeight="1" spans="1:7">
      <c r="A1047" s="502"/>
      <c r="B1047" s="503"/>
      <c r="C1047" s="502"/>
      <c r="D1047" s="502"/>
      <c r="E1047" s="502"/>
      <c r="F1047" s="502"/>
      <c r="G1047" s="502"/>
    </row>
    <row r="1048" customFormat="1" ht="34.15" customHeight="1" spans="1:7">
      <c r="A1048" s="502"/>
      <c r="B1048" s="503"/>
      <c r="C1048" s="502"/>
      <c r="D1048" s="502"/>
      <c r="E1048" s="502"/>
      <c r="F1048" s="502"/>
      <c r="G1048" s="502"/>
    </row>
    <row r="1049" customFormat="1" ht="34.15" customHeight="1" spans="1:7">
      <c r="A1049" s="502"/>
      <c r="B1049" s="503"/>
      <c r="C1049" s="502"/>
      <c r="D1049" s="502"/>
      <c r="E1049" s="502"/>
      <c r="F1049" s="502"/>
      <c r="G1049" s="502"/>
    </row>
    <row r="1050" customFormat="1" ht="34.15" customHeight="1" spans="1:7">
      <c r="A1050" s="502"/>
      <c r="B1050" s="503"/>
      <c r="C1050" s="502"/>
      <c r="D1050" s="502"/>
      <c r="E1050" s="502"/>
      <c r="F1050" s="502"/>
      <c r="G1050" s="502"/>
    </row>
    <row r="1051" customFormat="1" ht="34.15" customHeight="1" spans="1:7">
      <c r="A1051" s="502"/>
      <c r="B1051" s="503"/>
      <c r="C1051" s="502"/>
      <c r="D1051" s="502"/>
      <c r="E1051" s="502"/>
      <c r="F1051" s="502"/>
      <c r="G1051" s="502"/>
    </row>
    <row r="1052" customFormat="1" ht="34.15" customHeight="1" spans="1:7">
      <c r="A1052" s="502"/>
      <c r="B1052" s="503"/>
      <c r="C1052" s="502"/>
      <c r="D1052" s="502"/>
      <c r="E1052" s="502"/>
      <c r="F1052" s="502"/>
      <c r="G1052" s="502"/>
    </row>
    <row r="1053" customFormat="1" ht="34.15" customHeight="1" spans="1:7">
      <c r="A1053" s="502"/>
      <c r="B1053" s="503"/>
      <c r="C1053" s="502"/>
      <c r="D1053" s="502"/>
      <c r="E1053" s="502"/>
      <c r="F1053" s="502"/>
      <c r="G1053" s="502"/>
    </row>
    <row r="1054" customFormat="1" ht="34.15" customHeight="1" spans="1:7">
      <c r="A1054" s="502"/>
      <c r="B1054" s="503"/>
      <c r="C1054" s="502"/>
      <c r="D1054" s="502"/>
      <c r="E1054" s="502"/>
      <c r="F1054" s="502"/>
      <c r="G1054" s="502"/>
    </row>
    <row r="1055" customFormat="1" ht="34.15" customHeight="1" spans="1:7">
      <c r="A1055" s="502"/>
      <c r="B1055" s="503"/>
      <c r="C1055" s="502"/>
      <c r="D1055" s="502"/>
      <c r="E1055" s="502"/>
      <c r="F1055" s="502"/>
      <c r="G1055" s="502"/>
    </row>
    <row r="1056" customFormat="1" ht="34.15" customHeight="1" spans="1:7">
      <c r="A1056" s="502"/>
      <c r="B1056" s="503"/>
      <c r="C1056" s="502"/>
      <c r="D1056" s="502"/>
      <c r="E1056" s="502"/>
      <c r="F1056" s="502"/>
      <c r="G1056" s="502"/>
    </row>
    <row r="1057" customFormat="1" ht="34.15" customHeight="1" spans="1:7">
      <c r="A1057" s="502"/>
      <c r="B1057" s="503"/>
      <c r="C1057" s="502"/>
      <c r="D1057" s="502"/>
      <c r="E1057" s="502"/>
      <c r="F1057" s="502"/>
      <c r="G1057" s="502"/>
    </row>
    <row r="1058" customFormat="1" ht="34.15" customHeight="1" spans="1:7">
      <c r="A1058" s="502"/>
      <c r="B1058" s="503"/>
      <c r="C1058" s="502"/>
      <c r="D1058" s="502"/>
      <c r="E1058" s="502"/>
      <c r="F1058" s="502"/>
      <c r="G1058" s="502"/>
    </row>
    <row r="1059" customFormat="1" ht="34.15" customHeight="1" spans="1:7">
      <c r="A1059" s="502"/>
      <c r="B1059" s="503"/>
      <c r="C1059" s="502"/>
      <c r="D1059" s="502"/>
      <c r="E1059" s="502"/>
      <c r="F1059" s="502"/>
      <c r="G1059" s="502"/>
    </row>
    <row r="1060" customFormat="1" ht="34.15" customHeight="1" spans="1:7">
      <c r="A1060" s="502"/>
      <c r="B1060" s="503"/>
      <c r="C1060" s="502"/>
      <c r="D1060" s="502"/>
      <c r="E1060" s="502"/>
      <c r="F1060" s="502"/>
      <c r="G1060" s="502"/>
    </row>
    <row r="1061" customFormat="1" ht="34.15" customHeight="1" spans="1:7">
      <c r="A1061" s="502"/>
      <c r="B1061" s="503"/>
      <c r="C1061" s="502"/>
      <c r="D1061" s="502"/>
      <c r="E1061" s="502"/>
      <c r="F1061" s="502"/>
      <c r="G1061" s="502"/>
    </row>
    <row r="1062" customFormat="1" ht="34.15" customHeight="1" spans="1:7">
      <c r="A1062" s="502"/>
      <c r="B1062" s="503"/>
      <c r="C1062" s="502"/>
      <c r="D1062" s="502"/>
      <c r="E1062" s="502"/>
      <c r="F1062" s="502"/>
      <c r="G1062" s="502"/>
    </row>
    <row r="1063" customFormat="1" ht="34.15" customHeight="1" spans="1:7">
      <c r="A1063" s="502"/>
      <c r="B1063" s="503"/>
      <c r="C1063" s="502"/>
      <c r="D1063" s="502"/>
      <c r="E1063" s="502"/>
      <c r="F1063" s="502"/>
      <c r="G1063" s="502"/>
    </row>
    <row r="1064" customFormat="1" ht="34.15" customHeight="1" spans="1:7">
      <c r="A1064" s="502"/>
      <c r="B1064" s="503"/>
      <c r="C1064" s="502"/>
      <c r="D1064" s="502"/>
      <c r="E1064" s="502"/>
      <c r="F1064" s="502"/>
      <c r="G1064" s="502"/>
    </row>
    <row r="1065" customFormat="1" ht="34.15" customHeight="1" spans="1:7">
      <c r="A1065" s="502"/>
      <c r="B1065" s="503"/>
      <c r="C1065" s="502"/>
      <c r="D1065" s="502"/>
      <c r="E1065" s="502"/>
      <c r="F1065" s="502"/>
      <c r="G1065" s="502"/>
    </row>
    <row r="1066" customFormat="1" ht="34.15" customHeight="1" spans="1:7">
      <c r="A1066" s="502"/>
      <c r="B1066" s="503"/>
      <c r="C1066" s="502"/>
      <c r="D1066" s="502"/>
      <c r="E1066" s="502"/>
      <c r="F1066" s="502"/>
      <c r="G1066" s="502"/>
    </row>
    <row r="1067" customFormat="1" ht="34.15" customHeight="1" spans="1:7">
      <c r="A1067" s="502"/>
      <c r="B1067" s="503"/>
      <c r="C1067" s="502"/>
      <c r="D1067" s="502"/>
      <c r="E1067" s="502"/>
      <c r="F1067" s="502"/>
      <c r="G1067" s="502"/>
    </row>
    <row r="1068" customFormat="1" ht="34.15" customHeight="1" spans="1:7">
      <c r="A1068" s="502"/>
      <c r="B1068" s="503"/>
      <c r="C1068" s="502"/>
      <c r="D1068" s="502"/>
      <c r="E1068" s="502"/>
      <c r="F1068" s="502"/>
      <c r="G1068" s="502"/>
    </row>
    <row r="1069" customFormat="1" ht="34.15" customHeight="1" spans="1:7">
      <c r="A1069" s="502"/>
      <c r="B1069" s="503"/>
      <c r="C1069" s="502"/>
      <c r="D1069" s="502"/>
      <c r="E1069" s="502"/>
      <c r="F1069" s="502"/>
      <c r="G1069" s="502"/>
    </row>
    <row r="1070" customFormat="1" ht="34.15" customHeight="1" spans="1:7">
      <c r="A1070" s="502"/>
      <c r="B1070" s="503"/>
      <c r="C1070" s="502"/>
      <c r="D1070" s="502"/>
      <c r="E1070" s="502"/>
      <c r="F1070" s="502"/>
      <c r="G1070" s="502"/>
    </row>
    <row r="1071" customFormat="1" ht="34.15" customHeight="1" spans="1:7">
      <c r="A1071" s="502"/>
      <c r="B1071" s="503"/>
      <c r="C1071" s="502"/>
      <c r="D1071" s="502"/>
      <c r="E1071" s="502"/>
      <c r="F1071" s="502"/>
      <c r="G1071" s="502"/>
    </row>
    <row r="1072" customFormat="1" ht="34.15" customHeight="1" spans="1:7">
      <c r="A1072" s="502"/>
      <c r="B1072" s="503"/>
      <c r="C1072" s="502"/>
      <c r="D1072" s="502"/>
      <c r="E1072" s="502"/>
      <c r="F1072" s="502"/>
      <c r="G1072" s="502"/>
    </row>
    <row r="1073" customFormat="1" ht="34.15" customHeight="1" spans="1:7">
      <c r="A1073" s="502"/>
      <c r="B1073" s="503"/>
      <c r="C1073" s="502"/>
      <c r="D1073" s="502"/>
      <c r="E1073" s="502"/>
      <c r="F1073" s="502"/>
      <c r="G1073" s="502"/>
    </row>
    <row r="1074" customFormat="1" ht="34.15" customHeight="1" spans="1:7">
      <c r="A1074" s="502"/>
      <c r="B1074" s="503"/>
      <c r="C1074" s="502"/>
      <c r="D1074" s="502"/>
      <c r="E1074" s="502"/>
      <c r="F1074" s="502"/>
      <c r="G1074" s="502"/>
    </row>
    <row r="1075" customFormat="1" ht="34.15" customHeight="1" spans="1:7">
      <c r="A1075" s="502"/>
      <c r="B1075" s="503"/>
      <c r="C1075" s="502"/>
      <c r="D1075" s="502"/>
      <c r="E1075" s="502"/>
      <c r="F1075" s="502"/>
      <c r="G1075" s="502"/>
    </row>
    <row r="1076" customFormat="1" ht="34.15" customHeight="1" spans="1:7">
      <c r="A1076" s="502"/>
      <c r="B1076" s="503"/>
      <c r="C1076" s="502"/>
      <c r="D1076" s="502"/>
      <c r="E1076" s="502"/>
      <c r="F1076" s="502"/>
      <c r="G1076" s="502"/>
    </row>
    <row r="1077" customFormat="1" ht="34.15" customHeight="1" spans="1:7">
      <c r="A1077" s="502"/>
      <c r="B1077" s="503"/>
      <c r="C1077" s="502"/>
      <c r="D1077" s="502"/>
      <c r="E1077" s="502"/>
      <c r="F1077" s="502"/>
      <c r="G1077" s="502"/>
    </row>
    <row r="1078" customFormat="1" ht="34.15" customHeight="1" spans="1:7">
      <c r="A1078" s="502"/>
      <c r="B1078" s="503"/>
      <c r="C1078" s="502"/>
      <c r="D1078" s="502"/>
      <c r="E1078" s="502"/>
      <c r="F1078" s="502"/>
      <c r="G1078" s="502"/>
    </row>
    <row r="1079" customFormat="1" ht="34.15" customHeight="1" spans="1:7">
      <c r="A1079" s="502"/>
      <c r="B1079" s="503"/>
      <c r="C1079" s="502"/>
      <c r="D1079" s="502"/>
      <c r="E1079" s="502"/>
      <c r="F1079" s="502"/>
      <c r="G1079" s="502"/>
    </row>
    <row r="1080" customFormat="1" ht="34.15" customHeight="1" spans="1:7">
      <c r="A1080" s="502"/>
      <c r="B1080" s="503"/>
      <c r="C1080" s="502"/>
      <c r="D1080" s="502"/>
      <c r="E1080" s="502"/>
      <c r="F1080" s="502"/>
      <c r="G1080" s="502"/>
    </row>
    <row r="1081" customFormat="1" ht="34.15" customHeight="1" spans="1:7">
      <c r="A1081" s="502"/>
      <c r="B1081" s="503"/>
      <c r="C1081" s="502"/>
      <c r="D1081" s="502"/>
      <c r="E1081" s="502"/>
      <c r="F1081" s="502"/>
      <c r="G1081" s="502"/>
    </row>
    <row r="1082" customFormat="1" ht="34.15" customHeight="1" spans="1:7">
      <c r="A1082" s="502"/>
      <c r="B1082" s="503"/>
      <c r="C1082" s="502"/>
      <c r="D1082" s="502"/>
      <c r="E1082" s="502"/>
      <c r="F1082" s="502"/>
      <c r="G1082" s="502"/>
    </row>
    <row r="1083" customFormat="1" ht="34.15" customHeight="1" spans="1:7">
      <c r="A1083" s="502"/>
      <c r="B1083" s="503"/>
      <c r="C1083" s="502"/>
      <c r="D1083" s="502"/>
      <c r="E1083" s="502"/>
      <c r="F1083" s="502"/>
      <c r="G1083" s="502"/>
    </row>
    <row r="1084" customFormat="1" ht="34.15" customHeight="1" spans="1:7">
      <c r="A1084" s="502"/>
      <c r="B1084" s="503"/>
      <c r="C1084" s="502"/>
      <c r="D1084" s="502"/>
      <c r="E1084" s="502"/>
      <c r="F1084" s="502"/>
      <c r="G1084" s="502"/>
    </row>
    <row r="1085" customFormat="1" ht="34.15" customHeight="1" spans="1:7">
      <c r="A1085" s="502"/>
      <c r="B1085" s="503"/>
      <c r="C1085" s="502"/>
      <c r="D1085" s="502"/>
      <c r="E1085" s="502"/>
      <c r="F1085" s="502"/>
      <c r="G1085" s="502"/>
    </row>
    <row r="1086" customFormat="1" ht="34.15" customHeight="1" spans="1:7">
      <c r="A1086" s="502"/>
      <c r="B1086" s="503"/>
      <c r="C1086" s="502"/>
      <c r="D1086" s="502"/>
      <c r="E1086" s="502"/>
      <c r="F1086" s="502"/>
      <c r="G1086" s="502"/>
    </row>
    <row r="1087" customFormat="1" ht="34.15" customHeight="1" spans="1:7">
      <c r="A1087" s="502"/>
      <c r="B1087" s="503"/>
      <c r="C1087" s="502"/>
      <c r="D1087" s="502"/>
      <c r="E1087" s="502"/>
      <c r="F1087" s="502"/>
      <c r="G1087" s="502"/>
    </row>
    <row r="1088" customFormat="1" ht="34.15" customHeight="1" spans="1:7">
      <c r="A1088" s="502"/>
      <c r="B1088" s="503"/>
      <c r="C1088" s="502"/>
      <c r="D1088" s="502"/>
      <c r="E1088" s="502"/>
      <c r="F1088" s="502"/>
      <c r="G1088" s="502"/>
    </row>
    <row r="1089" customFormat="1" ht="34.15" customHeight="1" spans="1:7">
      <c r="A1089" s="502"/>
      <c r="B1089" s="503"/>
      <c r="C1089" s="502"/>
      <c r="D1089" s="502"/>
      <c r="E1089" s="502"/>
      <c r="F1089" s="502"/>
      <c r="G1089" s="502"/>
    </row>
    <row r="1090" customFormat="1" ht="34.15" customHeight="1" spans="1:7">
      <c r="A1090" s="502"/>
      <c r="B1090" s="503"/>
      <c r="C1090" s="502"/>
      <c r="D1090" s="502"/>
      <c r="E1090" s="502"/>
      <c r="F1090" s="502"/>
      <c r="G1090" s="502"/>
    </row>
    <row r="1091" customFormat="1" ht="34.15" customHeight="1" spans="1:7">
      <c r="A1091" s="502"/>
      <c r="B1091" s="503"/>
      <c r="C1091" s="502"/>
      <c r="D1091" s="502"/>
      <c r="E1091" s="502"/>
      <c r="F1091" s="502"/>
      <c r="G1091" s="502"/>
    </row>
    <row r="1092" customFormat="1" ht="34.15" customHeight="1" spans="1:7">
      <c r="A1092" s="502"/>
      <c r="B1092" s="503"/>
      <c r="C1092" s="502"/>
      <c r="D1092" s="502"/>
      <c r="E1092" s="502"/>
      <c r="F1092" s="502"/>
      <c r="G1092" s="502"/>
    </row>
    <row r="1093" customFormat="1" ht="34.15" customHeight="1" spans="1:7">
      <c r="A1093" s="502"/>
      <c r="B1093" s="503"/>
      <c r="C1093" s="502"/>
      <c r="D1093" s="502"/>
      <c r="E1093" s="502"/>
      <c r="F1093" s="502"/>
      <c r="G1093" s="502"/>
    </row>
    <row r="1094" customFormat="1" ht="34.15" customHeight="1" spans="1:7">
      <c r="A1094" s="502"/>
      <c r="B1094" s="503"/>
      <c r="C1094" s="502"/>
      <c r="D1094" s="502"/>
      <c r="E1094" s="502"/>
      <c r="F1094" s="502"/>
      <c r="G1094" s="502"/>
    </row>
    <row r="1095" customFormat="1" ht="34.15" customHeight="1" spans="1:7">
      <c r="A1095" s="502"/>
      <c r="B1095" s="503"/>
      <c r="C1095" s="502"/>
      <c r="D1095" s="502"/>
      <c r="E1095" s="502"/>
      <c r="F1095" s="502"/>
      <c r="G1095" s="502"/>
    </row>
    <row r="1096" customFormat="1" ht="34.15" customHeight="1" spans="1:7">
      <c r="A1096" s="502"/>
      <c r="B1096" s="503"/>
      <c r="C1096" s="502"/>
      <c r="D1096" s="502"/>
      <c r="E1096" s="502"/>
      <c r="F1096" s="502"/>
      <c r="G1096" s="502"/>
    </row>
    <row r="1097" customFormat="1" ht="34.15" customHeight="1" spans="1:7">
      <c r="A1097" s="502"/>
      <c r="B1097" s="503"/>
      <c r="C1097" s="502"/>
      <c r="D1097" s="502"/>
      <c r="E1097" s="502"/>
      <c r="F1097" s="502"/>
      <c r="G1097" s="502"/>
    </row>
    <row r="1098" customFormat="1" ht="34.15" customHeight="1" spans="1:7">
      <c r="A1098" s="502"/>
      <c r="B1098" s="503"/>
      <c r="C1098" s="502"/>
      <c r="D1098" s="502"/>
      <c r="E1098" s="502"/>
      <c r="F1098" s="502"/>
      <c r="G1098" s="502"/>
    </row>
    <row r="1099" customFormat="1" ht="34.15" customHeight="1" spans="1:7">
      <c r="A1099" s="502"/>
      <c r="B1099" s="503"/>
      <c r="C1099" s="502"/>
      <c r="D1099" s="502"/>
      <c r="E1099" s="502"/>
      <c r="F1099" s="502"/>
      <c r="G1099" s="502"/>
    </row>
    <row r="1100" customFormat="1" ht="34.15" customHeight="1" spans="1:7">
      <c r="A1100" s="502"/>
      <c r="B1100" s="503"/>
      <c r="C1100" s="502"/>
      <c r="D1100" s="502"/>
      <c r="E1100" s="502"/>
      <c r="F1100" s="502"/>
      <c r="G1100" s="502"/>
    </row>
    <row r="1101" customFormat="1" ht="34.15" customHeight="1" spans="1:7">
      <c r="A1101" s="502"/>
      <c r="B1101" s="503"/>
      <c r="C1101" s="502"/>
      <c r="D1101" s="502"/>
      <c r="E1101" s="502"/>
      <c r="F1101" s="502"/>
      <c r="G1101" s="502"/>
    </row>
    <row r="1102" customFormat="1" ht="34.15" customHeight="1" spans="1:7">
      <c r="A1102" s="502"/>
      <c r="B1102" s="503"/>
      <c r="C1102" s="502"/>
      <c r="D1102" s="502"/>
      <c r="E1102" s="502"/>
      <c r="F1102" s="502"/>
      <c r="G1102" s="502"/>
    </row>
    <row r="1103" customFormat="1" ht="34.15" customHeight="1" spans="1:7">
      <c r="A1103" s="502"/>
      <c r="B1103" s="503"/>
      <c r="C1103" s="502"/>
      <c r="D1103" s="502"/>
      <c r="E1103" s="502"/>
      <c r="F1103" s="502"/>
      <c r="G1103" s="502"/>
    </row>
    <row r="1104" customFormat="1" ht="34.15" customHeight="1" spans="1:7">
      <c r="A1104" s="502"/>
      <c r="B1104" s="503"/>
      <c r="C1104" s="502"/>
      <c r="D1104" s="502"/>
      <c r="E1104" s="502"/>
      <c r="F1104" s="502"/>
      <c r="G1104" s="502"/>
    </row>
    <row r="1105" customFormat="1" ht="34.15" customHeight="1" spans="1:7">
      <c r="A1105" s="502"/>
      <c r="B1105" s="503"/>
      <c r="C1105" s="502"/>
      <c r="D1105" s="502"/>
      <c r="E1105" s="502"/>
      <c r="F1105" s="502"/>
      <c r="G1105" s="502"/>
    </row>
    <row r="1106" customFormat="1" ht="34.15" customHeight="1" spans="1:7">
      <c r="A1106" s="502"/>
      <c r="B1106" s="503"/>
      <c r="C1106" s="502"/>
      <c r="D1106" s="502"/>
      <c r="E1106" s="502"/>
      <c r="F1106" s="502"/>
      <c r="G1106" s="502"/>
    </row>
    <row r="1107" customFormat="1" ht="34.15" customHeight="1" spans="1:7">
      <c r="A1107" s="502"/>
      <c r="B1107" s="503"/>
      <c r="C1107" s="502"/>
      <c r="D1107" s="502"/>
      <c r="E1107" s="502"/>
      <c r="F1107" s="502"/>
      <c r="G1107" s="502"/>
    </row>
    <row r="1108" customFormat="1" ht="34.15" customHeight="1" spans="1:7">
      <c r="A1108" s="502"/>
      <c r="B1108" s="503"/>
      <c r="C1108" s="502"/>
      <c r="D1108" s="502"/>
      <c r="E1108" s="502"/>
      <c r="F1108" s="502"/>
      <c r="G1108" s="502"/>
    </row>
    <row r="1109" customFormat="1" ht="34.15" customHeight="1" spans="1:7">
      <c r="A1109" s="502"/>
      <c r="B1109" s="503"/>
      <c r="C1109" s="502"/>
      <c r="D1109" s="502"/>
      <c r="E1109" s="502"/>
      <c r="F1109" s="502"/>
      <c r="G1109" s="502"/>
    </row>
    <row r="1110" customFormat="1" ht="34.15" customHeight="1" spans="1:7">
      <c r="A1110" s="502"/>
      <c r="B1110" s="503"/>
      <c r="C1110" s="502"/>
      <c r="D1110" s="502"/>
      <c r="E1110" s="502"/>
      <c r="F1110" s="502"/>
      <c r="G1110" s="502"/>
    </row>
    <row r="1111" customFormat="1" ht="34.15" customHeight="1" spans="1:7">
      <c r="A1111" s="502"/>
      <c r="B1111" s="503"/>
      <c r="C1111" s="502"/>
      <c r="D1111" s="502"/>
      <c r="E1111" s="502"/>
      <c r="F1111" s="502"/>
      <c r="G1111" s="502"/>
    </row>
    <row r="1112" customFormat="1" ht="34.15" customHeight="1" spans="1:7">
      <c r="A1112" s="502"/>
      <c r="B1112" s="503"/>
      <c r="C1112" s="502"/>
      <c r="D1112" s="502"/>
      <c r="E1112" s="502"/>
      <c r="F1112" s="502"/>
      <c r="G1112" s="502"/>
    </row>
    <row r="1113" customFormat="1" ht="34.15" customHeight="1" spans="1:7">
      <c r="A1113" s="502"/>
      <c r="B1113" s="503"/>
      <c r="C1113" s="502"/>
      <c r="D1113" s="502"/>
      <c r="E1113" s="502"/>
      <c r="F1113" s="502"/>
      <c r="G1113" s="502"/>
    </row>
    <row r="1114" customFormat="1" ht="34.15" customHeight="1" spans="1:7">
      <c r="A1114" s="502"/>
      <c r="B1114" s="503"/>
      <c r="C1114" s="502"/>
      <c r="D1114" s="502"/>
      <c r="E1114" s="502"/>
      <c r="F1114" s="502"/>
      <c r="G1114" s="502"/>
    </row>
    <row r="1115" customFormat="1" ht="34.15" customHeight="1" spans="1:7">
      <c r="A1115" s="502"/>
      <c r="B1115" s="503"/>
      <c r="C1115" s="502"/>
      <c r="D1115" s="502"/>
      <c r="E1115" s="502"/>
      <c r="F1115" s="502"/>
      <c r="G1115" s="502"/>
    </row>
    <row r="1116" customFormat="1" ht="34.15" customHeight="1" spans="1:7">
      <c r="A1116" s="502"/>
      <c r="B1116" s="503"/>
      <c r="C1116" s="502"/>
      <c r="D1116" s="502"/>
      <c r="E1116" s="502"/>
      <c r="F1116" s="502"/>
      <c r="G1116" s="502"/>
    </row>
    <row r="1117" customFormat="1" ht="34.15" customHeight="1" spans="1:7">
      <c r="A1117" s="502"/>
      <c r="B1117" s="503"/>
      <c r="C1117" s="502"/>
      <c r="D1117" s="502"/>
      <c r="E1117" s="502"/>
      <c r="F1117" s="502"/>
      <c r="G1117" s="502"/>
    </row>
    <row r="1118" customFormat="1" ht="34.15" customHeight="1" spans="1:7">
      <c r="A1118" s="502"/>
      <c r="B1118" s="503"/>
      <c r="C1118" s="502"/>
      <c r="D1118" s="502"/>
      <c r="E1118" s="502"/>
      <c r="F1118" s="502"/>
      <c r="G1118" s="502"/>
    </row>
    <row r="1119" customFormat="1" ht="34.15" customHeight="1" spans="1:7">
      <c r="A1119" s="502"/>
      <c r="B1119" s="503"/>
      <c r="C1119" s="502"/>
      <c r="D1119" s="502"/>
      <c r="E1119" s="502"/>
      <c r="F1119" s="502"/>
      <c r="G1119" s="502"/>
    </row>
    <row r="1120" customFormat="1" ht="34.15" customHeight="1" spans="1:7">
      <c r="A1120" s="502"/>
      <c r="B1120" s="503"/>
      <c r="C1120" s="502"/>
      <c r="D1120" s="502"/>
      <c r="E1120" s="502"/>
      <c r="F1120" s="502"/>
      <c r="G1120" s="502"/>
    </row>
    <row r="1121" customFormat="1" ht="34.15" customHeight="1" spans="1:7">
      <c r="A1121" s="502"/>
      <c r="B1121" s="503"/>
      <c r="C1121" s="502"/>
      <c r="D1121" s="502"/>
      <c r="E1121" s="502"/>
      <c r="F1121" s="502"/>
      <c r="G1121" s="502"/>
    </row>
    <row r="1122" customFormat="1" ht="34.15" customHeight="1" spans="1:7">
      <c r="A1122" s="502"/>
      <c r="B1122" s="503"/>
      <c r="C1122" s="502"/>
      <c r="D1122" s="502"/>
      <c r="E1122" s="502"/>
      <c r="F1122" s="502"/>
      <c r="G1122" s="502"/>
    </row>
    <row r="1123" customFormat="1" ht="34.15" customHeight="1" spans="1:7">
      <c r="A1123" s="502"/>
      <c r="B1123" s="503"/>
      <c r="C1123" s="502"/>
      <c r="D1123" s="502"/>
      <c r="E1123" s="502"/>
      <c r="F1123" s="502"/>
      <c r="G1123" s="502"/>
    </row>
    <row r="1124" customFormat="1" ht="34.15" customHeight="1" spans="1:7">
      <c r="A1124" s="502"/>
      <c r="B1124" s="503"/>
      <c r="C1124" s="502"/>
      <c r="D1124" s="502"/>
      <c r="E1124" s="502"/>
      <c r="F1124" s="502"/>
      <c r="G1124" s="502"/>
    </row>
    <row r="1125" customFormat="1" ht="34.15" customHeight="1" spans="1:7">
      <c r="A1125" s="502"/>
      <c r="B1125" s="503"/>
      <c r="C1125" s="502"/>
      <c r="D1125" s="502"/>
      <c r="E1125" s="502"/>
      <c r="F1125" s="502"/>
      <c r="G1125" s="502"/>
    </row>
    <row r="1126" customFormat="1" ht="34.15" customHeight="1" spans="1:7">
      <c r="A1126" s="502"/>
      <c r="B1126" s="503"/>
      <c r="C1126" s="502"/>
      <c r="D1126" s="502"/>
      <c r="E1126" s="502"/>
      <c r="F1126" s="502"/>
      <c r="G1126" s="502"/>
    </row>
    <row r="1127" s="492" customFormat="1" customHeight="1" spans="1:7">
      <c r="A1127" s="539" t="s">
        <v>522</v>
      </c>
      <c r="B1127" s="507" t="str">
        <f>总概算核!B6</f>
        <v>土壤改良与培肥工程</v>
      </c>
      <c r="C1127" s="506"/>
      <c r="D1127" s="506"/>
      <c r="E1127" s="506"/>
      <c r="F1127" s="508" t="e">
        <f>F1128</f>
        <v>#REF!</v>
      </c>
      <c r="G1127" s="502"/>
    </row>
    <row r="1128" s="492" customFormat="1" customHeight="1" spans="1:7">
      <c r="A1128" s="506" t="s">
        <v>57</v>
      </c>
      <c r="B1128" s="507" t="s">
        <v>641</v>
      </c>
      <c r="C1128" s="506"/>
      <c r="D1128" s="506"/>
      <c r="E1128" s="511"/>
      <c r="F1128" s="508" t="e">
        <f>F1129+F1138+F1147+F1156+F1165+F1174+F1183+F1192+F1201+F1210+F1219+F1228+F1237+F1246+F1255+F1264+F1273+F1282+F1291+F1300+F1309+F1318+F1327+F1336+F1345+F1354+F1363+F1372+F1381+F1390+F1399+F1408+F1417+F1426+F1435+F1444+F1453+F1462+F1471+F1480+F1489+F1498+F1507+F1516+F1525+F1534+F1543+F1552+F1561+F1570+F1579+F1588+F1597+F1606+F1615+F1624+F1633+F1642+F1651+F1660+F1669+F1678</f>
        <v>#REF!</v>
      </c>
      <c r="G1128" s="502"/>
    </row>
    <row r="1129" s="492" customFormat="1" customHeight="1" spans="1:7">
      <c r="A1129" s="506">
        <v>1</v>
      </c>
      <c r="B1129" s="507" t="s">
        <v>642</v>
      </c>
      <c r="C1129" s="506" t="s">
        <v>90</v>
      </c>
      <c r="D1129" s="506">
        <f>425*2</f>
        <v>850</v>
      </c>
      <c r="E1129" s="511"/>
      <c r="F1129" s="508" t="e">
        <f>SUM(F1130:F1137)</f>
        <v>#REF!</v>
      </c>
      <c r="G1129" s="506"/>
    </row>
    <row r="1130" s="492" customFormat="1" ht="75" customHeight="1" spans="1:7">
      <c r="A1130" s="502"/>
      <c r="B1130" s="517" t="s">
        <v>61</v>
      </c>
      <c r="C1130" s="502" t="s">
        <v>62</v>
      </c>
      <c r="D1130" s="540">
        <f>1.2*D1129*27*0.3</f>
        <v>8262</v>
      </c>
      <c r="E1130" s="511" t="e">
        <f>单价汇总表!D5/100*0.5+单价汇总表!#REF!/100*0.5</f>
        <v>#REF!</v>
      </c>
      <c r="F1130" s="510" t="e">
        <f t="shared" ref="F1130:F1137" si="33">D1130*E1130</f>
        <v>#REF!</v>
      </c>
      <c r="G1130" s="502" t="s">
        <v>643</v>
      </c>
    </row>
    <row r="1131" s="492" customFormat="1" ht="36" customHeight="1" spans="1:7">
      <c r="A1131" s="502"/>
      <c r="B1131" s="517" t="s">
        <v>644</v>
      </c>
      <c r="C1131" s="502" t="s">
        <v>62</v>
      </c>
      <c r="D1131" s="540">
        <f>1.2*D1129*17*0.7</f>
        <v>12138</v>
      </c>
      <c r="E1131" s="511">
        <f>单价汇总表!D10/100*0.4+单价汇总表!D11/100*0.6</f>
        <v>15.5634951407938</v>
      </c>
      <c r="F1131" s="510">
        <f t="shared" si="33"/>
        <v>188909.704018955</v>
      </c>
      <c r="G1131" s="502" t="s">
        <v>645</v>
      </c>
    </row>
    <row r="1132" s="492" customFormat="1" ht="57" customHeight="1" spans="1:7">
      <c r="A1132" s="502"/>
      <c r="B1132" s="541" t="s">
        <v>646</v>
      </c>
      <c r="C1132" s="502" t="s">
        <v>62</v>
      </c>
      <c r="D1132" s="540">
        <f>D1131-D1130</f>
        <v>3876</v>
      </c>
      <c r="E1132" s="511" t="e">
        <f>单价汇总表!#REF!/100</f>
        <v>#REF!</v>
      </c>
      <c r="F1132" s="510" t="e">
        <f t="shared" si="33"/>
        <v>#REF!</v>
      </c>
      <c r="G1132" s="502" t="s">
        <v>647</v>
      </c>
    </row>
    <row r="1133" s="492" customFormat="1" customHeight="1" spans="1:7">
      <c r="A1133" s="502"/>
      <c r="B1133" s="517" t="s">
        <v>648</v>
      </c>
      <c r="C1133" s="502" t="s">
        <v>62</v>
      </c>
      <c r="D1133" s="542">
        <f>1.2*6*2.23*0.3*D1129*1.2</f>
        <v>4913.136</v>
      </c>
      <c r="E1133" s="511" t="e">
        <f>单价汇总表!#REF!/100</f>
        <v>#REF!</v>
      </c>
      <c r="F1133" s="510" t="e">
        <f t="shared" si="33"/>
        <v>#REF!</v>
      </c>
      <c r="G1133" s="502" t="s">
        <v>649</v>
      </c>
    </row>
    <row r="1134" s="492" customFormat="1" customHeight="1" spans="1:7">
      <c r="A1134" s="502"/>
      <c r="B1134" s="517" t="s">
        <v>560</v>
      </c>
      <c r="C1134" s="502" t="s">
        <v>62</v>
      </c>
      <c r="D1134" s="540">
        <f>1.2*3*0.5*D1129</f>
        <v>1530</v>
      </c>
      <c r="E1134" s="511" t="e">
        <f>单价汇总表!#REF!/100</f>
        <v>#REF!</v>
      </c>
      <c r="F1134" s="510" t="e">
        <f t="shared" si="33"/>
        <v>#REF!</v>
      </c>
      <c r="G1134" s="502" t="s">
        <v>650</v>
      </c>
    </row>
    <row r="1135" s="492" customFormat="1" customHeight="1" spans="1:7">
      <c r="A1135" s="502"/>
      <c r="B1135" s="517" t="s">
        <v>561</v>
      </c>
      <c r="C1135" s="502" t="s">
        <v>62</v>
      </c>
      <c r="D1135" s="540">
        <f>1.2*3.5*0.5*D1129</f>
        <v>1785</v>
      </c>
      <c r="E1135" s="511" t="e">
        <f>单价汇总表!#REF!/100</f>
        <v>#REF!</v>
      </c>
      <c r="F1135" s="510" t="e">
        <f t="shared" si="33"/>
        <v>#REF!</v>
      </c>
      <c r="G1135" s="502" t="s">
        <v>650</v>
      </c>
    </row>
    <row r="1136" customHeight="1" spans="1:7">
      <c r="A1136" s="502"/>
      <c r="B1136" s="517" t="s">
        <v>651</v>
      </c>
      <c r="C1136" s="502" t="s">
        <v>531</v>
      </c>
      <c r="D1136" s="540">
        <f>1.2*(6*2.23+5+2)*D1129</f>
        <v>20787.6</v>
      </c>
      <c r="E1136" s="511" t="e">
        <f>单价汇总表!#REF!/100</f>
        <v>#REF!</v>
      </c>
      <c r="F1136" s="510" t="e">
        <f t="shared" si="33"/>
        <v>#REF!</v>
      </c>
      <c r="G1136" s="502" t="s">
        <v>652</v>
      </c>
    </row>
    <row r="1137" customHeight="1" spans="1:7">
      <c r="A1137" s="502"/>
      <c r="B1137" s="517" t="s">
        <v>563</v>
      </c>
      <c r="C1137" s="502" t="s">
        <v>62</v>
      </c>
      <c r="D1137" s="540">
        <f>1.2*0.2*0.5*D1129</f>
        <v>102</v>
      </c>
      <c r="E1137" s="511" t="e">
        <f>单价汇总表!#REF!/100</f>
        <v>#REF!</v>
      </c>
      <c r="F1137" s="510" t="e">
        <f t="shared" si="33"/>
        <v>#REF!</v>
      </c>
      <c r="G1137" s="502"/>
    </row>
    <row r="1138" s="492" customFormat="1" customHeight="1" spans="1:7">
      <c r="A1138" s="506">
        <v>2</v>
      </c>
      <c r="B1138" s="507" t="s">
        <v>653</v>
      </c>
      <c r="C1138" s="506" t="s">
        <v>90</v>
      </c>
      <c r="D1138" s="506">
        <f>268*2</f>
        <v>536</v>
      </c>
      <c r="E1138" s="511"/>
      <c r="F1138" s="508" t="e">
        <f>SUM(F1139:F1146)</f>
        <v>#REF!</v>
      </c>
      <c r="G1138" s="506"/>
    </row>
    <row r="1139" s="492" customFormat="1" ht="50.1" customHeight="1" spans="1:7">
      <c r="A1139" s="502"/>
      <c r="B1139" s="517" t="s">
        <v>61</v>
      </c>
      <c r="C1139" s="502" t="s">
        <v>62</v>
      </c>
      <c r="D1139" s="540">
        <f>1.2*D1138*27*0.3</f>
        <v>5209.92</v>
      </c>
      <c r="E1139" s="511" t="e">
        <f>E1130</f>
        <v>#REF!</v>
      </c>
      <c r="F1139" s="510" t="e">
        <f t="shared" ref="F1139:F1146" si="34">D1139*E1139</f>
        <v>#REF!</v>
      </c>
      <c r="G1139" s="502" t="s">
        <v>643</v>
      </c>
    </row>
    <row r="1140" s="492" customFormat="1" ht="68.1" customHeight="1" spans="1:7">
      <c r="A1140" s="502"/>
      <c r="B1140" s="517" t="s">
        <v>644</v>
      </c>
      <c r="C1140" s="502" t="s">
        <v>62</v>
      </c>
      <c r="D1140" s="540">
        <f>1.2*D1138*17*0.7</f>
        <v>7654.08</v>
      </c>
      <c r="E1140" s="511">
        <f>E1131</f>
        <v>15.5634951407938</v>
      </c>
      <c r="F1140" s="510">
        <f t="shared" si="34"/>
        <v>119124.236887247</v>
      </c>
      <c r="G1140" s="502" t="s">
        <v>645</v>
      </c>
    </row>
    <row r="1141" s="492" customFormat="1" ht="51.95" customHeight="1" spans="1:7">
      <c r="A1141" s="502"/>
      <c r="B1141" s="517" t="str">
        <f>B1132</f>
        <v>土方开挖及拉运（500m）</v>
      </c>
      <c r="C1141" s="502" t="s">
        <v>62</v>
      </c>
      <c r="D1141" s="540">
        <f>D1140-D1139</f>
        <v>2444.16</v>
      </c>
      <c r="E1141" s="511" t="e">
        <f>E1132</f>
        <v>#REF!</v>
      </c>
      <c r="F1141" s="510" t="e">
        <f t="shared" si="34"/>
        <v>#REF!</v>
      </c>
      <c r="G1141" s="502" t="s">
        <v>647</v>
      </c>
    </row>
    <row r="1142" s="492" customFormat="1" customHeight="1" spans="1:7">
      <c r="A1142" s="502"/>
      <c r="B1142" s="517" t="s">
        <v>648</v>
      </c>
      <c r="C1142" s="502" t="s">
        <v>62</v>
      </c>
      <c r="D1142" s="542">
        <f>1.2*6*2.23*0.3*D1138*1.2</f>
        <v>3098.16576</v>
      </c>
      <c r="E1142" s="511" t="e">
        <f>E1133</f>
        <v>#REF!</v>
      </c>
      <c r="F1142" s="510" t="e">
        <f t="shared" si="34"/>
        <v>#REF!</v>
      </c>
      <c r="G1142" s="502" t="s">
        <v>649</v>
      </c>
    </row>
    <row r="1143" s="492" customFormat="1" customHeight="1" spans="1:7">
      <c r="A1143" s="502"/>
      <c r="B1143" s="517" t="s">
        <v>560</v>
      </c>
      <c r="C1143" s="502" t="s">
        <v>62</v>
      </c>
      <c r="D1143" s="540">
        <f>1.2*3*0.5*D1138</f>
        <v>964.8</v>
      </c>
      <c r="E1143" s="511" t="e">
        <f t="shared" ref="E1143:E1155" si="35">E1134</f>
        <v>#REF!</v>
      </c>
      <c r="F1143" s="510" t="e">
        <f t="shared" si="34"/>
        <v>#REF!</v>
      </c>
      <c r="G1143" s="502" t="s">
        <v>650</v>
      </c>
    </row>
    <row r="1144" s="492" customFormat="1" customHeight="1" spans="1:7">
      <c r="A1144" s="502"/>
      <c r="B1144" s="517" t="s">
        <v>561</v>
      </c>
      <c r="C1144" s="502" t="s">
        <v>62</v>
      </c>
      <c r="D1144" s="540">
        <f>1.2*3.5*0.5*D1138</f>
        <v>1125.6</v>
      </c>
      <c r="E1144" s="511" t="e">
        <f t="shared" si="35"/>
        <v>#REF!</v>
      </c>
      <c r="F1144" s="510" t="e">
        <f t="shared" si="34"/>
        <v>#REF!</v>
      </c>
      <c r="G1144" s="502" t="s">
        <v>650</v>
      </c>
    </row>
    <row r="1145" customHeight="1" spans="1:7">
      <c r="A1145" s="502"/>
      <c r="B1145" s="517" t="s">
        <v>651</v>
      </c>
      <c r="C1145" s="502" t="s">
        <v>531</v>
      </c>
      <c r="D1145" s="540">
        <f>1.2*(6*2.23+5+2)*D1138</f>
        <v>13108.416</v>
      </c>
      <c r="E1145" s="511" t="e">
        <f t="shared" si="35"/>
        <v>#REF!</v>
      </c>
      <c r="F1145" s="510" t="e">
        <f t="shared" si="34"/>
        <v>#REF!</v>
      </c>
      <c r="G1145" s="502" t="s">
        <v>652</v>
      </c>
    </row>
    <row r="1146" customHeight="1" spans="1:7">
      <c r="A1146" s="502"/>
      <c r="B1146" s="517" t="s">
        <v>563</v>
      </c>
      <c r="C1146" s="502" t="s">
        <v>62</v>
      </c>
      <c r="D1146" s="540">
        <f>1.2*0.2*0.5*D1138</f>
        <v>64.32</v>
      </c>
      <c r="E1146" s="511" t="e">
        <f t="shared" si="35"/>
        <v>#REF!</v>
      </c>
      <c r="F1146" s="510" t="e">
        <f t="shared" si="34"/>
        <v>#REF!</v>
      </c>
      <c r="G1146" s="502"/>
    </row>
    <row r="1147" s="492" customFormat="1" customHeight="1" spans="1:7">
      <c r="A1147" s="506">
        <v>3</v>
      </c>
      <c r="B1147" s="507" t="s">
        <v>654</v>
      </c>
      <c r="C1147" s="506" t="s">
        <v>90</v>
      </c>
      <c r="D1147" s="506">
        <f>786*2</f>
        <v>1572</v>
      </c>
      <c r="E1147" s="511"/>
      <c r="F1147" s="508" t="e">
        <f>SUM(F1148:F1155)</f>
        <v>#REF!</v>
      </c>
      <c r="G1147" s="506"/>
    </row>
    <row r="1148" s="492" customFormat="1" ht="51" customHeight="1" spans="1:7">
      <c r="A1148" s="502"/>
      <c r="B1148" s="517" t="s">
        <v>61</v>
      </c>
      <c r="C1148" s="502" t="s">
        <v>62</v>
      </c>
      <c r="D1148" s="540">
        <f>1.2*D1147*27*0.3</f>
        <v>15279.84</v>
      </c>
      <c r="E1148" s="511" t="e">
        <f t="shared" si="35"/>
        <v>#REF!</v>
      </c>
      <c r="F1148" s="510" t="e">
        <f t="shared" ref="F1148:F1155" si="36">D1148*E1148</f>
        <v>#REF!</v>
      </c>
      <c r="G1148" s="502" t="s">
        <v>643</v>
      </c>
    </row>
    <row r="1149" s="492" customFormat="1" ht="60" customHeight="1" spans="1:7">
      <c r="A1149" s="502"/>
      <c r="B1149" s="517" t="s">
        <v>644</v>
      </c>
      <c r="C1149" s="502" t="s">
        <v>62</v>
      </c>
      <c r="D1149" s="540">
        <f>1.2*D1147*17*0.7</f>
        <v>22448.16</v>
      </c>
      <c r="E1149" s="511">
        <f t="shared" si="35"/>
        <v>15.5634951407938</v>
      </c>
      <c r="F1149" s="510">
        <f t="shared" si="36"/>
        <v>349371.829079761</v>
      </c>
      <c r="G1149" s="502" t="s">
        <v>645</v>
      </c>
    </row>
    <row r="1150" s="492" customFormat="1" ht="39" customHeight="1" spans="1:7">
      <c r="A1150" s="502"/>
      <c r="B1150" s="517" t="str">
        <f>B1141</f>
        <v>土方开挖及拉运（500m）</v>
      </c>
      <c r="C1150" s="502" t="s">
        <v>62</v>
      </c>
      <c r="D1150" s="540">
        <f>D1149-D1148</f>
        <v>7168.32</v>
      </c>
      <c r="E1150" s="511" t="e">
        <f t="shared" si="35"/>
        <v>#REF!</v>
      </c>
      <c r="F1150" s="510" t="e">
        <f t="shared" si="36"/>
        <v>#REF!</v>
      </c>
      <c r="G1150" s="502" t="s">
        <v>647</v>
      </c>
    </row>
    <row r="1151" s="492" customFormat="1" customHeight="1" spans="1:7">
      <c r="A1151" s="502"/>
      <c r="B1151" s="517" t="s">
        <v>648</v>
      </c>
      <c r="C1151" s="502" t="s">
        <v>62</v>
      </c>
      <c r="D1151" s="542">
        <f>1.2*6*2.23*0.3*D1147*1.2</f>
        <v>9086.41152</v>
      </c>
      <c r="E1151" s="511" t="e">
        <f t="shared" si="35"/>
        <v>#REF!</v>
      </c>
      <c r="F1151" s="510" t="e">
        <f t="shared" si="36"/>
        <v>#REF!</v>
      </c>
      <c r="G1151" s="502" t="s">
        <v>649</v>
      </c>
    </row>
    <row r="1152" s="492" customFormat="1" customHeight="1" spans="1:7">
      <c r="A1152" s="502"/>
      <c r="B1152" s="517" t="s">
        <v>560</v>
      </c>
      <c r="C1152" s="502" t="s">
        <v>62</v>
      </c>
      <c r="D1152" s="540">
        <f>1.2*3*0.5*D1147</f>
        <v>2829.6</v>
      </c>
      <c r="E1152" s="511" t="e">
        <f t="shared" si="35"/>
        <v>#REF!</v>
      </c>
      <c r="F1152" s="510" t="e">
        <f t="shared" si="36"/>
        <v>#REF!</v>
      </c>
      <c r="G1152" s="502" t="s">
        <v>650</v>
      </c>
    </row>
    <row r="1153" s="492" customFormat="1" customHeight="1" spans="1:7">
      <c r="A1153" s="502"/>
      <c r="B1153" s="517" t="s">
        <v>561</v>
      </c>
      <c r="C1153" s="502" t="s">
        <v>62</v>
      </c>
      <c r="D1153" s="540">
        <f>1.2*3.5*0.5*D1147</f>
        <v>3301.2</v>
      </c>
      <c r="E1153" s="511" t="e">
        <f t="shared" si="35"/>
        <v>#REF!</v>
      </c>
      <c r="F1153" s="510" t="e">
        <f t="shared" si="36"/>
        <v>#REF!</v>
      </c>
      <c r="G1153" s="502" t="s">
        <v>650</v>
      </c>
    </row>
    <row r="1154" customHeight="1" spans="1:7">
      <c r="A1154" s="502"/>
      <c r="B1154" s="517" t="s">
        <v>651</v>
      </c>
      <c r="C1154" s="502" t="s">
        <v>531</v>
      </c>
      <c r="D1154" s="540">
        <f>1.2*(6*2.23+5+2)*D1147</f>
        <v>38444.832</v>
      </c>
      <c r="E1154" s="511" t="e">
        <f t="shared" si="35"/>
        <v>#REF!</v>
      </c>
      <c r="F1154" s="510" t="e">
        <f t="shared" si="36"/>
        <v>#REF!</v>
      </c>
      <c r="G1154" s="502" t="s">
        <v>652</v>
      </c>
    </row>
    <row r="1155" customHeight="1" spans="1:7">
      <c r="A1155" s="502"/>
      <c r="B1155" s="517" t="s">
        <v>563</v>
      </c>
      <c r="C1155" s="502" t="s">
        <v>62</v>
      </c>
      <c r="D1155" s="540">
        <f>1.2*0.2*0.5*D1147</f>
        <v>188.64</v>
      </c>
      <c r="E1155" s="511" t="e">
        <f t="shared" si="35"/>
        <v>#REF!</v>
      </c>
      <c r="F1155" s="510" t="e">
        <f t="shared" si="36"/>
        <v>#REF!</v>
      </c>
      <c r="G1155" s="502"/>
    </row>
    <row r="1156" s="492" customFormat="1" customHeight="1" spans="1:7">
      <c r="A1156" s="506">
        <v>4</v>
      </c>
      <c r="B1156" s="507" t="s">
        <v>655</v>
      </c>
      <c r="C1156" s="506" t="s">
        <v>90</v>
      </c>
      <c r="D1156" s="506">
        <f>726*2</f>
        <v>1452</v>
      </c>
      <c r="E1156" s="511"/>
      <c r="F1156" s="508" t="e">
        <f>SUM(F1157:F1164)</f>
        <v>#REF!</v>
      </c>
      <c r="G1156" s="506"/>
    </row>
    <row r="1157" s="492" customFormat="1" customHeight="1" spans="1:7">
      <c r="A1157" s="502"/>
      <c r="B1157" s="517" t="s">
        <v>61</v>
      </c>
      <c r="C1157" s="502" t="s">
        <v>62</v>
      </c>
      <c r="D1157" s="540">
        <f>1.2*D1156*27*0.3</f>
        <v>14113.44</v>
      </c>
      <c r="E1157" s="511" t="e">
        <f t="shared" ref="E1157:E1164" si="37">E1148</f>
        <v>#REF!</v>
      </c>
      <c r="F1157" s="510" t="e">
        <f t="shared" ref="F1157:F1164" si="38">D1157*E1157</f>
        <v>#REF!</v>
      </c>
      <c r="G1157" s="502" t="s">
        <v>643</v>
      </c>
    </row>
    <row r="1158" s="492" customFormat="1" ht="42" customHeight="1" spans="1:7">
      <c r="A1158" s="502"/>
      <c r="B1158" s="517" t="s">
        <v>644</v>
      </c>
      <c r="C1158" s="502" t="s">
        <v>62</v>
      </c>
      <c r="D1158" s="540">
        <f>1.2*D1156*17*0.7</f>
        <v>20734.56</v>
      </c>
      <c r="E1158" s="511">
        <f t="shared" si="37"/>
        <v>15.5634951407938</v>
      </c>
      <c r="F1158" s="510">
        <f t="shared" si="38"/>
        <v>322702.223806497</v>
      </c>
      <c r="G1158" s="502" t="s">
        <v>645</v>
      </c>
    </row>
    <row r="1159" s="492" customFormat="1" customHeight="1" spans="1:7">
      <c r="A1159" s="502"/>
      <c r="B1159" s="517" t="str">
        <f>B1150</f>
        <v>土方开挖及拉运（500m）</v>
      </c>
      <c r="C1159" s="502" t="s">
        <v>62</v>
      </c>
      <c r="D1159" s="540">
        <f>D1158-D1157</f>
        <v>6621.12</v>
      </c>
      <c r="E1159" s="511" t="e">
        <f t="shared" si="37"/>
        <v>#REF!</v>
      </c>
      <c r="F1159" s="510" t="e">
        <f t="shared" si="38"/>
        <v>#REF!</v>
      </c>
      <c r="G1159" s="502" t="s">
        <v>647</v>
      </c>
    </row>
    <row r="1160" s="492" customFormat="1" customHeight="1" spans="1:7">
      <c r="A1160" s="502"/>
      <c r="B1160" s="517" t="s">
        <v>648</v>
      </c>
      <c r="C1160" s="502" t="s">
        <v>62</v>
      </c>
      <c r="D1160" s="542">
        <f>1.2*6*2.23*0.3*D1156*1.2</f>
        <v>8392.79232</v>
      </c>
      <c r="E1160" s="511" t="e">
        <f t="shared" si="37"/>
        <v>#REF!</v>
      </c>
      <c r="F1160" s="510" t="e">
        <f t="shared" si="38"/>
        <v>#REF!</v>
      </c>
      <c r="G1160" s="502" t="s">
        <v>649</v>
      </c>
    </row>
    <row r="1161" s="492" customFormat="1" customHeight="1" spans="1:7">
      <c r="A1161" s="502"/>
      <c r="B1161" s="517" t="s">
        <v>560</v>
      </c>
      <c r="C1161" s="502" t="s">
        <v>62</v>
      </c>
      <c r="D1161" s="540">
        <f>1.2*3*0.5*D1156</f>
        <v>2613.6</v>
      </c>
      <c r="E1161" s="511" t="e">
        <f t="shared" si="37"/>
        <v>#REF!</v>
      </c>
      <c r="F1161" s="510" t="e">
        <f t="shared" si="38"/>
        <v>#REF!</v>
      </c>
      <c r="G1161" s="502" t="s">
        <v>650</v>
      </c>
    </row>
    <row r="1162" s="492" customFormat="1" customHeight="1" spans="1:7">
      <c r="A1162" s="502"/>
      <c r="B1162" s="517" t="s">
        <v>561</v>
      </c>
      <c r="C1162" s="502" t="s">
        <v>62</v>
      </c>
      <c r="D1162" s="540">
        <f>1.2*3.5*0.5*D1156</f>
        <v>3049.2</v>
      </c>
      <c r="E1162" s="511" t="e">
        <f t="shared" si="37"/>
        <v>#REF!</v>
      </c>
      <c r="F1162" s="510" t="e">
        <f t="shared" si="38"/>
        <v>#REF!</v>
      </c>
      <c r="G1162" s="502" t="s">
        <v>650</v>
      </c>
    </row>
    <row r="1163" customHeight="1" spans="1:7">
      <c r="A1163" s="502"/>
      <c r="B1163" s="517" t="s">
        <v>651</v>
      </c>
      <c r="C1163" s="502" t="s">
        <v>531</v>
      </c>
      <c r="D1163" s="540">
        <f>1.2*(6*2.23+5+2)*D1156</f>
        <v>35510.112</v>
      </c>
      <c r="E1163" s="511" t="e">
        <f t="shared" si="37"/>
        <v>#REF!</v>
      </c>
      <c r="F1163" s="510" t="e">
        <f t="shared" si="38"/>
        <v>#REF!</v>
      </c>
      <c r="G1163" s="502" t="s">
        <v>652</v>
      </c>
    </row>
    <row r="1164" customHeight="1" spans="1:7">
      <c r="A1164" s="502"/>
      <c r="B1164" s="517" t="s">
        <v>563</v>
      </c>
      <c r="C1164" s="502" t="s">
        <v>62</v>
      </c>
      <c r="D1164" s="540">
        <f>1.2*0.2*0.5*D1156</f>
        <v>174.24</v>
      </c>
      <c r="E1164" s="511" t="e">
        <f t="shared" si="37"/>
        <v>#REF!</v>
      </c>
      <c r="F1164" s="510" t="e">
        <f t="shared" si="38"/>
        <v>#REF!</v>
      </c>
      <c r="G1164" s="502"/>
    </row>
    <row r="1165" s="492" customFormat="1" customHeight="1" spans="1:7">
      <c r="A1165" s="506">
        <v>5</v>
      </c>
      <c r="B1165" s="507" t="s">
        <v>656</v>
      </c>
      <c r="C1165" s="506" t="s">
        <v>90</v>
      </c>
      <c r="D1165" s="506">
        <f>408*2</f>
        <v>816</v>
      </c>
      <c r="E1165" s="511"/>
      <c r="F1165" s="508" t="e">
        <f>SUM(F1166:F1173)</f>
        <v>#REF!</v>
      </c>
      <c r="G1165" s="506"/>
    </row>
    <row r="1166" s="492" customFormat="1" customHeight="1" spans="1:7">
      <c r="A1166" s="502"/>
      <c r="B1166" s="517" t="s">
        <v>61</v>
      </c>
      <c r="C1166" s="502" t="s">
        <v>62</v>
      </c>
      <c r="D1166" s="540">
        <f>1.2*D1165*27*0.3</f>
        <v>7931.52</v>
      </c>
      <c r="E1166" s="511" t="e">
        <f t="shared" ref="E1166:E1173" si="39">E1157</f>
        <v>#REF!</v>
      </c>
      <c r="F1166" s="510" t="e">
        <f t="shared" ref="F1166:F1173" si="40">D1166*E1166</f>
        <v>#REF!</v>
      </c>
      <c r="G1166" s="502" t="s">
        <v>643</v>
      </c>
    </row>
    <row r="1167" s="492" customFormat="1" ht="33" customHeight="1" spans="1:7">
      <c r="A1167" s="502"/>
      <c r="B1167" s="517" t="s">
        <v>644</v>
      </c>
      <c r="C1167" s="502" t="s">
        <v>62</v>
      </c>
      <c r="D1167" s="540">
        <f>1.2*D1165*17*0.7</f>
        <v>11652.48</v>
      </c>
      <c r="E1167" s="511">
        <f t="shared" si="39"/>
        <v>15.5634951407938</v>
      </c>
      <c r="F1167" s="510">
        <f t="shared" si="40"/>
        <v>181353.315858197</v>
      </c>
      <c r="G1167" s="502" t="s">
        <v>645</v>
      </c>
    </row>
    <row r="1168" s="492" customFormat="1" customHeight="1" spans="1:7">
      <c r="A1168" s="502"/>
      <c r="B1168" s="517" t="str">
        <f>B1159</f>
        <v>土方开挖及拉运（500m）</v>
      </c>
      <c r="C1168" s="502" t="s">
        <v>62</v>
      </c>
      <c r="D1168" s="540">
        <f>D1167-D1166</f>
        <v>3720.96</v>
      </c>
      <c r="E1168" s="511" t="e">
        <f t="shared" si="39"/>
        <v>#REF!</v>
      </c>
      <c r="F1168" s="510" t="e">
        <f t="shared" si="40"/>
        <v>#REF!</v>
      </c>
      <c r="G1168" s="502" t="s">
        <v>647</v>
      </c>
    </row>
    <row r="1169" s="492" customFormat="1" customHeight="1" spans="1:7">
      <c r="A1169" s="502"/>
      <c r="B1169" s="517" t="s">
        <v>648</v>
      </c>
      <c r="C1169" s="502" t="s">
        <v>62</v>
      </c>
      <c r="D1169" s="542">
        <f>1.2*6*2.23*0.3*D1165*1.2</f>
        <v>4716.61056</v>
      </c>
      <c r="E1169" s="511" t="e">
        <f t="shared" si="39"/>
        <v>#REF!</v>
      </c>
      <c r="F1169" s="510" t="e">
        <f t="shared" si="40"/>
        <v>#REF!</v>
      </c>
      <c r="G1169" s="502" t="s">
        <v>649</v>
      </c>
    </row>
    <row r="1170" s="492" customFormat="1" customHeight="1" spans="1:7">
      <c r="A1170" s="502"/>
      <c r="B1170" s="517" t="s">
        <v>560</v>
      </c>
      <c r="C1170" s="502" t="s">
        <v>62</v>
      </c>
      <c r="D1170" s="540">
        <f>1.2*3*0.5*D1165</f>
        <v>1468.8</v>
      </c>
      <c r="E1170" s="511" t="e">
        <f t="shared" si="39"/>
        <v>#REF!</v>
      </c>
      <c r="F1170" s="510" t="e">
        <f t="shared" si="40"/>
        <v>#REF!</v>
      </c>
      <c r="G1170" s="502" t="s">
        <v>650</v>
      </c>
    </row>
    <row r="1171" s="492" customFormat="1" customHeight="1" spans="1:7">
      <c r="A1171" s="502"/>
      <c r="B1171" s="517" t="s">
        <v>561</v>
      </c>
      <c r="C1171" s="502" t="s">
        <v>62</v>
      </c>
      <c r="D1171" s="540">
        <f>1.2*3.5*0.5*D1165</f>
        <v>1713.6</v>
      </c>
      <c r="E1171" s="511" t="e">
        <f t="shared" si="39"/>
        <v>#REF!</v>
      </c>
      <c r="F1171" s="510" t="e">
        <f t="shared" si="40"/>
        <v>#REF!</v>
      </c>
      <c r="G1171" s="502" t="s">
        <v>650</v>
      </c>
    </row>
    <row r="1172" customHeight="1" spans="1:7">
      <c r="A1172" s="502"/>
      <c r="B1172" s="517" t="s">
        <v>651</v>
      </c>
      <c r="C1172" s="502" t="s">
        <v>531</v>
      </c>
      <c r="D1172" s="540">
        <f>1.2*(6*2.23+5+2)*D1165</f>
        <v>19956.096</v>
      </c>
      <c r="E1172" s="511" t="e">
        <f t="shared" si="39"/>
        <v>#REF!</v>
      </c>
      <c r="F1172" s="510" t="e">
        <f t="shared" si="40"/>
        <v>#REF!</v>
      </c>
      <c r="G1172" s="502" t="s">
        <v>652</v>
      </c>
    </row>
    <row r="1173" customHeight="1" spans="1:7">
      <c r="A1173" s="502"/>
      <c r="B1173" s="517" t="s">
        <v>563</v>
      </c>
      <c r="C1173" s="502" t="s">
        <v>62</v>
      </c>
      <c r="D1173" s="540">
        <f>1.2*0.2*0.5*D1165</f>
        <v>97.92</v>
      </c>
      <c r="E1173" s="511" t="e">
        <f t="shared" si="39"/>
        <v>#REF!</v>
      </c>
      <c r="F1173" s="510" t="e">
        <f t="shared" si="40"/>
        <v>#REF!</v>
      </c>
      <c r="G1173" s="502"/>
    </row>
    <row r="1174" s="492" customFormat="1" customHeight="1" spans="1:7">
      <c r="A1174" s="506">
        <v>6</v>
      </c>
      <c r="B1174" s="507" t="s">
        <v>657</v>
      </c>
      <c r="C1174" s="506" t="s">
        <v>90</v>
      </c>
      <c r="D1174" s="506">
        <f>1015*2</f>
        <v>2030</v>
      </c>
      <c r="E1174" s="511"/>
      <c r="F1174" s="508" t="e">
        <f>SUM(F1175:F1182)</f>
        <v>#REF!</v>
      </c>
      <c r="G1174" s="506"/>
    </row>
    <row r="1175" s="492" customFormat="1" customHeight="1" spans="1:7">
      <c r="A1175" s="502"/>
      <c r="B1175" s="517" t="s">
        <v>61</v>
      </c>
      <c r="C1175" s="502" t="s">
        <v>62</v>
      </c>
      <c r="D1175" s="540">
        <f>1.2*D1174*27*0.3</f>
        <v>19731.6</v>
      </c>
      <c r="E1175" s="511" t="e">
        <f t="shared" ref="E1175:E1182" si="41">E1166</f>
        <v>#REF!</v>
      </c>
      <c r="F1175" s="510" t="e">
        <f t="shared" ref="F1175:F1182" si="42">D1175*E1175</f>
        <v>#REF!</v>
      </c>
      <c r="G1175" s="502" t="s">
        <v>643</v>
      </c>
    </row>
    <row r="1176" s="492" customFormat="1" ht="40.9" customHeight="1" spans="1:7">
      <c r="A1176" s="502"/>
      <c r="B1176" s="517" t="s">
        <v>644</v>
      </c>
      <c r="C1176" s="502" t="s">
        <v>62</v>
      </c>
      <c r="D1176" s="540">
        <f>1.2*D1174*17*0.7</f>
        <v>28988.4</v>
      </c>
      <c r="E1176" s="511">
        <f t="shared" si="41"/>
        <v>15.5634951407938</v>
      </c>
      <c r="F1176" s="510">
        <f t="shared" si="42"/>
        <v>451160.822539386</v>
      </c>
      <c r="G1176" s="502" t="s">
        <v>645</v>
      </c>
    </row>
    <row r="1177" s="492" customFormat="1" customHeight="1" spans="1:7">
      <c r="A1177" s="502"/>
      <c r="B1177" s="517" t="str">
        <f>B1168</f>
        <v>土方开挖及拉运（500m）</v>
      </c>
      <c r="C1177" s="502" t="s">
        <v>62</v>
      </c>
      <c r="D1177" s="540">
        <f>D1176-D1175</f>
        <v>9256.8</v>
      </c>
      <c r="E1177" s="511" t="e">
        <f t="shared" si="41"/>
        <v>#REF!</v>
      </c>
      <c r="F1177" s="510" t="e">
        <f t="shared" si="42"/>
        <v>#REF!</v>
      </c>
      <c r="G1177" s="502" t="s">
        <v>647</v>
      </c>
    </row>
    <row r="1178" s="492" customFormat="1" customHeight="1" spans="1:7">
      <c r="A1178" s="502"/>
      <c r="B1178" s="517" t="s">
        <v>648</v>
      </c>
      <c r="C1178" s="502" t="s">
        <v>62</v>
      </c>
      <c r="D1178" s="542">
        <f>1.2*6*2.23*0.3*D1174*1.2</f>
        <v>11733.7248</v>
      </c>
      <c r="E1178" s="511" t="e">
        <f t="shared" si="41"/>
        <v>#REF!</v>
      </c>
      <c r="F1178" s="510" t="e">
        <f t="shared" si="42"/>
        <v>#REF!</v>
      </c>
      <c r="G1178" s="502" t="s">
        <v>649</v>
      </c>
    </row>
    <row r="1179" s="492" customFormat="1" customHeight="1" spans="1:7">
      <c r="A1179" s="502"/>
      <c r="B1179" s="517" t="s">
        <v>560</v>
      </c>
      <c r="C1179" s="502" t="s">
        <v>62</v>
      </c>
      <c r="D1179" s="540">
        <f>1.2*3*0.5*D1174</f>
        <v>3654</v>
      </c>
      <c r="E1179" s="511" t="e">
        <f t="shared" si="41"/>
        <v>#REF!</v>
      </c>
      <c r="F1179" s="510" t="e">
        <f t="shared" si="42"/>
        <v>#REF!</v>
      </c>
      <c r="G1179" s="502" t="s">
        <v>650</v>
      </c>
    </row>
    <row r="1180" s="492" customFormat="1" customHeight="1" spans="1:7">
      <c r="A1180" s="502"/>
      <c r="B1180" s="517" t="s">
        <v>561</v>
      </c>
      <c r="C1180" s="502" t="s">
        <v>62</v>
      </c>
      <c r="D1180" s="540">
        <f>1.2*3.5*0.5*D1174</f>
        <v>4263</v>
      </c>
      <c r="E1180" s="511" t="e">
        <f t="shared" si="41"/>
        <v>#REF!</v>
      </c>
      <c r="F1180" s="510" t="e">
        <f t="shared" si="42"/>
        <v>#REF!</v>
      </c>
      <c r="G1180" s="502" t="s">
        <v>650</v>
      </c>
    </row>
    <row r="1181" customHeight="1" spans="1:7">
      <c r="A1181" s="502"/>
      <c r="B1181" s="517" t="s">
        <v>651</v>
      </c>
      <c r="C1181" s="502" t="s">
        <v>531</v>
      </c>
      <c r="D1181" s="540">
        <f>1.2*(6*2.23+5+2)*D1174</f>
        <v>49645.68</v>
      </c>
      <c r="E1181" s="511" t="e">
        <f t="shared" si="41"/>
        <v>#REF!</v>
      </c>
      <c r="F1181" s="510" t="e">
        <f t="shared" si="42"/>
        <v>#REF!</v>
      </c>
      <c r="G1181" s="502" t="s">
        <v>652</v>
      </c>
    </row>
    <row r="1182" customHeight="1" spans="1:7">
      <c r="A1182" s="502"/>
      <c r="B1182" s="517" t="s">
        <v>563</v>
      </c>
      <c r="C1182" s="502" t="s">
        <v>62</v>
      </c>
      <c r="D1182" s="540">
        <f>1.2*0.2*0.5*D1174</f>
        <v>243.6</v>
      </c>
      <c r="E1182" s="511" t="e">
        <f t="shared" si="41"/>
        <v>#REF!</v>
      </c>
      <c r="F1182" s="510" t="e">
        <f t="shared" si="42"/>
        <v>#REF!</v>
      </c>
      <c r="G1182" s="502"/>
    </row>
    <row r="1183" s="492" customFormat="1" customHeight="1" spans="1:7">
      <c r="A1183" s="506">
        <v>7</v>
      </c>
      <c r="B1183" s="507" t="s">
        <v>658</v>
      </c>
      <c r="C1183" s="506" t="s">
        <v>90</v>
      </c>
      <c r="D1183" s="506">
        <f>600*2</f>
        <v>1200</v>
      </c>
      <c r="E1183" s="511"/>
      <c r="F1183" s="508" t="e">
        <f>SUM(F1184:F1191)</f>
        <v>#REF!</v>
      </c>
      <c r="G1183" s="506"/>
    </row>
    <row r="1184" s="492" customFormat="1" customHeight="1" spans="1:7">
      <c r="A1184" s="502"/>
      <c r="B1184" s="517" t="s">
        <v>61</v>
      </c>
      <c r="C1184" s="502" t="s">
        <v>62</v>
      </c>
      <c r="D1184" s="540">
        <f>1.2*D1183*27*0.3</f>
        <v>11664</v>
      </c>
      <c r="E1184" s="511" t="e">
        <f t="shared" ref="E1184:E1191" si="43">E1175</f>
        <v>#REF!</v>
      </c>
      <c r="F1184" s="510" t="e">
        <f t="shared" ref="F1184:F1191" si="44">D1184*E1184</f>
        <v>#REF!</v>
      </c>
      <c r="G1184" s="502" t="s">
        <v>643</v>
      </c>
    </row>
    <row r="1185" s="492" customFormat="1" ht="39" customHeight="1" spans="1:7">
      <c r="A1185" s="502"/>
      <c r="B1185" s="517" t="s">
        <v>644</v>
      </c>
      <c r="C1185" s="502" t="s">
        <v>62</v>
      </c>
      <c r="D1185" s="540">
        <f>1.2*D1183*17*0.7</f>
        <v>17136</v>
      </c>
      <c r="E1185" s="511">
        <f t="shared" si="43"/>
        <v>15.5634951407938</v>
      </c>
      <c r="F1185" s="510">
        <f t="shared" si="44"/>
        <v>266696.052732642</v>
      </c>
      <c r="G1185" s="502" t="s">
        <v>645</v>
      </c>
    </row>
    <row r="1186" s="492" customFormat="1" customHeight="1" spans="1:7">
      <c r="A1186" s="502"/>
      <c r="B1186" s="517" t="str">
        <f>B1177</f>
        <v>土方开挖及拉运（500m）</v>
      </c>
      <c r="C1186" s="502" t="s">
        <v>62</v>
      </c>
      <c r="D1186" s="540">
        <f>D1185-D1184</f>
        <v>5472</v>
      </c>
      <c r="E1186" s="511" t="e">
        <f t="shared" si="43"/>
        <v>#REF!</v>
      </c>
      <c r="F1186" s="510" t="e">
        <f t="shared" si="44"/>
        <v>#REF!</v>
      </c>
      <c r="G1186" s="502" t="s">
        <v>647</v>
      </c>
    </row>
    <row r="1187" s="492" customFormat="1" customHeight="1" spans="1:7">
      <c r="A1187" s="502"/>
      <c r="B1187" s="517" t="s">
        <v>659</v>
      </c>
      <c r="C1187" s="502" t="s">
        <v>531</v>
      </c>
      <c r="D1187" s="542">
        <f>1.2*5*2.23*D1183*1.2</f>
        <v>19267.2</v>
      </c>
      <c r="E1187" s="511">
        <v>150</v>
      </c>
      <c r="F1187" s="510">
        <f t="shared" si="44"/>
        <v>2890080</v>
      </c>
      <c r="G1187" s="502" t="s">
        <v>649</v>
      </c>
    </row>
    <row r="1188" s="492" customFormat="1" customHeight="1" spans="1:7">
      <c r="A1188" s="502"/>
      <c r="B1188" s="517" t="s">
        <v>560</v>
      </c>
      <c r="C1188" s="502" t="s">
        <v>62</v>
      </c>
      <c r="D1188" s="540">
        <f>1.2*3*0.5*D1183</f>
        <v>2160</v>
      </c>
      <c r="E1188" s="511" t="e">
        <f t="shared" si="43"/>
        <v>#REF!</v>
      </c>
      <c r="F1188" s="510" t="e">
        <f t="shared" si="44"/>
        <v>#REF!</v>
      </c>
      <c r="G1188" s="502" t="s">
        <v>650</v>
      </c>
    </row>
    <row r="1189" s="492" customFormat="1" customHeight="1" spans="1:7">
      <c r="A1189" s="502"/>
      <c r="B1189" s="517" t="s">
        <v>561</v>
      </c>
      <c r="C1189" s="502" t="s">
        <v>62</v>
      </c>
      <c r="D1189" s="540">
        <f>1.2*3.5*0.5*D1183</f>
        <v>2520</v>
      </c>
      <c r="E1189" s="511" t="e">
        <f t="shared" si="43"/>
        <v>#REF!</v>
      </c>
      <c r="F1189" s="510" t="e">
        <f t="shared" si="44"/>
        <v>#REF!</v>
      </c>
      <c r="G1189" s="502" t="s">
        <v>650</v>
      </c>
    </row>
    <row r="1190" customHeight="1" spans="1:7">
      <c r="A1190" s="502"/>
      <c r="B1190" s="517" t="s">
        <v>651</v>
      </c>
      <c r="C1190" s="502" t="s">
        <v>531</v>
      </c>
      <c r="D1190" s="540">
        <f>1.2*(5*2.23+5+2)*D1183</f>
        <v>26136</v>
      </c>
      <c r="E1190" s="511" t="e">
        <f t="shared" si="43"/>
        <v>#REF!</v>
      </c>
      <c r="F1190" s="510" t="e">
        <f t="shared" si="44"/>
        <v>#REF!</v>
      </c>
      <c r="G1190" s="502" t="s">
        <v>652</v>
      </c>
    </row>
    <row r="1191" customHeight="1" spans="1:7">
      <c r="A1191" s="502"/>
      <c r="B1191" s="517" t="s">
        <v>563</v>
      </c>
      <c r="C1191" s="502" t="s">
        <v>62</v>
      </c>
      <c r="D1191" s="540">
        <f>1.2*0.2*0.5*D1183</f>
        <v>144</v>
      </c>
      <c r="E1191" s="511" t="e">
        <f t="shared" si="43"/>
        <v>#REF!</v>
      </c>
      <c r="F1191" s="510" t="e">
        <f t="shared" si="44"/>
        <v>#REF!</v>
      </c>
      <c r="G1191" s="502"/>
    </row>
    <row r="1192" s="492" customFormat="1" customHeight="1" spans="1:7">
      <c r="A1192" s="506">
        <v>8</v>
      </c>
      <c r="B1192" s="507" t="s">
        <v>660</v>
      </c>
      <c r="C1192" s="506" t="s">
        <v>90</v>
      </c>
      <c r="D1192" s="506">
        <f>373*2</f>
        <v>746</v>
      </c>
      <c r="E1192" s="511"/>
      <c r="F1192" s="508" t="e">
        <f>SUM(F1193:F1200)</f>
        <v>#REF!</v>
      </c>
      <c r="G1192" s="506"/>
    </row>
    <row r="1193" s="492" customFormat="1" customHeight="1" spans="1:7">
      <c r="A1193" s="502"/>
      <c r="B1193" s="517" t="s">
        <v>61</v>
      </c>
      <c r="C1193" s="502" t="s">
        <v>62</v>
      </c>
      <c r="D1193" s="540">
        <f>1.2*D1192*27*0.3</f>
        <v>7251.12</v>
      </c>
      <c r="E1193" s="511" t="e">
        <f t="shared" ref="E1193:E1200" si="45">E1184</f>
        <v>#REF!</v>
      </c>
      <c r="F1193" s="510" t="e">
        <f t="shared" ref="F1193:F1200" si="46">D1193*E1193</f>
        <v>#REF!</v>
      </c>
      <c r="G1193" s="502" t="s">
        <v>643</v>
      </c>
    </row>
    <row r="1194" s="492" customFormat="1" ht="43.9" customHeight="1" spans="1:7">
      <c r="A1194" s="502"/>
      <c r="B1194" s="517" t="s">
        <v>644</v>
      </c>
      <c r="C1194" s="502" t="s">
        <v>62</v>
      </c>
      <c r="D1194" s="540">
        <f>1.2*D1192*17*0.7</f>
        <v>10652.88</v>
      </c>
      <c r="E1194" s="511">
        <f t="shared" si="45"/>
        <v>15.5634951407938</v>
      </c>
      <c r="F1194" s="510">
        <f t="shared" si="46"/>
        <v>165796.046115459</v>
      </c>
      <c r="G1194" s="502" t="s">
        <v>645</v>
      </c>
    </row>
    <row r="1195" s="492" customFormat="1" customHeight="1" spans="1:7">
      <c r="A1195" s="502"/>
      <c r="B1195" s="517" t="str">
        <f>B1186</f>
        <v>土方开挖及拉运（500m）</v>
      </c>
      <c r="C1195" s="502" t="s">
        <v>62</v>
      </c>
      <c r="D1195" s="540">
        <f>D1194-D1193</f>
        <v>3401.76</v>
      </c>
      <c r="E1195" s="511" t="e">
        <f t="shared" si="45"/>
        <v>#REF!</v>
      </c>
      <c r="F1195" s="510" t="e">
        <f t="shared" si="46"/>
        <v>#REF!</v>
      </c>
      <c r="G1195" s="502" t="s">
        <v>647</v>
      </c>
    </row>
    <row r="1196" s="492" customFormat="1" customHeight="1" spans="1:7">
      <c r="A1196" s="502"/>
      <c r="B1196" s="517" t="s">
        <v>659</v>
      </c>
      <c r="C1196" s="502" t="s">
        <v>531</v>
      </c>
      <c r="D1196" s="542">
        <f>1.2*5*2.23*D1192*1.2</f>
        <v>11977.776</v>
      </c>
      <c r="E1196" s="511">
        <f t="shared" si="45"/>
        <v>150</v>
      </c>
      <c r="F1196" s="510">
        <f t="shared" si="46"/>
        <v>1796666.4</v>
      </c>
      <c r="G1196" s="502" t="s">
        <v>649</v>
      </c>
    </row>
    <row r="1197" s="492" customFormat="1" customHeight="1" spans="1:7">
      <c r="A1197" s="502"/>
      <c r="B1197" s="517" t="s">
        <v>560</v>
      </c>
      <c r="C1197" s="502" t="s">
        <v>62</v>
      </c>
      <c r="D1197" s="540">
        <f>1.2*3*0.5*D1192</f>
        <v>1342.8</v>
      </c>
      <c r="E1197" s="511" t="e">
        <f t="shared" si="45"/>
        <v>#REF!</v>
      </c>
      <c r="F1197" s="510" t="e">
        <f t="shared" si="46"/>
        <v>#REF!</v>
      </c>
      <c r="G1197" s="502" t="s">
        <v>650</v>
      </c>
    </row>
    <row r="1198" s="492" customFormat="1" customHeight="1" spans="1:7">
      <c r="A1198" s="502"/>
      <c r="B1198" s="517" t="s">
        <v>561</v>
      </c>
      <c r="C1198" s="502" t="s">
        <v>62</v>
      </c>
      <c r="D1198" s="540">
        <f>1.2*3.5*0.5*D1192</f>
        <v>1566.6</v>
      </c>
      <c r="E1198" s="511" t="e">
        <f t="shared" si="45"/>
        <v>#REF!</v>
      </c>
      <c r="F1198" s="510" t="e">
        <f t="shared" si="46"/>
        <v>#REF!</v>
      </c>
      <c r="G1198" s="502" t="s">
        <v>650</v>
      </c>
    </row>
    <row r="1199" customHeight="1" spans="1:7">
      <c r="A1199" s="502"/>
      <c r="B1199" s="517" t="s">
        <v>651</v>
      </c>
      <c r="C1199" s="502" t="s">
        <v>531</v>
      </c>
      <c r="D1199" s="540">
        <f>1.2*(5*2.23+5+2)*D1192</f>
        <v>16247.88</v>
      </c>
      <c r="E1199" s="511" t="e">
        <f t="shared" si="45"/>
        <v>#REF!</v>
      </c>
      <c r="F1199" s="510" t="e">
        <f t="shared" si="46"/>
        <v>#REF!</v>
      </c>
      <c r="G1199" s="502" t="s">
        <v>652</v>
      </c>
    </row>
    <row r="1200" customHeight="1" spans="1:7">
      <c r="A1200" s="502"/>
      <c r="B1200" s="517" t="s">
        <v>563</v>
      </c>
      <c r="C1200" s="502" t="s">
        <v>62</v>
      </c>
      <c r="D1200" s="540">
        <f>1.2*0.2*0.5*D1192</f>
        <v>89.52</v>
      </c>
      <c r="E1200" s="511" t="e">
        <f t="shared" si="45"/>
        <v>#REF!</v>
      </c>
      <c r="F1200" s="510" t="e">
        <f t="shared" si="46"/>
        <v>#REF!</v>
      </c>
      <c r="G1200" s="502"/>
    </row>
    <row r="1201" s="492" customFormat="1" customHeight="1" spans="1:7">
      <c r="A1201" s="506">
        <v>9</v>
      </c>
      <c r="B1201" s="507" t="s">
        <v>661</v>
      </c>
      <c r="C1201" s="506" t="s">
        <v>90</v>
      </c>
      <c r="D1201" s="506">
        <f>396*2</f>
        <v>792</v>
      </c>
      <c r="E1201" s="511"/>
      <c r="F1201" s="508" t="e">
        <f>SUM(F1202:F1209)</f>
        <v>#REF!</v>
      </c>
      <c r="G1201" s="506"/>
    </row>
    <row r="1202" s="492" customFormat="1" customHeight="1" spans="1:7">
      <c r="A1202" s="502"/>
      <c r="B1202" s="517" t="s">
        <v>61</v>
      </c>
      <c r="C1202" s="502" t="s">
        <v>62</v>
      </c>
      <c r="D1202" s="540">
        <f>1.2*D1201*27*0.3</f>
        <v>7698.24</v>
      </c>
      <c r="E1202" s="511" t="e">
        <f t="shared" ref="E1202:E1209" si="47">E1193</f>
        <v>#REF!</v>
      </c>
      <c r="F1202" s="510" t="e">
        <f t="shared" ref="F1202:F1209" si="48">D1202*E1202</f>
        <v>#REF!</v>
      </c>
      <c r="G1202" s="502" t="s">
        <v>643</v>
      </c>
    </row>
    <row r="1203" s="492" customFormat="1" ht="40.15" customHeight="1" spans="1:7">
      <c r="A1203" s="502"/>
      <c r="B1203" s="517" t="s">
        <v>644</v>
      </c>
      <c r="C1203" s="502" t="s">
        <v>62</v>
      </c>
      <c r="D1203" s="540">
        <f>1.2*D1201*17*0.7</f>
        <v>11309.76</v>
      </c>
      <c r="E1203" s="511">
        <f t="shared" si="47"/>
        <v>15.5634951407938</v>
      </c>
      <c r="F1203" s="510">
        <f t="shared" si="48"/>
        <v>176019.394803544</v>
      </c>
      <c r="G1203" s="502" t="s">
        <v>645</v>
      </c>
    </row>
    <row r="1204" s="492" customFormat="1" customHeight="1" spans="1:7">
      <c r="A1204" s="502"/>
      <c r="B1204" s="517" t="str">
        <f>B1195</f>
        <v>土方开挖及拉运（500m）</v>
      </c>
      <c r="C1204" s="502" t="s">
        <v>62</v>
      </c>
      <c r="D1204" s="540">
        <f>D1203-D1202</f>
        <v>3611.52</v>
      </c>
      <c r="E1204" s="511" t="e">
        <f t="shared" si="47"/>
        <v>#REF!</v>
      </c>
      <c r="F1204" s="510" t="e">
        <f t="shared" si="48"/>
        <v>#REF!</v>
      </c>
      <c r="G1204" s="502" t="s">
        <v>647</v>
      </c>
    </row>
    <row r="1205" s="492" customFormat="1" customHeight="1" spans="1:7">
      <c r="A1205" s="502"/>
      <c r="B1205" s="517" t="s">
        <v>659</v>
      </c>
      <c r="C1205" s="502" t="s">
        <v>531</v>
      </c>
      <c r="D1205" s="542">
        <f>1.2*5*2.23*D1201*1.2</f>
        <v>12716.352</v>
      </c>
      <c r="E1205" s="511">
        <f t="shared" si="47"/>
        <v>150</v>
      </c>
      <c r="F1205" s="510">
        <f t="shared" si="48"/>
        <v>1907452.8</v>
      </c>
      <c r="G1205" s="502" t="s">
        <v>649</v>
      </c>
    </row>
    <row r="1206" s="492" customFormat="1" customHeight="1" spans="1:7">
      <c r="A1206" s="502"/>
      <c r="B1206" s="517" t="s">
        <v>560</v>
      </c>
      <c r="C1206" s="502" t="s">
        <v>62</v>
      </c>
      <c r="D1206" s="540">
        <f>1.2*3*0.5*D1201</f>
        <v>1425.6</v>
      </c>
      <c r="E1206" s="511" t="e">
        <f t="shared" si="47"/>
        <v>#REF!</v>
      </c>
      <c r="F1206" s="510" t="e">
        <f t="shared" si="48"/>
        <v>#REF!</v>
      </c>
      <c r="G1206" s="502" t="s">
        <v>650</v>
      </c>
    </row>
    <row r="1207" s="492" customFormat="1" customHeight="1" spans="1:7">
      <c r="A1207" s="502"/>
      <c r="B1207" s="517" t="s">
        <v>561</v>
      </c>
      <c r="C1207" s="502" t="s">
        <v>62</v>
      </c>
      <c r="D1207" s="540">
        <f>1.2*3.5*0.5*D1201</f>
        <v>1663.2</v>
      </c>
      <c r="E1207" s="511" t="e">
        <f t="shared" si="47"/>
        <v>#REF!</v>
      </c>
      <c r="F1207" s="510" t="e">
        <f t="shared" si="48"/>
        <v>#REF!</v>
      </c>
      <c r="G1207" s="502" t="s">
        <v>650</v>
      </c>
    </row>
    <row r="1208" customHeight="1" spans="1:7">
      <c r="A1208" s="502"/>
      <c r="B1208" s="517" t="s">
        <v>651</v>
      </c>
      <c r="C1208" s="502" t="s">
        <v>531</v>
      </c>
      <c r="D1208" s="540">
        <f>1.2*(5*2.23+5+2)*D1201</f>
        <v>17249.76</v>
      </c>
      <c r="E1208" s="511" t="e">
        <f t="shared" si="47"/>
        <v>#REF!</v>
      </c>
      <c r="F1208" s="510" t="e">
        <f t="shared" si="48"/>
        <v>#REF!</v>
      </c>
      <c r="G1208" s="502" t="s">
        <v>652</v>
      </c>
    </row>
    <row r="1209" customHeight="1" spans="1:7">
      <c r="A1209" s="502"/>
      <c r="B1209" s="517" t="s">
        <v>563</v>
      </c>
      <c r="C1209" s="502" t="s">
        <v>62</v>
      </c>
      <c r="D1209" s="540">
        <f>1.2*0.2*0.5*D1201</f>
        <v>95.04</v>
      </c>
      <c r="E1209" s="511" t="e">
        <f t="shared" si="47"/>
        <v>#REF!</v>
      </c>
      <c r="F1209" s="510" t="e">
        <f t="shared" si="48"/>
        <v>#REF!</v>
      </c>
      <c r="G1209" s="502"/>
    </row>
    <row r="1210" s="492" customFormat="1" customHeight="1" spans="1:7">
      <c r="A1210" s="506">
        <v>10</v>
      </c>
      <c r="B1210" s="507" t="s">
        <v>662</v>
      </c>
      <c r="C1210" s="506" t="s">
        <v>90</v>
      </c>
      <c r="D1210" s="506">
        <f>386*2</f>
        <v>772</v>
      </c>
      <c r="E1210" s="511"/>
      <c r="F1210" s="508" t="e">
        <f>SUM(F1211:F1218)</f>
        <v>#REF!</v>
      </c>
      <c r="G1210" s="506"/>
    </row>
    <row r="1211" s="492" customFormat="1" customHeight="1" spans="1:7">
      <c r="A1211" s="502"/>
      <c r="B1211" s="517" t="s">
        <v>61</v>
      </c>
      <c r="C1211" s="502" t="s">
        <v>62</v>
      </c>
      <c r="D1211" s="540">
        <f>1.2*D1210*27*0.3</f>
        <v>7503.84</v>
      </c>
      <c r="E1211" s="511" t="e">
        <f t="shared" ref="E1211:E1218" si="49">E1202</f>
        <v>#REF!</v>
      </c>
      <c r="F1211" s="510" t="e">
        <f t="shared" ref="F1211:F1218" si="50">D1211*E1211</f>
        <v>#REF!</v>
      </c>
      <c r="G1211" s="502" t="s">
        <v>643</v>
      </c>
    </row>
    <row r="1212" s="492" customFormat="1" ht="46.9" customHeight="1" spans="1:7">
      <c r="A1212" s="502"/>
      <c r="B1212" s="517" t="s">
        <v>644</v>
      </c>
      <c r="C1212" s="502" t="s">
        <v>62</v>
      </c>
      <c r="D1212" s="540">
        <f>1.2*D1210*17*0.7</f>
        <v>11024.16</v>
      </c>
      <c r="E1212" s="511">
        <f t="shared" si="49"/>
        <v>15.5634951407938</v>
      </c>
      <c r="F1212" s="510">
        <f t="shared" si="50"/>
        <v>171574.460591333</v>
      </c>
      <c r="G1212" s="502" t="s">
        <v>645</v>
      </c>
    </row>
    <row r="1213" s="492" customFormat="1" customHeight="1" spans="1:7">
      <c r="A1213" s="502"/>
      <c r="B1213" s="517" t="str">
        <f>B1204</f>
        <v>土方开挖及拉运（500m）</v>
      </c>
      <c r="C1213" s="502" t="s">
        <v>62</v>
      </c>
      <c r="D1213" s="540">
        <f>D1212-D1211</f>
        <v>3520.32</v>
      </c>
      <c r="E1213" s="511" t="e">
        <f t="shared" si="49"/>
        <v>#REF!</v>
      </c>
      <c r="F1213" s="510" t="e">
        <f t="shared" si="50"/>
        <v>#REF!</v>
      </c>
      <c r="G1213" s="502" t="s">
        <v>647</v>
      </c>
    </row>
    <row r="1214" s="492" customFormat="1" customHeight="1" spans="1:7">
      <c r="A1214" s="502"/>
      <c r="B1214" s="517" t="s">
        <v>659</v>
      </c>
      <c r="C1214" s="502" t="s">
        <v>531</v>
      </c>
      <c r="D1214" s="542">
        <f>1.2*5*2.23*D1210*1.2</f>
        <v>12395.232</v>
      </c>
      <c r="E1214" s="511">
        <f t="shared" si="49"/>
        <v>150</v>
      </c>
      <c r="F1214" s="510">
        <f t="shared" si="50"/>
        <v>1859284.8</v>
      </c>
      <c r="G1214" s="502" t="s">
        <v>649</v>
      </c>
    </row>
    <row r="1215" s="492" customFormat="1" customHeight="1" spans="1:7">
      <c r="A1215" s="502"/>
      <c r="B1215" s="517" t="s">
        <v>560</v>
      </c>
      <c r="C1215" s="502" t="s">
        <v>62</v>
      </c>
      <c r="D1215" s="540">
        <f>1.2*3*0.5*D1210</f>
        <v>1389.6</v>
      </c>
      <c r="E1215" s="511" t="e">
        <f t="shared" si="49"/>
        <v>#REF!</v>
      </c>
      <c r="F1215" s="510" t="e">
        <f t="shared" si="50"/>
        <v>#REF!</v>
      </c>
      <c r="G1215" s="502" t="s">
        <v>650</v>
      </c>
    </row>
    <row r="1216" s="492" customFormat="1" customHeight="1" spans="1:7">
      <c r="A1216" s="502"/>
      <c r="B1216" s="517" t="s">
        <v>561</v>
      </c>
      <c r="C1216" s="502" t="s">
        <v>62</v>
      </c>
      <c r="D1216" s="540">
        <f>1.2*3.5*0.5*D1210</f>
        <v>1621.2</v>
      </c>
      <c r="E1216" s="511" t="e">
        <f t="shared" si="49"/>
        <v>#REF!</v>
      </c>
      <c r="F1216" s="510" t="e">
        <f t="shared" si="50"/>
        <v>#REF!</v>
      </c>
      <c r="G1216" s="502" t="s">
        <v>650</v>
      </c>
    </row>
    <row r="1217" customHeight="1" spans="1:7">
      <c r="A1217" s="502"/>
      <c r="B1217" s="517" t="s">
        <v>651</v>
      </c>
      <c r="C1217" s="502" t="s">
        <v>531</v>
      </c>
      <c r="D1217" s="540">
        <f>1.2*(5*2.23+5+2)*D1210</f>
        <v>16814.16</v>
      </c>
      <c r="E1217" s="511" t="e">
        <f t="shared" si="49"/>
        <v>#REF!</v>
      </c>
      <c r="F1217" s="510" t="e">
        <f t="shared" si="50"/>
        <v>#REF!</v>
      </c>
      <c r="G1217" s="502" t="s">
        <v>652</v>
      </c>
    </row>
    <row r="1218" customHeight="1" spans="1:7">
      <c r="A1218" s="502"/>
      <c r="B1218" s="517" t="s">
        <v>563</v>
      </c>
      <c r="C1218" s="502" t="s">
        <v>62</v>
      </c>
      <c r="D1218" s="540">
        <f>1.2*0.2*0.5*D1210</f>
        <v>92.64</v>
      </c>
      <c r="E1218" s="511" t="e">
        <f t="shared" si="49"/>
        <v>#REF!</v>
      </c>
      <c r="F1218" s="510" t="e">
        <f t="shared" si="50"/>
        <v>#REF!</v>
      </c>
      <c r="G1218" s="502"/>
    </row>
    <row r="1219" s="492" customFormat="1" customHeight="1" spans="1:7">
      <c r="A1219" s="506">
        <v>11</v>
      </c>
      <c r="B1219" s="507" t="s">
        <v>663</v>
      </c>
      <c r="C1219" s="506" t="s">
        <v>90</v>
      </c>
      <c r="D1219" s="506">
        <f>403*2</f>
        <v>806</v>
      </c>
      <c r="E1219" s="511"/>
      <c r="F1219" s="508" t="e">
        <f>SUM(F1220:F1227)</f>
        <v>#REF!</v>
      </c>
      <c r="G1219" s="506"/>
    </row>
    <row r="1220" s="492" customFormat="1" ht="49.15" customHeight="1" spans="1:7">
      <c r="A1220" s="502"/>
      <c r="B1220" s="517" t="s">
        <v>61</v>
      </c>
      <c r="C1220" s="502" t="s">
        <v>62</v>
      </c>
      <c r="D1220" s="540">
        <f>1.2*D1219*27*0.3</f>
        <v>7834.32</v>
      </c>
      <c r="E1220" s="511" t="e">
        <f t="shared" ref="E1220:E1227" si="51">E1211</f>
        <v>#REF!</v>
      </c>
      <c r="F1220" s="510" t="e">
        <f t="shared" ref="F1220:F1227" si="52">D1220*E1220</f>
        <v>#REF!</v>
      </c>
      <c r="G1220" s="502" t="s">
        <v>643</v>
      </c>
    </row>
    <row r="1221" s="492" customFormat="1" ht="67.9" customHeight="1" spans="1:7">
      <c r="A1221" s="502"/>
      <c r="B1221" s="517" t="s">
        <v>644</v>
      </c>
      <c r="C1221" s="502" t="s">
        <v>62</v>
      </c>
      <c r="D1221" s="540">
        <f>1.2*D1219*17*0.7</f>
        <v>11509.68</v>
      </c>
      <c r="E1221" s="511">
        <f t="shared" si="51"/>
        <v>15.5634951407938</v>
      </c>
      <c r="F1221" s="510">
        <f t="shared" si="52"/>
        <v>179130.848752091</v>
      </c>
      <c r="G1221" s="502" t="s">
        <v>645</v>
      </c>
    </row>
    <row r="1222" s="492" customFormat="1" ht="37.15" customHeight="1" spans="1:7">
      <c r="A1222" s="502"/>
      <c r="B1222" s="517" t="str">
        <f>B1213</f>
        <v>土方开挖及拉运（500m）</v>
      </c>
      <c r="C1222" s="502" t="s">
        <v>62</v>
      </c>
      <c r="D1222" s="540">
        <f>D1221-D1220</f>
        <v>3675.36</v>
      </c>
      <c r="E1222" s="511" t="e">
        <f t="shared" si="51"/>
        <v>#REF!</v>
      </c>
      <c r="F1222" s="510" t="e">
        <f t="shared" si="52"/>
        <v>#REF!</v>
      </c>
      <c r="G1222" s="502" t="s">
        <v>647</v>
      </c>
    </row>
    <row r="1223" s="492" customFormat="1" customHeight="1" spans="1:7">
      <c r="A1223" s="502"/>
      <c r="B1223" s="517" t="s">
        <v>659</v>
      </c>
      <c r="C1223" s="502" t="s">
        <v>531</v>
      </c>
      <c r="D1223" s="542">
        <f>1.2*5*2.23*D1219*1.2</f>
        <v>12941.136</v>
      </c>
      <c r="E1223" s="511">
        <f t="shared" si="51"/>
        <v>150</v>
      </c>
      <c r="F1223" s="510">
        <f t="shared" si="52"/>
        <v>1941170.4</v>
      </c>
      <c r="G1223" s="502" t="s">
        <v>649</v>
      </c>
    </row>
    <row r="1224" s="492" customFormat="1" customHeight="1" spans="1:7">
      <c r="A1224" s="502"/>
      <c r="B1224" s="517" t="s">
        <v>560</v>
      </c>
      <c r="C1224" s="502" t="s">
        <v>62</v>
      </c>
      <c r="D1224" s="540">
        <f>1.2*3*0.5*D1219</f>
        <v>1450.8</v>
      </c>
      <c r="E1224" s="511" t="e">
        <f t="shared" si="51"/>
        <v>#REF!</v>
      </c>
      <c r="F1224" s="510" t="e">
        <f t="shared" si="52"/>
        <v>#REF!</v>
      </c>
      <c r="G1224" s="502" t="s">
        <v>650</v>
      </c>
    </row>
    <row r="1225" s="492" customFormat="1" customHeight="1" spans="1:7">
      <c r="A1225" s="502"/>
      <c r="B1225" s="517" t="s">
        <v>561</v>
      </c>
      <c r="C1225" s="502" t="s">
        <v>62</v>
      </c>
      <c r="D1225" s="540">
        <f>1.2*3.5*0.5*D1219</f>
        <v>1692.6</v>
      </c>
      <c r="E1225" s="511" t="e">
        <f t="shared" si="51"/>
        <v>#REF!</v>
      </c>
      <c r="F1225" s="510" t="e">
        <f t="shared" si="52"/>
        <v>#REF!</v>
      </c>
      <c r="G1225" s="502" t="s">
        <v>650</v>
      </c>
    </row>
    <row r="1226" customHeight="1" spans="1:7">
      <c r="A1226" s="502"/>
      <c r="B1226" s="517" t="s">
        <v>651</v>
      </c>
      <c r="C1226" s="502" t="s">
        <v>531</v>
      </c>
      <c r="D1226" s="540">
        <f>1.2*(5*2.23+5+2)*D1219</f>
        <v>17554.68</v>
      </c>
      <c r="E1226" s="511" t="e">
        <f t="shared" si="51"/>
        <v>#REF!</v>
      </c>
      <c r="F1226" s="510" t="e">
        <f t="shared" si="52"/>
        <v>#REF!</v>
      </c>
      <c r="G1226" s="502" t="s">
        <v>652</v>
      </c>
    </row>
    <row r="1227" customHeight="1" spans="1:7">
      <c r="A1227" s="502"/>
      <c r="B1227" s="517" t="s">
        <v>563</v>
      </c>
      <c r="C1227" s="502" t="s">
        <v>62</v>
      </c>
      <c r="D1227" s="540">
        <f>1.2*0.2*0.5*D1219</f>
        <v>96.72</v>
      </c>
      <c r="E1227" s="511" t="e">
        <f t="shared" si="51"/>
        <v>#REF!</v>
      </c>
      <c r="F1227" s="510" t="e">
        <f t="shared" si="52"/>
        <v>#REF!</v>
      </c>
      <c r="G1227" s="502"/>
    </row>
    <row r="1228" s="492" customFormat="1" customHeight="1" spans="1:7">
      <c r="A1228" s="506">
        <v>12</v>
      </c>
      <c r="B1228" s="507" t="s">
        <v>664</v>
      </c>
      <c r="C1228" s="506" t="s">
        <v>90</v>
      </c>
      <c r="D1228" s="506">
        <f>381*2</f>
        <v>762</v>
      </c>
      <c r="E1228" s="511"/>
      <c r="F1228" s="508" t="e">
        <f>SUM(F1229:F1236)</f>
        <v>#REF!</v>
      </c>
      <c r="G1228" s="506"/>
    </row>
    <row r="1229" s="492" customFormat="1" customHeight="1" spans="1:7">
      <c r="A1229" s="502"/>
      <c r="B1229" s="517" t="s">
        <v>61</v>
      </c>
      <c r="C1229" s="502" t="s">
        <v>62</v>
      </c>
      <c r="D1229" s="540">
        <f>1.2*D1228*27*0.3</f>
        <v>7406.64</v>
      </c>
      <c r="E1229" s="511" t="e">
        <f t="shared" ref="E1229:E1236" si="53">E1220</f>
        <v>#REF!</v>
      </c>
      <c r="F1229" s="510" t="e">
        <f t="shared" ref="F1229:F1236" si="54">D1229*E1229</f>
        <v>#REF!</v>
      </c>
      <c r="G1229" s="502" t="s">
        <v>643</v>
      </c>
    </row>
    <row r="1230" s="492" customFormat="1" ht="42" customHeight="1" spans="1:7">
      <c r="A1230" s="502"/>
      <c r="B1230" s="517" t="s">
        <v>644</v>
      </c>
      <c r="C1230" s="502" t="s">
        <v>62</v>
      </c>
      <c r="D1230" s="540">
        <f>1.2*D1228*17*0.7</f>
        <v>10881.36</v>
      </c>
      <c r="E1230" s="511">
        <f t="shared" si="53"/>
        <v>15.5634951407938</v>
      </c>
      <c r="F1230" s="510">
        <f t="shared" si="54"/>
        <v>169351.993485228</v>
      </c>
      <c r="G1230" s="502" t="s">
        <v>645</v>
      </c>
    </row>
    <row r="1231" s="492" customFormat="1" customHeight="1" spans="1:7">
      <c r="A1231" s="502"/>
      <c r="B1231" s="517" t="str">
        <f>B1222</f>
        <v>土方开挖及拉运（500m）</v>
      </c>
      <c r="C1231" s="502" t="s">
        <v>62</v>
      </c>
      <c r="D1231" s="540">
        <f>D1230-D1229</f>
        <v>3474.72</v>
      </c>
      <c r="E1231" s="511" t="e">
        <f t="shared" si="53"/>
        <v>#REF!</v>
      </c>
      <c r="F1231" s="510" t="e">
        <f t="shared" si="54"/>
        <v>#REF!</v>
      </c>
      <c r="G1231" s="502" t="s">
        <v>647</v>
      </c>
    </row>
    <row r="1232" s="492" customFormat="1" customHeight="1" spans="1:7">
      <c r="A1232" s="502"/>
      <c r="B1232" s="517" t="s">
        <v>659</v>
      </c>
      <c r="C1232" s="502" t="s">
        <v>531</v>
      </c>
      <c r="D1232" s="542">
        <f>1.2*5*2.23*D1228*1.2</f>
        <v>12234.672</v>
      </c>
      <c r="E1232" s="511">
        <f t="shared" si="53"/>
        <v>150</v>
      </c>
      <c r="F1232" s="510">
        <f t="shared" si="54"/>
        <v>1835200.8</v>
      </c>
      <c r="G1232" s="502" t="s">
        <v>649</v>
      </c>
    </row>
    <row r="1233" s="492" customFormat="1" customHeight="1" spans="1:7">
      <c r="A1233" s="502"/>
      <c r="B1233" s="517" t="s">
        <v>560</v>
      </c>
      <c r="C1233" s="502" t="s">
        <v>62</v>
      </c>
      <c r="D1233" s="540">
        <f>1.2*3*0.5*D1228</f>
        <v>1371.6</v>
      </c>
      <c r="E1233" s="511" t="e">
        <f t="shared" si="53"/>
        <v>#REF!</v>
      </c>
      <c r="F1233" s="510" t="e">
        <f t="shared" si="54"/>
        <v>#REF!</v>
      </c>
      <c r="G1233" s="502" t="s">
        <v>650</v>
      </c>
    </row>
    <row r="1234" s="492" customFormat="1" customHeight="1" spans="1:7">
      <c r="A1234" s="502"/>
      <c r="B1234" s="517" t="s">
        <v>561</v>
      </c>
      <c r="C1234" s="502" t="s">
        <v>62</v>
      </c>
      <c r="D1234" s="540">
        <f>1.2*3.5*0.5*D1228</f>
        <v>1600.2</v>
      </c>
      <c r="E1234" s="511" t="e">
        <f t="shared" si="53"/>
        <v>#REF!</v>
      </c>
      <c r="F1234" s="510" t="e">
        <f t="shared" si="54"/>
        <v>#REF!</v>
      </c>
      <c r="G1234" s="502" t="s">
        <v>650</v>
      </c>
    </row>
    <row r="1235" customHeight="1" spans="1:7">
      <c r="A1235" s="502"/>
      <c r="B1235" s="517" t="s">
        <v>651</v>
      </c>
      <c r="C1235" s="502" t="s">
        <v>531</v>
      </c>
      <c r="D1235" s="540">
        <f>1.2*(5*2.23+5+2)*D1228</f>
        <v>16596.36</v>
      </c>
      <c r="E1235" s="511" t="e">
        <f t="shared" si="53"/>
        <v>#REF!</v>
      </c>
      <c r="F1235" s="510" t="e">
        <f t="shared" si="54"/>
        <v>#REF!</v>
      </c>
      <c r="G1235" s="502" t="s">
        <v>652</v>
      </c>
    </row>
    <row r="1236" customHeight="1" spans="1:7">
      <c r="A1236" s="502"/>
      <c r="B1236" s="517" t="s">
        <v>563</v>
      </c>
      <c r="C1236" s="502" t="s">
        <v>62</v>
      </c>
      <c r="D1236" s="540">
        <f>1.2*0.2*0.5*D1228</f>
        <v>91.44</v>
      </c>
      <c r="E1236" s="511" t="e">
        <f t="shared" si="53"/>
        <v>#REF!</v>
      </c>
      <c r="F1236" s="510" t="e">
        <f t="shared" si="54"/>
        <v>#REF!</v>
      </c>
      <c r="G1236" s="502"/>
    </row>
    <row r="1237" s="492" customFormat="1" customHeight="1" spans="1:7">
      <c r="A1237" s="506">
        <v>13</v>
      </c>
      <c r="B1237" s="507" t="s">
        <v>665</v>
      </c>
      <c r="C1237" s="506" t="s">
        <v>90</v>
      </c>
      <c r="D1237" s="506">
        <f>411*2</f>
        <v>822</v>
      </c>
      <c r="E1237" s="511"/>
      <c r="F1237" s="508" t="e">
        <f>SUM(F1238:F1245)</f>
        <v>#REF!</v>
      </c>
      <c r="G1237" s="506"/>
    </row>
    <row r="1238" s="492" customFormat="1" customHeight="1" spans="1:7">
      <c r="A1238" s="502"/>
      <c r="B1238" s="517" t="s">
        <v>61</v>
      </c>
      <c r="C1238" s="502" t="s">
        <v>62</v>
      </c>
      <c r="D1238" s="540">
        <f>1.2*D1237*27*0.3</f>
        <v>7989.84</v>
      </c>
      <c r="E1238" s="511" t="e">
        <f t="shared" ref="E1238:E1245" si="55">E1229</f>
        <v>#REF!</v>
      </c>
      <c r="F1238" s="510" t="e">
        <f t="shared" ref="F1238:F1245" si="56">D1238*E1238</f>
        <v>#REF!</v>
      </c>
      <c r="G1238" s="502" t="s">
        <v>643</v>
      </c>
    </row>
    <row r="1239" s="492" customFormat="1" ht="31.9" customHeight="1" spans="1:7">
      <c r="A1239" s="502"/>
      <c r="B1239" s="517" t="s">
        <v>644</v>
      </c>
      <c r="C1239" s="502" t="s">
        <v>62</v>
      </c>
      <c r="D1239" s="540">
        <f>1.2*D1237*17*0.7</f>
        <v>11738.16</v>
      </c>
      <c r="E1239" s="511">
        <f t="shared" si="55"/>
        <v>15.5634951407938</v>
      </c>
      <c r="F1239" s="510">
        <f t="shared" si="56"/>
        <v>182686.79612186</v>
      </c>
      <c r="G1239" s="502" t="s">
        <v>645</v>
      </c>
    </row>
    <row r="1240" s="492" customFormat="1" customHeight="1" spans="1:7">
      <c r="A1240" s="502"/>
      <c r="B1240" s="517" t="str">
        <f>B1231</f>
        <v>土方开挖及拉运（500m）</v>
      </c>
      <c r="C1240" s="502" t="s">
        <v>62</v>
      </c>
      <c r="D1240" s="540">
        <f>D1239-D1238</f>
        <v>3748.32</v>
      </c>
      <c r="E1240" s="511" t="e">
        <f t="shared" si="55"/>
        <v>#REF!</v>
      </c>
      <c r="F1240" s="510" t="e">
        <f t="shared" si="56"/>
        <v>#REF!</v>
      </c>
      <c r="G1240" s="502" t="s">
        <v>647</v>
      </c>
    </row>
    <row r="1241" s="492" customFormat="1" customHeight="1" spans="1:7">
      <c r="A1241" s="502"/>
      <c r="B1241" s="517" t="s">
        <v>659</v>
      </c>
      <c r="C1241" s="502" t="s">
        <v>531</v>
      </c>
      <c r="D1241" s="542">
        <f>1.2*5*2.23*D1237*1.2</f>
        <v>13198.032</v>
      </c>
      <c r="E1241" s="511">
        <f t="shared" si="55"/>
        <v>150</v>
      </c>
      <c r="F1241" s="510">
        <f t="shared" si="56"/>
        <v>1979704.8</v>
      </c>
      <c r="G1241" s="502" t="s">
        <v>649</v>
      </c>
    </row>
    <row r="1242" s="492" customFormat="1" customHeight="1" spans="1:7">
      <c r="A1242" s="502"/>
      <c r="B1242" s="517" t="s">
        <v>560</v>
      </c>
      <c r="C1242" s="502" t="s">
        <v>62</v>
      </c>
      <c r="D1242" s="540">
        <f>1.2*3*0.5*D1237</f>
        <v>1479.6</v>
      </c>
      <c r="E1242" s="511" t="e">
        <f t="shared" si="55"/>
        <v>#REF!</v>
      </c>
      <c r="F1242" s="510" t="e">
        <f t="shared" si="56"/>
        <v>#REF!</v>
      </c>
      <c r="G1242" s="502" t="s">
        <v>650</v>
      </c>
    </row>
    <row r="1243" s="492" customFormat="1" customHeight="1" spans="1:7">
      <c r="A1243" s="502"/>
      <c r="B1243" s="517" t="s">
        <v>561</v>
      </c>
      <c r="C1243" s="502" t="s">
        <v>62</v>
      </c>
      <c r="D1243" s="540">
        <f>1.2*3.5*0.5*D1237</f>
        <v>1726.2</v>
      </c>
      <c r="E1243" s="511" t="e">
        <f t="shared" si="55"/>
        <v>#REF!</v>
      </c>
      <c r="F1243" s="510" t="e">
        <f t="shared" si="56"/>
        <v>#REF!</v>
      </c>
      <c r="G1243" s="502" t="s">
        <v>650</v>
      </c>
    </row>
    <row r="1244" customHeight="1" spans="1:7">
      <c r="A1244" s="502"/>
      <c r="B1244" s="517" t="s">
        <v>651</v>
      </c>
      <c r="C1244" s="502" t="s">
        <v>531</v>
      </c>
      <c r="D1244" s="540">
        <f>1.2*(5*2.23+5+2)*D1237</f>
        <v>17903.16</v>
      </c>
      <c r="E1244" s="511" t="e">
        <f t="shared" si="55"/>
        <v>#REF!</v>
      </c>
      <c r="F1244" s="510" t="e">
        <f t="shared" si="56"/>
        <v>#REF!</v>
      </c>
      <c r="G1244" s="502" t="s">
        <v>652</v>
      </c>
    </row>
    <row r="1245" customHeight="1" spans="1:7">
      <c r="A1245" s="502"/>
      <c r="B1245" s="517" t="s">
        <v>563</v>
      </c>
      <c r="C1245" s="502" t="s">
        <v>62</v>
      </c>
      <c r="D1245" s="540">
        <f>1.2*0.2*0.5*D1237</f>
        <v>98.64</v>
      </c>
      <c r="E1245" s="511" t="e">
        <f t="shared" si="55"/>
        <v>#REF!</v>
      </c>
      <c r="F1245" s="510" t="e">
        <f t="shared" si="56"/>
        <v>#REF!</v>
      </c>
      <c r="G1245" s="502"/>
    </row>
    <row r="1246" s="492" customFormat="1" customHeight="1" spans="1:7">
      <c r="A1246" s="506">
        <v>14</v>
      </c>
      <c r="B1246" s="507" t="s">
        <v>666</v>
      </c>
      <c r="C1246" s="506" t="s">
        <v>90</v>
      </c>
      <c r="D1246" s="506">
        <f>471*2</f>
        <v>942</v>
      </c>
      <c r="E1246" s="511"/>
      <c r="F1246" s="508" t="e">
        <f>SUM(F1247:F1254)</f>
        <v>#REF!</v>
      </c>
      <c r="G1246" s="506"/>
    </row>
    <row r="1247" s="492" customFormat="1" customHeight="1" spans="1:7">
      <c r="A1247" s="502"/>
      <c r="B1247" s="517" t="s">
        <v>61</v>
      </c>
      <c r="C1247" s="502" t="s">
        <v>62</v>
      </c>
      <c r="D1247" s="540">
        <f>1.2*D1246*27*0.3</f>
        <v>9156.24</v>
      </c>
      <c r="E1247" s="511" t="e">
        <f t="shared" ref="E1247:E1254" si="57">E1238</f>
        <v>#REF!</v>
      </c>
      <c r="F1247" s="510" t="e">
        <f t="shared" ref="F1247:F1254" si="58">D1247*E1247</f>
        <v>#REF!</v>
      </c>
      <c r="G1247" s="502" t="s">
        <v>643</v>
      </c>
    </row>
    <row r="1248" s="492" customFormat="1" ht="36" customHeight="1" spans="1:7">
      <c r="A1248" s="502"/>
      <c r="B1248" s="517" t="s">
        <v>644</v>
      </c>
      <c r="C1248" s="502" t="s">
        <v>62</v>
      </c>
      <c r="D1248" s="540">
        <f>1.2*D1246*17*0.7</f>
        <v>13451.76</v>
      </c>
      <c r="E1248" s="511">
        <f t="shared" si="57"/>
        <v>15.5634951407938</v>
      </c>
      <c r="F1248" s="510">
        <f t="shared" si="58"/>
        <v>209356.401395124</v>
      </c>
      <c r="G1248" s="502" t="s">
        <v>645</v>
      </c>
    </row>
    <row r="1249" s="492" customFormat="1" customHeight="1" spans="1:7">
      <c r="A1249" s="502"/>
      <c r="B1249" s="517" t="str">
        <f>B1240</f>
        <v>土方开挖及拉运（500m）</v>
      </c>
      <c r="C1249" s="502" t="s">
        <v>62</v>
      </c>
      <c r="D1249" s="540">
        <f>D1248-D1247</f>
        <v>4295.52</v>
      </c>
      <c r="E1249" s="511" t="e">
        <f t="shared" si="57"/>
        <v>#REF!</v>
      </c>
      <c r="F1249" s="510" t="e">
        <f t="shared" si="58"/>
        <v>#REF!</v>
      </c>
      <c r="G1249" s="502" t="s">
        <v>647</v>
      </c>
    </row>
    <row r="1250" s="492" customFormat="1" customHeight="1" spans="1:7">
      <c r="A1250" s="502"/>
      <c r="B1250" s="517" t="s">
        <v>659</v>
      </c>
      <c r="C1250" s="502" t="s">
        <v>531</v>
      </c>
      <c r="D1250" s="542">
        <f>1.2*5*2.23*D1246*1.2</f>
        <v>15124.752</v>
      </c>
      <c r="E1250" s="511">
        <f t="shared" si="57"/>
        <v>150</v>
      </c>
      <c r="F1250" s="510">
        <f t="shared" si="58"/>
        <v>2268712.8</v>
      </c>
      <c r="G1250" s="502" t="s">
        <v>649</v>
      </c>
    </row>
    <row r="1251" s="492" customFormat="1" customHeight="1" spans="1:7">
      <c r="A1251" s="502"/>
      <c r="B1251" s="517" t="s">
        <v>560</v>
      </c>
      <c r="C1251" s="502" t="s">
        <v>62</v>
      </c>
      <c r="D1251" s="540">
        <f>1.2*3*0.5*D1246</f>
        <v>1695.6</v>
      </c>
      <c r="E1251" s="511" t="e">
        <f t="shared" si="57"/>
        <v>#REF!</v>
      </c>
      <c r="F1251" s="510" t="e">
        <f t="shared" si="58"/>
        <v>#REF!</v>
      </c>
      <c r="G1251" s="502" t="s">
        <v>650</v>
      </c>
    </row>
    <row r="1252" s="492" customFormat="1" customHeight="1" spans="1:7">
      <c r="A1252" s="502"/>
      <c r="B1252" s="517" t="s">
        <v>561</v>
      </c>
      <c r="C1252" s="502" t="s">
        <v>62</v>
      </c>
      <c r="D1252" s="540">
        <f>1.2*3.5*0.5*D1246</f>
        <v>1978.2</v>
      </c>
      <c r="E1252" s="511" t="e">
        <f t="shared" si="57"/>
        <v>#REF!</v>
      </c>
      <c r="F1252" s="510" t="e">
        <f t="shared" si="58"/>
        <v>#REF!</v>
      </c>
      <c r="G1252" s="502" t="s">
        <v>650</v>
      </c>
    </row>
    <row r="1253" customHeight="1" spans="1:7">
      <c r="A1253" s="502"/>
      <c r="B1253" s="517" t="s">
        <v>651</v>
      </c>
      <c r="C1253" s="502" t="s">
        <v>531</v>
      </c>
      <c r="D1253" s="540">
        <f>1.2*(5*2.23+5+2)*D1246</f>
        <v>20516.76</v>
      </c>
      <c r="E1253" s="511" t="e">
        <f t="shared" si="57"/>
        <v>#REF!</v>
      </c>
      <c r="F1253" s="510" t="e">
        <f t="shared" si="58"/>
        <v>#REF!</v>
      </c>
      <c r="G1253" s="502" t="s">
        <v>652</v>
      </c>
    </row>
    <row r="1254" customHeight="1" spans="1:7">
      <c r="A1254" s="502"/>
      <c r="B1254" s="517" t="s">
        <v>563</v>
      </c>
      <c r="C1254" s="502" t="s">
        <v>62</v>
      </c>
      <c r="D1254" s="540">
        <f>1.2*0.2*0.5*D1246</f>
        <v>113.04</v>
      </c>
      <c r="E1254" s="511" t="e">
        <f t="shared" si="57"/>
        <v>#REF!</v>
      </c>
      <c r="F1254" s="510" t="e">
        <f t="shared" si="58"/>
        <v>#REF!</v>
      </c>
      <c r="G1254" s="502"/>
    </row>
    <row r="1255" s="492" customFormat="1" customHeight="1" spans="1:7">
      <c r="A1255" s="506">
        <v>15</v>
      </c>
      <c r="B1255" s="507" t="s">
        <v>667</v>
      </c>
      <c r="C1255" s="506" t="s">
        <v>90</v>
      </c>
      <c r="D1255" s="506">
        <f>190*2</f>
        <v>380</v>
      </c>
      <c r="E1255" s="511"/>
      <c r="F1255" s="508" t="e">
        <f>SUM(F1256:F1263)</f>
        <v>#REF!</v>
      </c>
      <c r="G1255" s="506"/>
    </row>
    <row r="1256" s="492" customFormat="1" customHeight="1" spans="1:7">
      <c r="A1256" s="502"/>
      <c r="B1256" s="517" t="s">
        <v>61</v>
      </c>
      <c r="C1256" s="502" t="s">
        <v>62</v>
      </c>
      <c r="D1256" s="540">
        <f>1.2*D1255*27*0.3</f>
        <v>3693.6</v>
      </c>
      <c r="E1256" s="511" t="e">
        <f t="shared" ref="E1256:E1263" si="59">E1247</f>
        <v>#REF!</v>
      </c>
      <c r="F1256" s="510" t="e">
        <f t="shared" ref="F1256:F1263" si="60">D1256*E1256</f>
        <v>#REF!</v>
      </c>
      <c r="G1256" s="502" t="s">
        <v>643</v>
      </c>
    </row>
    <row r="1257" s="492" customFormat="1" ht="42" customHeight="1" spans="1:7">
      <c r="A1257" s="502"/>
      <c r="B1257" s="517" t="s">
        <v>644</v>
      </c>
      <c r="C1257" s="502" t="s">
        <v>62</v>
      </c>
      <c r="D1257" s="540">
        <f>1.2*D1255*17*0.7</f>
        <v>5426.4</v>
      </c>
      <c r="E1257" s="511">
        <f t="shared" si="59"/>
        <v>15.5634951407938</v>
      </c>
      <c r="F1257" s="510">
        <f t="shared" si="60"/>
        <v>84453.7500320033</v>
      </c>
      <c r="G1257" s="502" t="s">
        <v>645</v>
      </c>
    </row>
    <row r="1258" s="492" customFormat="1" customHeight="1" spans="1:7">
      <c r="A1258" s="502"/>
      <c r="B1258" s="517" t="str">
        <f>B1249</f>
        <v>土方开挖及拉运（500m）</v>
      </c>
      <c r="C1258" s="502" t="s">
        <v>62</v>
      </c>
      <c r="D1258" s="540">
        <f>D1257-D1256</f>
        <v>1732.8</v>
      </c>
      <c r="E1258" s="511" t="e">
        <f t="shared" si="59"/>
        <v>#REF!</v>
      </c>
      <c r="F1258" s="510" t="e">
        <f t="shared" si="60"/>
        <v>#REF!</v>
      </c>
      <c r="G1258" s="502" t="s">
        <v>647</v>
      </c>
    </row>
    <row r="1259" s="492" customFormat="1" customHeight="1" spans="1:7">
      <c r="A1259" s="502"/>
      <c r="B1259" s="517" t="s">
        <v>659</v>
      </c>
      <c r="C1259" s="502" t="s">
        <v>531</v>
      </c>
      <c r="D1259" s="542">
        <f>1.2*5*2.23*D1255*1.2</f>
        <v>6101.28</v>
      </c>
      <c r="E1259" s="511">
        <f t="shared" si="59"/>
        <v>150</v>
      </c>
      <c r="F1259" s="510">
        <f t="shared" si="60"/>
        <v>915192</v>
      </c>
      <c r="G1259" s="502" t="s">
        <v>649</v>
      </c>
    </row>
    <row r="1260" s="492" customFormat="1" customHeight="1" spans="1:7">
      <c r="A1260" s="502"/>
      <c r="B1260" s="517" t="s">
        <v>560</v>
      </c>
      <c r="C1260" s="502" t="s">
        <v>62</v>
      </c>
      <c r="D1260" s="540">
        <f>1.2*3*0.5*D1255</f>
        <v>684</v>
      </c>
      <c r="E1260" s="511" t="e">
        <f t="shared" si="59"/>
        <v>#REF!</v>
      </c>
      <c r="F1260" s="510" t="e">
        <f t="shared" si="60"/>
        <v>#REF!</v>
      </c>
      <c r="G1260" s="502" t="s">
        <v>650</v>
      </c>
    </row>
    <row r="1261" s="492" customFormat="1" customHeight="1" spans="1:7">
      <c r="A1261" s="502"/>
      <c r="B1261" s="517" t="s">
        <v>561</v>
      </c>
      <c r="C1261" s="502" t="s">
        <v>62</v>
      </c>
      <c r="D1261" s="540">
        <f>1.2*3.5*0.5*D1255</f>
        <v>798</v>
      </c>
      <c r="E1261" s="511" t="e">
        <f t="shared" si="59"/>
        <v>#REF!</v>
      </c>
      <c r="F1261" s="510" t="e">
        <f t="shared" si="60"/>
        <v>#REF!</v>
      </c>
      <c r="G1261" s="502" t="s">
        <v>650</v>
      </c>
    </row>
    <row r="1262" customHeight="1" spans="1:7">
      <c r="A1262" s="502"/>
      <c r="B1262" s="517" t="s">
        <v>651</v>
      </c>
      <c r="C1262" s="502" t="s">
        <v>531</v>
      </c>
      <c r="D1262" s="540">
        <f>1.2*(5*2.23+5+2)*D1255</f>
        <v>8276.4</v>
      </c>
      <c r="E1262" s="511" t="e">
        <f t="shared" si="59"/>
        <v>#REF!</v>
      </c>
      <c r="F1262" s="510" t="e">
        <f t="shared" si="60"/>
        <v>#REF!</v>
      </c>
      <c r="G1262" s="502" t="s">
        <v>652</v>
      </c>
    </row>
    <row r="1263" customHeight="1" spans="1:7">
      <c r="A1263" s="502"/>
      <c r="B1263" s="517" t="s">
        <v>563</v>
      </c>
      <c r="C1263" s="502" t="s">
        <v>62</v>
      </c>
      <c r="D1263" s="540">
        <f>1.2*0.2*0.5*D1255</f>
        <v>45.6</v>
      </c>
      <c r="E1263" s="511" t="e">
        <f t="shared" si="59"/>
        <v>#REF!</v>
      </c>
      <c r="F1263" s="510" t="e">
        <f t="shared" si="60"/>
        <v>#REF!</v>
      </c>
      <c r="G1263" s="502"/>
    </row>
    <row r="1264" s="492" customFormat="1" customHeight="1" spans="1:7">
      <c r="A1264" s="506">
        <v>16</v>
      </c>
      <c r="B1264" s="507" t="s">
        <v>668</v>
      </c>
      <c r="C1264" s="506" t="s">
        <v>90</v>
      </c>
      <c r="D1264" s="506">
        <f>543*2</f>
        <v>1086</v>
      </c>
      <c r="E1264" s="511"/>
      <c r="F1264" s="508" t="e">
        <f>SUM(F1265:F1272)</f>
        <v>#REF!</v>
      </c>
      <c r="G1264" s="506"/>
    </row>
    <row r="1265" s="492" customFormat="1" customHeight="1" spans="1:7">
      <c r="A1265" s="502"/>
      <c r="B1265" s="517" t="s">
        <v>61</v>
      </c>
      <c r="C1265" s="502" t="s">
        <v>62</v>
      </c>
      <c r="D1265" s="540">
        <f>1.2*D1264*27*0.3</f>
        <v>10555.92</v>
      </c>
      <c r="E1265" s="511" t="e">
        <f t="shared" ref="E1265:E1272" si="61">E1256</f>
        <v>#REF!</v>
      </c>
      <c r="F1265" s="510" t="e">
        <f t="shared" ref="F1265:F1272" si="62">D1265*E1265</f>
        <v>#REF!</v>
      </c>
      <c r="G1265" s="502" t="s">
        <v>643</v>
      </c>
    </row>
    <row r="1266" s="492" customFormat="1" ht="39" customHeight="1" spans="1:7">
      <c r="A1266" s="502"/>
      <c r="B1266" s="517" t="s">
        <v>644</v>
      </c>
      <c r="C1266" s="502" t="s">
        <v>62</v>
      </c>
      <c r="D1266" s="540">
        <f>1.2*D1264*17*0.7</f>
        <v>15508.08</v>
      </c>
      <c r="E1266" s="511">
        <f t="shared" si="61"/>
        <v>15.5634951407938</v>
      </c>
      <c r="F1266" s="510">
        <f t="shared" si="62"/>
        <v>241359.927723041</v>
      </c>
      <c r="G1266" s="502" t="s">
        <v>645</v>
      </c>
    </row>
    <row r="1267" s="492" customFormat="1" customHeight="1" spans="1:7">
      <c r="A1267" s="502"/>
      <c r="B1267" s="517" t="str">
        <f>B1258</f>
        <v>土方开挖及拉运（500m）</v>
      </c>
      <c r="C1267" s="502" t="s">
        <v>62</v>
      </c>
      <c r="D1267" s="540">
        <f>D1266-D1265</f>
        <v>4952.16</v>
      </c>
      <c r="E1267" s="511" t="e">
        <f t="shared" si="61"/>
        <v>#REF!</v>
      </c>
      <c r="F1267" s="510" t="e">
        <f t="shared" si="62"/>
        <v>#REF!</v>
      </c>
      <c r="G1267" s="502" t="s">
        <v>647</v>
      </c>
    </row>
    <row r="1268" s="492" customFormat="1" customHeight="1" spans="1:7">
      <c r="A1268" s="502"/>
      <c r="B1268" s="517" t="s">
        <v>659</v>
      </c>
      <c r="C1268" s="502" t="s">
        <v>531</v>
      </c>
      <c r="D1268" s="542">
        <f>1.2*5*2.23*D1264*1.2</f>
        <v>17436.816</v>
      </c>
      <c r="E1268" s="511">
        <f t="shared" si="61"/>
        <v>150</v>
      </c>
      <c r="F1268" s="510">
        <f t="shared" si="62"/>
        <v>2615522.4</v>
      </c>
      <c r="G1268" s="502" t="s">
        <v>649</v>
      </c>
    </row>
    <row r="1269" s="492" customFormat="1" customHeight="1" spans="1:7">
      <c r="A1269" s="502"/>
      <c r="B1269" s="517" t="s">
        <v>560</v>
      </c>
      <c r="C1269" s="502" t="s">
        <v>62</v>
      </c>
      <c r="D1269" s="540">
        <f>1.2*3*0.5*D1264</f>
        <v>1954.8</v>
      </c>
      <c r="E1269" s="511" t="e">
        <f t="shared" si="61"/>
        <v>#REF!</v>
      </c>
      <c r="F1269" s="510" t="e">
        <f t="shared" si="62"/>
        <v>#REF!</v>
      </c>
      <c r="G1269" s="502" t="s">
        <v>650</v>
      </c>
    </row>
    <row r="1270" s="492" customFormat="1" customHeight="1" spans="1:7">
      <c r="A1270" s="502"/>
      <c r="B1270" s="517" t="s">
        <v>561</v>
      </c>
      <c r="C1270" s="502" t="s">
        <v>62</v>
      </c>
      <c r="D1270" s="540">
        <f>1.2*3.5*0.5*D1264</f>
        <v>2280.6</v>
      </c>
      <c r="E1270" s="511" t="e">
        <f t="shared" si="61"/>
        <v>#REF!</v>
      </c>
      <c r="F1270" s="510" t="e">
        <f t="shared" si="62"/>
        <v>#REF!</v>
      </c>
      <c r="G1270" s="502" t="s">
        <v>650</v>
      </c>
    </row>
    <row r="1271" customHeight="1" spans="1:7">
      <c r="A1271" s="502"/>
      <c r="B1271" s="517" t="s">
        <v>651</v>
      </c>
      <c r="C1271" s="502" t="s">
        <v>531</v>
      </c>
      <c r="D1271" s="540">
        <f>1.2*(5*2.23+5+2)*D1264</f>
        <v>23653.08</v>
      </c>
      <c r="E1271" s="511" t="e">
        <f t="shared" si="61"/>
        <v>#REF!</v>
      </c>
      <c r="F1271" s="510" t="e">
        <f t="shared" si="62"/>
        <v>#REF!</v>
      </c>
      <c r="G1271" s="502" t="s">
        <v>652</v>
      </c>
    </row>
    <row r="1272" customHeight="1" spans="1:7">
      <c r="A1272" s="502"/>
      <c r="B1272" s="517" t="s">
        <v>563</v>
      </c>
      <c r="C1272" s="502" t="s">
        <v>62</v>
      </c>
      <c r="D1272" s="540">
        <f>1.2*0.2*0.5*D1264</f>
        <v>130.32</v>
      </c>
      <c r="E1272" s="511" t="e">
        <f t="shared" si="61"/>
        <v>#REF!</v>
      </c>
      <c r="F1272" s="510" t="e">
        <f t="shared" si="62"/>
        <v>#REF!</v>
      </c>
      <c r="G1272" s="502"/>
    </row>
    <row r="1273" s="492" customFormat="1" customHeight="1" spans="1:7">
      <c r="A1273" s="506">
        <v>17</v>
      </c>
      <c r="B1273" s="507" t="s">
        <v>669</v>
      </c>
      <c r="C1273" s="506" t="s">
        <v>90</v>
      </c>
      <c r="D1273" s="506">
        <f>284*2</f>
        <v>568</v>
      </c>
      <c r="E1273" s="511"/>
      <c r="F1273" s="508" t="e">
        <f>SUM(F1274:F1281)</f>
        <v>#REF!</v>
      </c>
      <c r="G1273" s="506"/>
    </row>
    <row r="1274" s="492" customFormat="1" customHeight="1" spans="1:7">
      <c r="A1274" s="502"/>
      <c r="B1274" s="517" t="s">
        <v>61</v>
      </c>
      <c r="C1274" s="502" t="s">
        <v>62</v>
      </c>
      <c r="D1274" s="540">
        <f>1.2*D1273*27*0.3</f>
        <v>5520.96</v>
      </c>
      <c r="E1274" s="511" t="e">
        <f t="shared" ref="E1274:E1281" si="63">E1265</f>
        <v>#REF!</v>
      </c>
      <c r="F1274" s="510" t="e">
        <f t="shared" ref="F1274:F1281" si="64">D1274*E1274</f>
        <v>#REF!</v>
      </c>
      <c r="G1274" s="502" t="s">
        <v>643</v>
      </c>
    </row>
    <row r="1275" s="492" customFormat="1" ht="45" customHeight="1" spans="1:7">
      <c r="A1275" s="502"/>
      <c r="B1275" s="517" t="s">
        <v>644</v>
      </c>
      <c r="C1275" s="502" t="s">
        <v>62</v>
      </c>
      <c r="D1275" s="540">
        <f>1.2*D1273*17*0.7</f>
        <v>8111.04</v>
      </c>
      <c r="E1275" s="511">
        <f t="shared" si="63"/>
        <v>15.5634951407938</v>
      </c>
      <c r="F1275" s="510">
        <f t="shared" si="64"/>
        <v>126236.131626784</v>
      </c>
      <c r="G1275" s="502" t="s">
        <v>645</v>
      </c>
    </row>
    <row r="1276" s="492" customFormat="1" customHeight="1" spans="1:7">
      <c r="A1276" s="502"/>
      <c r="B1276" s="517" t="str">
        <f>B1267</f>
        <v>土方开挖及拉运（500m）</v>
      </c>
      <c r="C1276" s="502" t="s">
        <v>62</v>
      </c>
      <c r="D1276" s="540">
        <f>D1275-D1274</f>
        <v>2590.08</v>
      </c>
      <c r="E1276" s="511" t="e">
        <f t="shared" si="63"/>
        <v>#REF!</v>
      </c>
      <c r="F1276" s="510" t="e">
        <f t="shared" si="64"/>
        <v>#REF!</v>
      </c>
      <c r="G1276" s="502" t="s">
        <v>647</v>
      </c>
    </row>
    <row r="1277" s="492" customFormat="1" customHeight="1" spans="1:7">
      <c r="A1277" s="502"/>
      <c r="B1277" s="517" t="s">
        <v>659</v>
      </c>
      <c r="C1277" s="502" t="s">
        <v>531</v>
      </c>
      <c r="D1277" s="542">
        <f>1.2*5*2.23*D1273</f>
        <v>7599.84</v>
      </c>
      <c r="E1277" s="511">
        <f t="shared" si="63"/>
        <v>150</v>
      </c>
      <c r="F1277" s="510">
        <f t="shared" si="64"/>
        <v>1139976</v>
      </c>
      <c r="G1277" s="502" t="s">
        <v>649</v>
      </c>
    </row>
    <row r="1278" s="492" customFormat="1" customHeight="1" spans="1:7">
      <c r="A1278" s="502"/>
      <c r="B1278" s="517" t="s">
        <v>560</v>
      </c>
      <c r="C1278" s="502" t="s">
        <v>62</v>
      </c>
      <c r="D1278" s="540">
        <f>1.2*3*0.5*D1273</f>
        <v>1022.4</v>
      </c>
      <c r="E1278" s="511" t="e">
        <f t="shared" si="63"/>
        <v>#REF!</v>
      </c>
      <c r="F1278" s="510" t="e">
        <f t="shared" si="64"/>
        <v>#REF!</v>
      </c>
      <c r="G1278" s="502" t="s">
        <v>650</v>
      </c>
    </row>
    <row r="1279" s="492" customFormat="1" customHeight="1" spans="1:7">
      <c r="A1279" s="502"/>
      <c r="B1279" s="517" t="s">
        <v>561</v>
      </c>
      <c r="C1279" s="502" t="s">
        <v>62</v>
      </c>
      <c r="D1279" s="540">
        <f>1.2*3.5*0.5*D1273</f>
        <v>1192.8</v>
      </c>
      <c r="E1279" s="511" t="e">
        <f t="shared" si="63"/>
        <v>#REF!</v>
      </c>
      <c r="F1279" s="510" t="e">
        <f t="shared" si="64"/>
        <v>#REF!</v>
      </c>
      <c r="G1279" s="502" t="s">
        <v>650</v>
      </c>
    </row>
    <row r="1280" customHeight="1" spans="1:7">
      <c r="A1280" s="502"/>
      <c r="B1280" s="517" t="s">
        <v>651</v>
      </c>
      <c r="C1280" s="502" t="s">
        <v>531</v>
      </c>
      <c r="D1280" s="540">
        <f>1.2*(5*2.23+5+2)*D1273</f>
        <v>12371.04</v>
      </c>
      <c r="E1280" s="511" t="e">
        <f t="shared" si="63"/>
        <v>#REF!</v>
      </c>
      <c r="F1280" s="510" t="e">
        <f t="shared" si="64"/>
        <v>#REF!</v>
      </c>
      <c r="G1280" s="502" t="s">
        <v>652</v>
      </c>
    </row>
    <row r="1281" customHeight="1" spans="1:7">
      <c r="A1281" s="502"/>
      <c r="B1281" s="517" t="s">
        <v>563</v>
      </c>
      <c r="C1281" s="502" t="s">
        <v>62</v>
      </c>
      <c r="D1281" s="540">
        <f>1.2*0.2*0.5*D1273</f>
        <v>68.16</v>
      </c>
      <c r="E1281" s="511" t="e">
        <f t="shared" si="63"/>
        <v>#REF!</v>
      </c>
      <c r="F1281" s="510" t="e">
        <f t="shared" si="64"/>
        <v>#REF!</v>
      </c>
      <c r="G1281" s="502"/>
    </row>
    <row r="1282" s="492" customFormat="1" customHeight="1" spans="1:7">
      <c r="A1282" s="506">
        <v>18</v>
      </c>
      <c r="B1282" s="507" t="s">
        <v>670</v>
      </c>
      <c r="C1282" s="506" t="s">
        <v>90</v>
      </c>
      <c r="D1282" s="506">
        <f>177*2</f>
        <v>354</v>
      </c>
      <c r="E1282" s="511"/>
      <c r="F1282" s="508" t="e">
        <f>SUM(F1283:F1290)</f>
        <v>#REF!</v>
      </c>
      <c r="G1282" s="506"/>
    </row>
    <row r="1283" s="492" customFormat="1" customHeight="1" spans="1:7">
      <c r="A1283" s="502"/>
      <c r="B1283" s="517" t="s">
        <v>61</v>
      </c>
      <c r="C1283" s="502" t="s">
        <v>62</v>
      </c>
      <c r="D1283" s="540">
        <f>1.2*D1282*27*0.3</f>
        <v>3440.88</v>
      </c>
      <c r="E1283" s="511" t="e">
        <f t="shared" ref="E1283:E1290" si="65">E1274</f>
        <v>#REF!</v>
      </c>
      <c r="F1283" s="510" t="e">
        <f t="shared" ref="F1283:F1290" si="66">D1283*E1283</f>
        <v>#REF!</v>
      </c>
      <c r="G1283" s="502" t="s">
        <v>643</v>
      </c>
    </row>
    <row r="1284" s="492" customFormat="1" ht="40.9" customHeight="1" spans="1:7">
      <c r="A1284" s="502"/>
      <c r="B1284" s="517" t="s">
        <v>644</v>
      </c>
      <c r="C1284" s="502" t="s">
        <v>62</v>
      </c>
      <c r="D1284" s="540">
        <f>1.2*D1282*17*0.7</f>
        <v>5055.12</v>
      </c>
      <c r="E1284" s="511">
        <f t="shared" si="65"/>
        <v>15.5634951407938</v>
      </c>
      <c r="F1284" s="510">
        <f t="shared" si="66"/>
        <v>78675.3355561294</v>
      </c>
      <c r="G1284" s="502" t="s">
        <v>645</v>
      </c>
    </row>
    <row r="1285" s="492" customFormat="1" customHeight="1" spans="1:7">
      <c r="A1285" s="502"/>
      <c r="B1285" s="517" t="str">
        <f>B1276</f>
        <v>土方开挖及拉运（500m）</v>
      </c>
      <c r="C1285" s="502" t="s">
        <v>62</v>
      </c>
      <c r="D1285" s="540">
        <f>D1284-D1283</f>
        <v>1614.24</v>
      </c>
      <c r="E1285" s="511" t="e">
        <f t="shared" si="65"/>
        <v>#REF!</v>
      </c>
      <c r="F1285" s="510" t="e">
        <f t="shared" si="66"/>
        <v>#REF!</v>
      </c>
      <c r="G1285" s="502" t="s">
        <v>647</v>
      </c>
    </row>
    <row r="1286" s="492" customFormat="1" customHeight="1" spans="1:7">
      <c r="A1286" s="502"/>
      <c r="B1286" s="517" t="s">
        <v>659</v>
      </c>
      <c r="C1286" s="502" t="s">
        <v>531</v>
      </c>
      <c r="D1286" s="542">
        <f>1.2*5*2.23*D1282*1.2</f>
        <v>5683.824</v>
      </c>
      <c r="E1286" s="511">
        <f t="shared" si="65"/>
        <v>150</v>
      </c>
      <c r="F1286" s="510">
        <f t="shared" si="66"/>
        <v>852573.6</v>
      </c>
      <c r="G1286" s="502" t="s">
        <v>649</v>
      </c>
    </row>
    <row r="1287" s="492" customFormat="1" customHeight="1" spans="1:7">
      <c r="A1287" s="502"/>
      <c r="B1287" s="517" t="s">
        <v>560</v>
      </c>
      <c r="C1287" s="502" t="s">
        <v>62</v>
      </c>
      <c r="D1287" s="540">
        <f>1.2*3*0.5*D1282</f>
        <v>637.2</v>
      </c>
      <c r="E1287" s="511" t="e">
        <f t="shared" si="65"/>
        <v>#REF!</v>
      </c>
      <c r="F1287" s="510" t="e">
        <f t="shared" si="66"/>
        <v>#REF!</v>
      </c>
      <c r="G1287" s="502" t="s">
        <v>650</v>
      </c>
    </row>
    <row r="1288" s="492" customFormat="1" customHeight="1" spans="1:7">
      <c r="A1288" s="502"/>
      <c r="B1288" s="517" t="s">
        <v>561</v>
      </c>
      <c r="C1288" s="502" t="s">
        <v>62</v>
      </c>
      <c r="D1288" s="540">
        <f>1.2*3.5*0.5*D1282</f>
        <v>743.4</v>
      </c>
      <c r="E1288" s="511" t="e">
        <f t="shared" si="65"/>
        <v>#REF!</v>
      </c>
      <c r="F1288" s="510" t="e">
        <f t="shared" si="66"/>
        <v>#REF!</v>
      </c>
      <c r="G1288" s="502" t="s">
        <v>650</v>
      </c>
    </row>
    <row r="1289" customHeight="1" spans="1:7">
      <c r="A1289" s="502"/>
      <c r="B1289" s="517" t="s">
        <v>651</v>
      </c>
      <c r="C1289" s="502" t="s">
        <v>531</v>
      </c>
      <c r="D1289" s="540">
        <f>1.2*(5*2.23+5+2)*D1282</f>
        <v>7710.12</v>
      </c>
      <c r="E1289" s="511" t="e">
        <f t="shared" si="65"/>
        <v>#REF!</v>
      </c>
      <c r="F1289" s="510" t="e">
        <f t="shared" si="66"/>
        <v>#REF!</v>
      </c>
      <c r="G1289" s="502" t="s">
        <v>652</v>
      </c>
    </row>
    <row r="1290" customHeight="1" spans="1:7">
      <c r="A1290" s="502"/>
      <c r="B1290" s="517" t="s">
        <v>563</v>
      </c>
      <c r="C1290" s="502" t="s">
        <v>62</v>
      </c>
      <c r="D1290" s="540">
        <f>1.2*0.2*0.5*D1282</f>
        <v>42.48</v>
      </c>
      <c r="E1290" s="511" t="e">
        <f t="shared" si="65"/>
        <v>#REF!</v>
      </c>
      <c r="F1290" s="510" t="e">
        <f t="shared" si="66"/>
        <v>#REF!</v>
      </c>
      <c r="G1290" s="502"/>
    </row>
    <row r="1291" s="492" customFormat="1" customHeight="1" spans="1:7">
      <c r="A1291" s="506">
        <v>19</v>
      </c>
      <c r="B1291" s="507" t="s">
        <v>671</v>
      </c>
      <c r="C1291" s="506" t="s">
        <v>90</v>
      </c>
      <c r="D1291" s="506">
        <f>397*2</f>
        <v>794</v>
      </c>
      <c r="E1291" s="511"/>
      <c r="F1291" s="508" t="e">
        <f>SUM(F1292:F1299)</f>
        <v>#REF!</v>
      </c>
      <c r="G1291" s="506"/>
    </row>
    <row r="1292" s="492" customFormat="1" customHeight="1" spans="1:7">
      <c r="A1292" s="502"/>
      <c r="B1292" s="517" t="s">
        <v>61</v>
      </c>
      <c r="C1292" s="502" t="s">
        <v>62</v>
      </c>
      <c r="D1292" s="540">
        <f>1.2*D1291*27*0.3</f>
        <v>7717.68</v>
      </c>
      <c r="E1292" s="511" t="e">
        <f t="shared" ref="E1292:E1299" si="67">E1283</f>
        <v>#REF!</v>
      </c>
      <c r="F1292" s="510" t="e">
        <f t="shared" ref="F1292:F1299" si="68">D1292*E1292</f>
        <v>#REF!</v>
      </c>
      <c r="G1292" s="502" t="s">
        <v>643</v>
      </c>
    </row>
    <row r="1293" s="492" customFormat="1" ht="40.9" customHeight="1" spans="1:7">
      <c r="A1293" s="502"/>
      <c r="B1293" s="517" t="s">
        <v>644</v>
      </c>
      <c r="C1293" s="502" t="s">
        <v>62</v>
      </c>
      <c r="D1293" s="540">
        <f>1.2*D1291*17*0.7</f>
        <v>11338.32</v>
      </c>
      <c r="E1293" s="511">
        <f t="shared" si="67"/>
        <v>15.5634951407938</v>
      </c>
      <c r="F1293" s="510">
        <f t="shared" si="68"/>
        <v>176463.888224765</v>
      </c>
      <c r="G1293" s="502" t="s">
        <v>645</v>
      </c>
    </row>
    <row r="1294" s="492" customFormat="1" customHeight="1" spans="1:7">
      <c r="A1294" s="502"/>
      <c r="B1294" s="517" t="str">
        <f>B1285</f>
        <v>土方开挖及拉运（500m）</v>
      </c>
      <c r="C1294" s="502" t="s">
        <v>62</v>
      </c>
      <c r="D1294" s="540">
        <f>D1293-D1292</f>
        <v>3620.64</v>
      </c>
      <c r="E1294" s="511" t="e">
        <f t="shared" si="67"/>
        <v>#REF!</v>
      </c>
      <c r="F1294" s="510" t="e">
        <f t="shared" si="68"/>
        <v>#REF!</v>
      </c>
      <c r="G1294" s="502" t="s">
        <v>647</v>
      </c>
    </row>
    <row r="1295" s="492" customFormat="1" customHeight="1" spans="1:7">
      <c r="A1295" s="502"/>
      <c r="B1295" s="517" t="s">
        <v>659</v>
      </c>
      <c r="C1295" s="502" t="s">
        <v>531</v>
      </c>
      <c r="D1295" s="542">
        <f>1.2*5*2.23*D1291*1.2</f>
        <v>12748.464</v>
      </c>
      <c r="E1295" s="511">
        <f t="shared" si="67"/>
        <v>150</v>
      </c>
      <c r="F1295" s="510">
        <f t="shared" si="68"/>
        <v>1912269.6</v>
      </c>
      <c r="G1295" s="502" t="s">
        <v>649</v>
      </c>
    </row>
    <row r="1296" s="492" customFormat="1" customHeight="1" spans="1:7">
      <c r="A1296" s="502"/>
      <c r="B1296" s="517" t="s">
        <v>560</v>
      </c>
      <c r="C1296" s="502" t="s">
        <v>62</v>
      </c>
      <c r="D1296" s="540">
        <f>1.2*3*0.5*D1291</f>
        <v>1429.2</v>
      </c>
      <c r="E1296" s="511" t="e">
        <f t="shared" si="67"/>
        <v>#REF!</v>
      </c>
      <c r="F1296" s="510" t="e">
        <f t="shared" si="68"/>
        <v>#REF!</v>
      </c>
      <c r="G1296" s="502" t="s">
        <v>650</v>
      </c>
    </row>
    <row r="1297" s="492" customFormat="1" customHeight="1" spans="1:7">
      <c r="A1297" s="502"/>
      <c r="B1297" s="517" t="s">
        <v>561</v>
      </c>
      <c r="C1297" s="502" t="s">
        <v>62</v>
      </c>
      <c r="D1297" s="540">
        <f>1.2*3.5*0.5*D1291</f>
        <v>1667.4</v>
      </c>
      <c r="E1297" s="511" t="e">
        <f t="shared" si="67"/>
        <v>#REF!</v>
      </c>
      <c r="F1297" s="510" t="e">
        <f t="shared" si="68"/>
        <v>#REF!</v>
      </c>
      <c r="G1297" s="502" t="s">
        <v>650</v>
      </c>
    </row>
    <row r="1298" customHeight="1" spans="1:7">
      <c r="A1298" s="502"/>
      <c r="B1298" s="517" t="s">
        <v>651</v>
      </c>
      <c r="C1298" s="502" t="s">
        <v>531</v>
      </c>
      <c r="D1298" s="540">
        <f>1.2*(5*2.23+5+2)*D1291</f>
        <v>17293.32</v>
      </c>
      <c r="E1298" s="511" t="e">
        <f t="shared" si="67"/>
        <v>#REF!</v>
      </c>
      <c r="F1298" s="510" t="e">
        <f t="shared" si="68"/>
        <v>#REF!</v>
      </c>
      <c r="G1298" s="502" t="s">
        <v>652</v>
      </c>
    </row>
    <row r="1299" customHeight="1" spans="1:7">
      <c r="A1299" s="502"/>
      <c r="B1299" s="517" t="s">
        <v>563</v>
      </c>
      <c r="C1299" s="502" t="s">
        <v>62</v>
      </c>
      <c r="D1299" s="540">
        <f>1.2*0.2*0.5*D1291</f>
        <v>95.28</v>
      </c>
      <c r="E1299" s="511" t="e">
        <f t="shared" si="67"/>
        <v>#REF!</v>
      </c>
      <c r="F1299" s="510" t="e">
        <f t="shared" si="68"/>
        <v>#REF!</v>
      </c>
      <c r="G1299" s="502"/>
    </row>
    <row r="1300" s="492" customFormat="1" customHeight="1" spans="1:7">
      <c r="A1300" s="506">
        <v>20</v>
      </c>
      <c r="B1300" s="507" t="s">
        <v>672</v>
      </c>
      <c r="C1300" s="506" t="s">
        <v>90</v>
      </c>
      <c r="D1300" s="506">
        <f>376*2</f>
        <v>752</v>
      </c>
      <c r="E1300" s="511"/>
      <c r="F1300" s="508" t="e">
        <f>SUM(F1301:F1308)</f>
        <v>#REF!</v>
      </c>
      <c r="G1300" s="506"/>
    </row>
    <row r="1301" s="492" customFormat="1" customHeight="1" spans="1:7">
      <c r="A1301" s="502"/>
      <c r="B1301" s="517" t="s">
        <v>61</v>
      </c>
      <c r="C1301" s="502" t="s">
        <v>62</v>
      </c>
      <c r="D1301" s="540">
        <f>1.2*D1300*27*0.3</f>
        <v>7309.44</v>
      </c>
      <c r="E1301" s="511" t="e">
        <f t="shared" ref="E1301:E1308" si="69">E1292</f>
        <v>#REF!</v>
      </c>
      <c r="F1301" s="510" t="e">
        <f t="shared" ref="F1301:F1308" si="70">D1301*E1301</f>
        <v>#REF!</v>
      </c>
      <c r="G1301" s="502" t="s">
        <v>643</v>
      </c>
    </row>
    <row r="1302" s="492" customFormat="1" ht="39" customHeight="1" spans="1:7">
      <c r="A1302" s="502"/>
      <c r="B1302" s="517" t="s">
        <v>644</v>
      </c>
      <c r="C1302" s="502" t="s">
        <v>62</v>
      </c>
      <c r="D1302" s="540">
        <f>1.2*D1300*17*0.7</f>
        <v>10738.56</v>
      </c>
      <c r="E1302" s="511">
        <f t="shared" si="69"/>
        <v>15.5634951407938</v>
      </c>
      <c r="F1302" s="510">
        <f t="shared" si="70"/>
        <v>167129.526379122</v>
      </c>
      <c r="G1302" s="502" t="s">
        <v>645</v>
      </c>
    </row>
    <row r="1303" s="492" customFormat="1" customHeight="1" spans="1:7">
      <c r="A1303" s="502"/>
      <c r="B1303" s="517" t="str">
        <f>B1294</f>
        <v>土方开挖及拉运（500m）</v>
      </c>
      <c r="C1303" s="502" t="s">
        <v>62</v>
      </c>
      <c r="D1303" s="540">
        <f>D1302-D1301</f>
        <v>3429.12</v>
      </c>
      <c r="E1303" s="511" t="e">
        <f t="shared" si="69"/>
        <v>#REF!</v>
      </c>
      <c r="F1303" s="510" t="e">
        <f t="shared" si="70"/>
        <v>#REF!</v>
      </c>
      <c r="G1303" s="502" t="s">
        <v>647</v>
      </c>
    </row>
    <row r="1304" s="492" customFormat="1" customHeight="1" spans="1:7">
      <c r="A1304" s="502"/>
      <c r="B1304" s="517" t="s">
        <v>659</v>
      </c>
      <c r="C1304" s="502" t="s">
        <v>531</v>
      </c>
      <c r="D1304" s="542">
        <f>1.2*5*2.23*D1300*1.2</f>
        <v>12074.112</v>
      </c>
      <c r="E1304" s="511">
        <f t="shared" si="69"/>
        <v>150</v>
      </c>
      <c r="F1304" s="510">
        <f t="shared" si="70"/>
        <v>1811116.8</v>
      </c>
      <c r="G1304" s="502" t="s">
        <v>649</v>
      </c>
    </row>
    <row r="1305" s="492" customFormat="1" customHeight="1" spans="1:7">
      <c r="A1305" s="502"/>
      <c r="B1305" s="517" t="s">
        <v>560</v>
      </c>
      <c r="C1305" s="502" t="s">
        <v>62</v>
      </c>
      <c r="D1305" s="540">
        <f>1.2*3*0.5*D1300</f>
        <v>1353.6</v>
      </c>
      <c r="E1305" s="511" t="e">
        <f t="shared" si="69"/>
        <v>#REF!</v>
      </c>
      <c r="F1305" s="510" t="e">
        <f t="shared" si="70"/>
        <v>#REF!</v>
      </c>
      <c r="G1305" s="502" t="s">
        <v>650</v>
      </c>
    </row>
    <row r="1306" s="492" customFormat="1" customHeight="1" spans="1:7">
      <c r="A1306" s="502"/>
      <c r="B1306" s="517" t="s">
        <v>561</v>
      </c>
      <c r="C1306" s="502" t="s">
        <v>62</v>
      </c>
      <c r="D1306" s="540">
        <f>1.2*3.5*0.5*D1300</f>
        <v>1579.2</v>
      </c>
      <c r="E1306" s="511" t="e">
        <f t="shared" si="69"/>
        <v>#REF!</v>
      </c>
      <c r="F1306" s="510" t="e">
        <f t="shared" si="70"/>
        <v>#REF!</v>
      </c>
      <c r="G1306" s="502" t="s">
        <v>650</v>
      </c>
    </row>
    <row r="1307" customHeight="1" spans="1:7">
      <c r="A1307" s="502"/>
      <c r="B1307" s="517" t="s">
        <v>651</v>
      </c>
      <c r="C1307" s="502" t="s">
        <v>531</v>
      </c>
      <c r="D1307" s="540">
        <f>1.2*(5*2.23+5+2)*D1300</f>
        <v>16378.56</v>
      </c>
      <c r="E1307" s="511" t="e">
        <f t="shared" si="69"/>
        <v>#REF!</v>
      </c>
      <c r="F1307" s="510" t="e">
        <f t="shared" si="70"/>
        <v>#REF!</v>
      </c>
      <c r="G1307" s="502" t="s">
        <v>652</v>
      </c>
    </row>
    <row r="1308" customHeight="1" spans="1:7">
      <c r="A1308" s="502"/>
      <c r="B1308" s="517" t="s">
        <v>563</v>
      </c>
      <c r="C1308" s="502" t="s">
        <v>62</v>
      </c>
      <c r="D1308" s="540">
        <f>1.2*0.2*0.5*D1300</f>
        <v>90.24</v>
      </c>
      <c r="E1308" s="511" t="e">
        <f t="shared" si="69"/>
        <v>#REF!</v>
      </c>
      <c r="F1308" s="510" t="e">
        <f t="shared" si="70"/>
        <v>#REF!</v>
      </c>
      <c r="G1308" s="502"/>
    </row>
    <row r="1309" s="492" customFormat="1" customHeight="1" spans="1:7">
      <c r="A1309" s="506">
        <v>21</v>
      </c>
      <c r="B1309" s="507" t="s">
        <v>673</v>
      </c>
      <c r="C1309" s="506" t="s">
        <v>90</v>
      </c>
      <c r="D1309" s="506">
        <f>171*2</f>
        <v>342</v>
      </c>
      <c r="E1309" s="511"/>
      <c r="F1309" s="508" t="e">
        <f>SUM(F1310:F1317)</f>
        <v>#REF!</v>
      </c>
      <c r="G1309" s="506"/>
    </row>
    <row r="1310" s="492" customFormat="1" customHeight="1" spans="1:7">
      <c r="A1310" s="502"/>
      <c r="B1310" s="517" t="s">
        <v>61</v>
      </c>
      <c r="C1310" s="502" t="s">
        <v>62</v>
      </c>
      <c r="D1310" s="540">
        <f>1.2*D1309*27*0.3</f>
        <v>3324.24</v>
      </c>
      <c r="E1310" s="511" t="e">
        <f t="shared" ref="E1310:E1317" si="71">E1301</f>
        <v>#REF!</v>
      </c>
      <c r="F1310" s="510" t="e">
        <f t="shared" ref="F1310:F1317" si="72">D1310*E1310</f>
        <v>#REF!</v>
      </c>
      <c r="G1310" s="502" t="s">
        <v>643</v>
      </c>
    </row>
    <row r="1311" s="492" customFormat="1" ht="45" customHeight="1" spans="1:7">
      <c r="A1311" s="502"/>
      <c r="B1311" s="517" t="s">
        <v>644</v>
      </c>
      <c r="C1311" s="502" t="s">
        <v>62</v>
      </c>
      <c r="D1311" s="540">
        <f>1.2*D1309*17*0.7</f>
        <v>4883.76</v>
      </c>
      <c r="E1311" s="511">
        <f t="shared" si="71"/>
        <v>15.5634951407938</v>
      </c>
      <c r="F1311" s="510">
        <f t="shared" si="72"/>
        <v>76008.375028803</v>
      </c>
      <c r="G1311" s="502" t="s">
        <v>645</v>
      </c>
    </row>
    <row r="1312" s="492" customFormat="1" customHeight="1" spans="1:7">
      <c r="A1312" s="502"/>
      <c r="B1312" s="517" t="str">
        <f>B1303</f>
        <v>土方开挖及拉运（500m）</v>
      </c>
      <c r="C1312" s="502" t="s">
        <v>62</v>
      </c>
      <c r="D1312" s="540">
        <f>D1311-D1310</f>
        <v>1559.52</v>
      </c>
      <c r="E1312" s="511" t="e">
        <f t="shared" si="71"/>
        <v>#REF!</v>
      </c>
      <c r="F1312" s="510" t="e">
        <f t="shared" si="72"/>
        <v>#REF!</v>
      </c>
      <c r="G1312" s="502" t="s">
        <v>647</v>
      </c>
    </row>
    <row r="1313" s="492" customFormat="1" customHeight="1" spans="1:7">
      <c r="A1313" s="502"/>
      <c r="B1313" s="517" t="s">
        <v>659</v>
      </c>
      <c r="C1313" s="502" t="s">
        <v>531</v>
      </c>
      <c r="D1313" s="542">
        <f>1.2*5*2.23*D1309*1.2</f>
        <v>5491.152</v>
      </c>
      <c r="E1313" s="511">
        <f t="shared" si="71"/>
        <v>150</v>
      </c>
      <c r="F1313" s="510">
        <f t="shared" si="72"/>
        <v>823672.8</v>
      </c>
      <c r="G1313" s="502" t="s">
        <v>649</v>
      </c>
    </row>
    <row r="1314" s="492" customFormat="1" customHeight="1" spans="1:7">
      <c r="A1314" s="502"/>
      <c r="B1314" s="517" t="s">
        <v>560</v>
      </c>
      <c r="C1314" s="502" t="s">
        <v>62</v>
      </c>
      <c r="D1314" s="540">
        <f>1.2*3*0.5*D1309</f>
        <v>615.6</v>
      </c>
      <c r="E1314" s="511" t="e">
        <f t="shared" si="71"/>
        <v>#REF!</v>
      </c>
      <c r="F1314" s="510" t="e">
        <f t="shared" si="72"/>
        <v>#REF!</v>
      </c>
      <c r="G1314" s="502" t="s">
        <v>650</v>
      </c>
    </row>
    <row r="1315" s="492" customFormat="1" customHeight="1" spans="1:7">
      <c r="A1315" s="502"/>
      <c r="B1315" s="517" t="s">
        <v>561</v>
      </c>
      <c r="C1315" s="502" t="s">
        <v>62</v>
      </c>
      <c r="D1315" s="540">
        <f>1.2*3.5*0.5*D1309</f>
        <v>718.2</v>
      </c>
      <c r="E1315" s="511" t="e">
        <f t="shared" si="71"/>
        <v>#REF!</v>
      </c>
      <c r="F1315" s="510" t="e">
        <f t="shared" si="72"/>
        <v>#REF!</v>
      </c>
      <c r="G1315" s="502" t="s">
        <v>650</v>
      </c>
    </row>
    <row r="1316" customHeight="1" spans="1:7">
      <c r="A1316" s="502"/>
      <c r="B1316" s="517" t="s">
        <v>651</v>
      </c>
      <c r="C1316" s="502" t="s">
        <v>531</v>
      </c>
      <c r="D1316" s="540">
        <f>1.2*(5*2.23+5+2)*D1309</f>
        <v>7448.76</v>
      </c>
      <c r="E1316" s="511" t="e">
        <f t="shared" si="71"/>
        <v>#REF!</v>
      </c>
      <c r="F1316" s="510" t="e">
        <f t="shared" si="72"/>
        <v>#REF!</v>
      </c>
      <c r="G1316" s="502" t="s">
        <v>652</v>
      </c>
    </row>
    <row r="1317" customHeight="1" spans="1:7">
      <c r="A1317" s="502"/>
      <c r="B1317" s="517" t="s">
        <v>563</v>
      </c>
      <c r="C1317" s="502" t="s">
        <v>62</v>
      </c>
      <c r="D1317" s="540">
        <f>1.2*0.2*0.5*D1309</f>
        <v>41.04</v>
      </c>
      <c r="E1317" s="511" t="e">
        <f t="shared" si="71"/>
        <v>#REF!</v>
      </c>
      <c r="F1317" s="510" t="e">
        <f t="shared" si="72"/>
        <v>#REF!</v>
      </c>
      <c r="G1317" s="502"/>
    </row>
    <row r="1318" s="492" customFormat="1" customHeight="1" spans="1:7">
      <c r="A1318" s="506">
        <v>22</v>
      </c>
      <c r="B1318" s="507" t="s">
        <v>674</v>
      </c>
      <c r="C1318" s="506" t="s">
        <v>90</v>
      </c>
      <c r="D1318" s="506">
        <f>152*2</f>
        <v>304</v>
      </c>
      <c r="E1318" s="511"/>
      <c r="F1318" s="508" t="e">
        <f>SUM(F1319:F1326)</f>
        <v>#REF!</v>
      </c>
      <c r="G1318" s="506"/>
    </row>
    <row r="1319" s="492" customFormat="1" customHeight="1" spans="1:7">
      <c r="A1319" s="502"/>
      <c r="B1319" s="517" t="s">
        <v>61</v>
      </c>
      <c r="C1319" s="502" t="s">
        <v>62</v>
      </c>
      <c r="D1319" s="540">
        <f>1.2*D1318*27*0.3</f>
        <v>2954.88</v>
      </c>
      <c r="E1319" s="511" t="e">
        <f t="shared" ref="E1319:E1326" si="73">E1310</f>
        <v>#REF!</v>
      </c>
      <c r="F1319" s="510" t="e">
        <f t="shared" ref="F1319:F1326" si="74">D1319*E1319</f>
        <v>#REF!</v>
      </c>
      <c r="G1319" s="502" t="s">
        <v>643</v>
      </c>
    </row>
    <row r="1320" s="492" customFormat="1" ht="42" customHeight="1" spans="1:7">
      <c r="A1320" s="502"/>
      <c r="B1320" s="517" t="s">
        <v>644</v>
      </c>
      <c r="C1320" s="502" t="s">
        <v>62</v>
      </c>
      <c r="D1320" s="540">
        <f>1.2*D1318*17*0.7</f>
        <v>4341.12</v>
      </c>
      <c r="E1320" s="511">
        <f t="shared" si="73"/>
        <v>15.5634951407938</v>
      </c>
      <c r="F1320" s="510">
        <f t="shared" si="74"/>
        <v>67563.0000256027</v>
      </c>
      <c r="G1320" s="502" t="s">
        <v>645</v>
      </c>
    </row>
    <row r="1321" s="492" customFormat="1" customHeight="1" spans="1:7">
      <c r="A1321" s="502"/>
      <c r="B1321" s="517" t="str">
        <f>B1312</f>
        <v>土方开挖及拉运（500m）</v>
      </c>
      <c r="C1321" s="502" t="s">
        <v>62</v>
      </c>
      <c r="D1321" s="540">
        <f>D1320-D1319</f>
        <v>1386.24</v>
      </c>
      <c r="E1321" s="511" t="e">
        <f t="shared" si="73"/>
        <v>#REF!</v>
      </c>
      <c r="F1321" s="510" t="e">
        <f t="shared" si="74"/>
        <v>#REF!</v>
      </c>
      <c r="G1321" s="502" t="s">
        <v>647</v>
      </c>
    </row>
    <row r="1322" s="492" customFormat="1" customHeight="1" spans="1:7">
      <c r="A1322" s="502"/>
      <c r="B1322" s="517" t="s">
        <v>659</v>
      </c>
      <c r="C1322" s="502" t="s">
        <v>531</v>
      </c>
      <c r="D1322" s="542">
        <f>1.2*5*2.23*D1318*1.2</f>
        <v>4881.024</v>
      </c>
      <c r="E1322" s="511">
        <f t="shared" si="73"/>
        <v>150</v>
      </c>
      <c r="F1322" s="510">
        <f t="shared" si="74"/>
        <v>732153.6</v>
      </c>
      <c r="G1322" s="502" t="s">
        <v>649</v>
      </c>
    </row>
    <row r="1323" s="492" customFormat="1" customHeight="1" spans="1:7">
      <c r="A1323" s="502"/>
      <c r="B1323" s="517" t="s">
        <v>560</v>
      </c>
      <c r="C1323" s="502" t="s">
        <v>62</v>
      </c>
      <c r="D1323" s="540">
        <f>1.2*3*0.5*D1318</f>
        <v>547.2</v>
      </c>
      <c r="E1323" s="511" t="e">
        <f t="shared" si="73"/>
        <v>#REF!</v>
      </c>
      <c r="F1323" s="510" t="e">
        <f t="shared" si="74"/>
        <v>#REF!</v>
      </c>
      <c r="G1323" s="502" t="s">
        <v>650</v>
      </c>
    </row>
    <row r="1324" s="492" customFormat="1" customHeight="1" spans="1:7">
      <c r="A1324" s="502"/>
      <c r="B1324" s="517" t="s">
        <v>561</v>
      </c>
      <c r="C1324" s="502" t="s">
        <v>62</v>
      </c>
      <c r="D1324" s="540">
        <f>1.2*3.5*0.5*D1318</f>
        <v>638.4</v>
      </c>
      <c r="E1324" s="511" t="e">
        <f t="shared" si="73"/>
        <v>#REF!</v>
      </c>
      <c r="F1324" s="510" t="e">
        <f t="shared" si="74"/>
        <v>#REF!</v>
      </c>
      <c r="G1324" s="502" t="s">
        <v>650</v>
      </c>
    </row>
    <row r="1325" customHeight="1" spans="1:7">
      <c r="A1325" s="502"/>
      <c r="B1325" s="517" t="s">
        <v>651</v>
      </c>
      <c r="C1325" s="502" t="s">
        <v>531</v>
      </c>
      <c r="D1325" s="540">
        <f>1.2*(5*2.23+5+2)*D1318</f>
        <v>6621.12</v>
      </c>
      <c r="E1325" s="511" t="e">
        <f t="shared" si="73"/>
        <v>#REF!</v>
      </c>
      <c r="F1325" s="510" t="e">
        <f t="shared" si="74"/>
        <v>#REF!</v>
      </c>
      <c r="G1325" s="502" t="s">
        <v>652</v>
      </c>
    </row>
    <row r="1326" customHeight="1" spans="1:7">
      <c r="A1326" s="502"/>
      <c r="B1326" s="517" t="s">
        <v>563</v>
      </c>
      <c r="C1326" s="502" t="s">
        <v>62</v>
      </c>
      <c r="D1326" s="540">
        <f>1.2*0.2*0.5*D1318</f>
        <v>36.48</v>
      </c>
      <c r="E1326" s="511" t="e">
        <f t="shared" si="73"/>
        <v>#REF!</v>
      </c>
      <c r="F1326" s="510" t="e">
        <f t="shared" si="74"/>
        <v>#REF!</v>
      </c>
      <c r="G1326" s="502"/>
    </row>
    <row r="1327" s="492" customFormat="1" customHeight="1" spans="1:7">
      <c r="A1327" s="506">
        <v>23</v>
      </c>
      <c r="B1327" s="507" t="s">
        <v>675</v>
      </c>
      <c r="C1327" s="506" t="s">
        <v>90</v>
      </c>
      <c r="D1327" s="506">
        <f>315*2</f>
        <v>630</v>
      </c>
      <c r="E1327" s="511"/>
      <c r="F1327" s="508" t="e">
        <f>SUM(F1328:F1335)</f>
        <v>#REF!</v>
      </c>
      <c r="G1327" s="506"/>
    </row>
    <row r="1328" s="492" customFormat="1" customHeight="1" spans="1:7">
      <c r="A1328" s="502"/>
      <c r="B1328" s="517" t="s">
        <v>61</v>
      </c>
      <c r="C1328" s="502" t="s">
        <v>62</v>
      </c>
      <c r="D1328" s="540">
        <f>1.2*D1327*27*0.3</f>
        <v>6123.6</v>
      </c>
      <c r="E1328" s="511" t="e">
        <f t="shared" ref="E1328:E1335" si="75">E1319</f>
        <v>#REF!</v>
      </c>
      <c r="F1328" s="510" t="e">
        <f t="shared" ref="F1328:F1335" si="76">D1328*E1328</f>
        <v>#REF!</v>
      </c>
      <c r="G1328" s="502" t="s">
        <v>643</v>
      </c>
    </row>
    <row r="1329" s="492" customFormat="1" ht="48" customHeight="1" spans="1:7">
      <c r="A1329" s="502"/>
      <c r="B1329" s="517" t="s">
        <v>644</v>
      </c>
      <c r="C1329" s="502" t="s">
        <v>62</v>
      </c>
      <c r="D1329" s="540">
        <f>1.2*D1327*17*0.7</f>
        <v>8996.4</v>
      </c>
      <c r="E1329" s="511">
        <f t="shared" si="75"/>
        <v>15.5634951407938</v>
      </c>
      <c r="F1329" s="510">
        <f t="shared" si="76"/>
        <v>140015.427684637</v>
      </c>
      <c r="G1329" s="502" t="s">
        <v>645</v>
      </c>
    </row>
    <row r="1330" s="492" customFormat="1" customHeight="1" spans="1:7">
      <c r="A1330" s="502"/>
      <c r="B1330" s="517" t="str">
        <f>B1321</f>
        <v>土方开挖及拉运（500m）</v>
      </c>
      <c r="C1330" s="502" t="s">
        <v>62</v>
      </c>
      <c r="D1330" s="540">
        <f>D1329-D1328</f>
        <v>2872.8</v>
      </c>
      <c r="E1330" s="511" t="e">
        <f t="shared" si="75"/>
        <v>#REF!</v>
      </c>
      <c r="F1330" s="510" t="e">
        <f t="shared" si="76"/>
        <v>#REF!</v>
      </c>
      <c r="G1330" s="502" t="s">
        <v>647</v>
      </c>
    </row>
    <row r="1331" s="492" customFormat="1" customHeight="1" spans="1:7">
      <c r="A1331" s="502"/>
      <c r="B1331" s="517" t="s">
        <v>659</v>
      </c>
      <c r="C1331" s="502" t="s">
        <v>531</v>
      </c>
      <c r="D1331" s="542">
        <f>1.2*5*2.23*D1327*1.2</f>
        <v>10115.28</v>
      </c>
      <c r="E1331" s="511">
        <f t="shared" si="75"/>
        <v>150</v>
      </c>
      <c r="F1331" s="510">
        <f t="shared" si="76"/>
        <v>1517292</v>
      </c>
      <c r="G1331" s="502" t="s">
        <v>649</v>
      </c>
    </row>
    <row r="1332" s="492" customFormat="1" customHeight="1" spans="1:7">
      <c r="A1332" s="502"/>
      <c r="B1332" s="517" t="s">
        <v>560</v>
      </c>
      <c r="C1332" s="502" t="s">
        <v>62</v>
      </c>
      <c r="D1332" s="540">
        <f>1.2*3*0.5*D1327</f>
        <v>1134</v>
      </c>
      <c r="E1332" s="511" t="e">
        <f t="shared" si="75"/>
        <v>#REF!</v>
      </c>
      <c r="F1332" s="510" t="e">
        <f t="shared" si="76"/>
        <v>#REF!</v>
      </c>
      <c r="G1332" s="502" t="s">
        <v>650</v>
      </c>
    </row>
    <row r="1333" s="492" customFormat="1" customHeight="1" spans="1:7">
      <c r="A1333" s="502"/>
      <c r="B1333" s="517" t="s">
        <v>561</v>
      </c>
      <c r="C1333" s="502" t="s">
        <v>62</v>
      </c>
      <c r="D1333" s="540">
        <f>1.2*3.5*0.5*D1327</f>
        <v>1323</v>
      </c>
      <c r="E1333" s="511" t="e">
        <f t="shared" si="75"/>
        <v>#REF!</v>
      </c>
      <c r="F1333" s="510" t="e">
        <f t="shared" si="76"/>
        <v>#REF!</v>
      </c>
      <c r="G1333" s="502" t="s">
        <v>650</v>
      </c>
    </row>
    <row r="1334" customHeight="1" spans="1:7">
      <c r="A1334" s="502"/>
      <c r="B1334" s="517" t="s">
        <v>651</v>
      </c>
      <c r="C1334" s="502" t="s">
        <v>531</v>
      </c>
      <c r="D1334" s="540">
        <f>1.2*(5*2.23+5+2)*D1327</f>
        <v>13721.4</v>
      </c>
      <c r="E1334" s="511" t="e">
        <f t="shared" si="75"/>
        <v>#REF!</v>
      </c>
      <c r="F1334" s="510" t="e">
        <f t="shared" si="76"/>
        <v>#REF!</v>
      </c>
      <c r="G1334" s="502" t="s">
        <v>652</v>
      </c>
    </row>
    <row r="1335" customHeight="1" spans="1:7">
      <c r="A1335" s="502"/>
      <c r="B1335" s="517" t="s">
        <v>563</v>
      </c>
      <c r="C1335" s="502" t="s">
        <v>62</v>
      </c>
      <c r="D1335" s="540">
        <f>1.2*0.2*0.5*D1327</f>
        <v>75.6</v>
      </c>
      <c r="E1335" s="511" t="e">
        <f t="shared" si="75"/>
        <v>#REF!</v>
      </c>
      <c r="F1335" s="510" t="e">
        <f t="shared" si="76"/>
        <v>#REF!</v>
      </c>
      <c r="G1335" s="502"/>
    </row>
    <row r="1336" s="492" customFormat="1" customHeight="1" spans="1:7">
      <c r="A1336" s="506">
        <v>24</v>
      </c>
      <c r="B1336" s="507" t="s">
        <v>676</v>
      </c>
      <c r="C1336" s="506" t="s">
        <v>90</v>
      </c>
      <c r="D1336" s="506">
        <f>144*2</f>
        <v>288</v>
      </c>
      <c r="E1336" s="511"/>
      <c r="F1336" s="508" t="e">
        <f>SUM(F1337:F1344)</f>
        <v>#REF!</v>
      </c>
      <c r="G1336" s="506"/>
    </row>
    <row r="1337" s="492" customFormat="1" customHeight="1" spans="1:7">
      <c r="A1337" s="502"/>
      <c r="B1337" s="517" t="s">
        <v>61</v>
      </c>
      <c r="C1337" s="502" t="s">
        <v>62</v>
      </c>
      <c r="D1337" s="540">
        <f>1.2*D1336*27*0.3</f>
        <v>2799.36</v>
      </c>
      <c r="E1337" s="511" t="e">
        <f t="shared" ref="E1337:E1344" si="77">E1328</f>
        <v>#REF!</v>
      </c>
      <c r="F1337" s="510" t="e">
        <f t="shared" ref="F1337:F1344" si="78">D1337*E1337</f>
        <v>#REF!</v>
      </c>
      <c r="G1337" s="502" t="s">
        <v>643</v>
      </c>
    </row>
    <row r="1338" s="492" customFormat="1" ht="37.15" customHeight="1" spans="1:7">
      <c r="A1338" s="502"/>
      <c r="B1338" s="517" t="s">
        <v>644</v>
      </c>
      <c r="C1338" s="502" t="s">
        <v>62</v>
      </c>
      <c r="D1338" s="540">
        <f>1.2*D1336*17*0.7</f>
        <v>4112.64</v>
      </c>
      <c r="E1338" s="511">
        <f t="shared" si="77"/>
        <v>15.5634951407938</v>
      </c>
      <c r="F1338" s="510">
        <f t="shared" si="78"/>
        <v>64007.0526558341</v>
      </c>
      <c r="G1338" s="502" t="s">
        <v>645</v>
      </c>
    </row>
    <row r="1339" s="492" customFormat="1" customHeight="1" spans="1:7">
      <c r="A1339" s="502"/>
      <c r="B1339" s="517" t="str">
        <f>B1330</f>
        <v>土方开挖及拉运（500m）</v>
      </c>
      <c r="C1339" s="502" t="s">
        <v>62</v>
      </c>
      <c r="D1339" s="540">
        <f>D1338-D1337</f>
        <v>1313.28</v>
      </c>
      <c r="E1339" s="511" t="e">
        <f t="shared" si="77"/>
        <v>#REF!</v>
      </c>
      <c r="F1339" s="510" t="e">
        <f t="shared" si="78"/>
        <v>#REF!</v>
      </c>
      <c r="G1339" s="502" t="s">
        <v>647</v>
      </c>
    </row>
    <row r="1340" s="492" customFormat="1" customHeight="1" spans="1:7">
      <c r="A1340" s="502"/>
      <c r="B1340" s="517" t="s">
        <v>659</v>
      </c>
      <c r="C1340" s="502" t="s">
        <v>531</v>
      </c>
      <c r="D1340" s="542">
        <f>1.2*5*2.23*D1336*1.2</f>
        <v>4624.128</v>
      </c>
      <c r="E1340" s="511">
        <f t="shared" si="77"/>
        <v>150</v>
      </c>
      <c r="F1340" s="510">
        <f t="shared" si="78"/>
        <v>693619.2</v>
      </c>
      <c r="G1340" s="502" t="s">
        <v>649</v>
      </c>
    </row>
    <row r="1341" s="492" customFormat="1" customHeight="1" spans="1:7">
      <c r="A1341" s="502"/>
      <c r="B1341" s="517" t="s">
        <v>560</v>
      </c>
      <c r="C1341" s="502" t="s">
        <v>62</v>
      </c>
      <c r="D1341" s="540">
        <f>1.2*3*0.5*D1336</f>
        <v>518.4</v>
      </c>
      <c r="E1341" s="511" t="e">
        <f t="shared" si="77"/>
        <v>#REF!</v>
      </c>
      <c r="F1341" s="510" t="e">
        <f t="shared" si="78"/>
        <v>#REF!</v>
      </c>
      <c r="G1341" s="502" t="s">
        <v>650</v>
      </c>
    </row>
    <row r="1342" s="492" customFormat="1" customHeight="1" spans="1:7">
      <c r="A1342" s="502"/>
      <c r="B1342" s="517" t="s">
        <v>561</v>
      </c>
      <c r="C1342" s="502" t="s">
        <v>62</v>
      </c>
      <c r="D1342" s="540">
        <f>1.2*3.5*0.5*D1336</f>
        <v>604.8</v>
      </c>
      <c r="E1342" s="511" t="e">
        <f t="shared" si="77"/>
        <v>#REF!</v>
      </c>
      <c r="F1342" s="510" t="e">
        <f t="shared" si="78"/>
        <v>#REF!</v>
      </c>
      <c r="G1342" s="502" t="s">
        <v>650</v>
      </c>
    </row>
    <row r="1343" customHeight="1" spans="1:7">
      <c r="A1343" s="502"/>
      <c r="B1343" s="517" t="s">
        <v>651</v>
      </c>
      <c r="C1343" s="502" t="s">
        <v>531</v>
      </c>
      <c r="D1343" s="540">
        <f>1.2*(5*2.23+5+2)*D1336</f>
        <v>6272.64</v>
      </c>
      <c r="E1343" s="511" t="e">
        <f t="shared" si="77"/>
        <v>#REF!</v>
      </c>
      <c r="F1343" s="510" t="e">
        <f t="shared" si="78"/>
        <v>#REF!</v>
      </c>
      <c r="G1343" s="502" t="s">
        <v>652</v>
      </c>
    </row>
    <row r="1344" customHeight="1" spans="1:7">
      <c r="A1344" s="502"/>
      <c r="B1344" s="517" t="s">
        <v>563</v>
      </c>
      <c r="C1344" s="502" t="s">
        <v>62</v>
      </c>
      <c r="D1344" s="540">
        <f>1.2*0.2*0.5*D1336</f>
        <v>34.56</v>
      </c>
      <c r="E1344" s="511" t="e">
        <f t="shared" si="77"/>
        <v>#REF!</v>
      </c>
      <c r="F1344" s="510" t="e">
        <f t="shared" si="78"/>
        <v>#REF!</v>
      </c>
      <c r="G1344" s="502"/>
    </row>
    <row r="1345" s="492" customFormat="1" customHeight="1" spans="1:7">
      <c r="A1345" s="506">
        <v>25</v>
      </c>
      <c r="B1345" s="507" t="s">
        <v>677</v>
      </c>
      <c r="C1345" s="506" t="s">
        <v>90</v>
      </c>
      <c r="D1345" s="506">
        <f>179*2</f>
        <v>358</v>
      </c>
      <c r="E1345" s="511"/>
      <c r="F1345" s="508" t="e">
        <f>SUM(F1346:F1353)</f>
        <v>#REF!</v>
      </c>
      <c r="G1345" s="506"/>
    </row>
    <row r="1346" s="492" customFormat="1" customHeight="1" spans="1:7">
      <c r="A1346" s="502"/>
      <c r="B1346" s="517" t="s">
        <v>61</v>
      </c>
      <c r="C1346" s="502" t="s">
        <v>62</v>
      </c>
      <c r="D1346" s="540">
        <f>1.2*D1345*27*0.3</f>
        <v>3479.76</v>
      </c>
      <c r="E1346" s="511" t="e">
        <f t="shared" ref="E1346:E1353" si="79">E1337</f>
        <v>#REF!</v>
      </c>
      <c r="F1346" s="510" t="e">
        <f t="shared" ref="F1346:F1353" si="80">D1346*E1346</f>
        <v>#REF!</v>
      </c>
      <c r="G1346" s="502" t="s">
        <v>643</v>
      </c>
    </row>
    <row r="1347" s="492" customFormat="1" ht="37.15" customHeight="1" spans="1:7">
      <c r="A1347" s="502"/>
      <c r="B1347" s="517" t="s">
        <v>644</v>
      </c>
      <c r="C1347" s="502" t="s">
        <v>62</v>
      </c>
      <c r="D1347" s="540">
        <f>1.2*D1345*17*0.7</f>
        <v>5112.24</v>
      </c>
      <c r="E1347" s="511">
        <f t="shared" si="79"/>
        <v>15.5634951407938</v>
      </c>
      <c r="F1347" s="510">
        <f t="shared" si="80"/>
        <v>79564.3223985716</v>
      </c>
      <c r="G1347" s="502" t="s">
        <v>645</v>
      </c>
    </row>
    <row r="1348" s="492" customFormat="1" customHeight="1" spans="1:7">
      <c r="A1348" s="502"/>
      <c r="B1348" s="517" t="str">
        <f>B1339</f>
        <v>土方开挖及拉运（500m）</v>
      </c>
      <c r="C1348" s="502" t="s">
        <v>62</v>
      </c>
      <c r="D1348" s="540">
        <f>D1347-D1346</f>
        <v>1632.48</v>
      </c>
      <c r="E1348" s="511" t="e">
        <f t="shared" si="79"/>
        <v>#REF!</v>
      </c>
      <c r="F1348" s="510" t="e">
        <f t="shared" si="80"/>
        <v>#REF!</v>
      </c>
      <c r="G1348" s="502" t="s">
        <v>647</v>
      </c>
    </row>
    <row r="1349" s="492" customFormat="1" customHeight="1" spans="1:7">
      <c r="A1349" s="502"/>
      <c r="B1349" s="517" t="s">
        <v>659</v>
      </c>
      <c r="C1349" s="502" t="s">
        <v>531</v>
      </c>
      <c r="D1349" s="542">
        <f>1.2*5*2.23*D1345*1.2</f>
        <v>5748.048</v>
      </c>
      <c r="E1349" s="511">
        <f t="shared" si="79"/>
        <v>150</v>
      </c>
      <c r="F1349" s="510">
        <f t="shared" si="80"/>
        <v>862207.2</v>
      </c>
      <c r="G1349" s="502" t="s">
        <v>649</v>
      </c>
    </row>
    <row r="1350" s="492" customFormat="1" customHeight="1" spans="1:7">
      <c r="A1350" s="502"/>
      <c r="B1350" s="517" t="s">
        <v>560</v>
      </c>
      <c r="C1350" s="502" t="s">
        <v>62</v>
      </c>
      <c r="D1350" s="540">
        <f>1.2*3*0.5*D1345</f>
        <v>644.4</v>
      </c>
      <c r="E1350" s="511" t="e">
        <f t="shared" si="79"/>
        <v>#REF!</v>
      </c>
      <c r="F1350" s="510" t="e">
        <f t="shared" si="80"/>
        <v>#REF!</v>
      </c>
      <c r="G1350" s="502" t="s">
        <v>650</v>
      </c>
    </row>
    <row r="1351" s="492" customFormat="1" customHeight="1" spans="1:7">
      <c r="A1351" s="502"/>
      <c r="B1351" s="517" t="s">
        <v>561</v>
      </c>
      <c r="C1351" s="502" t="s">
        <v>62</v>
      </c>
      <c r="D1351" s="540">
        <f>1.2*3.5*0.5*D1345</f>
        <v>751.8</v>
      </c>
      <c r="E1351" s="511" t="e">
        <f t="shared" si="79"/>
        <v>#REF!</v>
      </c>
      <c r="F1351" s="510" t="e">
        <f t="shared" si="80"/>
        <v>#REF!</v>
      </c>
      <c r="G1351" s="502" t="s">
        <v>650</v>
      </c>
    </row>
    <row r="1352" customHeight="1" spans="1:7">
      <c r="A1352" s="502"/>
      <c r="B1352" s="517" t="s">
        <v>651</v>
      </c>
      <c r="C1352" s="502" t="s">
        <v>531</v>
      </c>
      <c r="D1352" s="540">
        <f>1.2*(5*2.23+5+2)*D1345</f>
        <v>7797.24</v>
      </c>
      <c r="E1352" s="511" t="e">
        <f t="shared" si="79"/>
        <v>#REF!</v>
      </c>
      <c r="F1352" s="510" t="e">
        <f t="shared" si="80"/>
        <v>#REF!</v>
      </c>
      <c r="G1352" s="502" t="s">
        <v>652</v>
      </c>
    </row>
    <row r="1353" customHeight="1" spans="1:7">
      <c r="A1353" s="502"/>
      <c r="B1353" s="517" t="s">
        <v>563</v>
      </c>
      <c r="C1353" s="502" t="s">
        <v>62</v>
      </c>
      <c r="D1353" s="540">
        <f>1.2*0.2*0.5*D1345</f>
        <v>42.96</v>
      </c>
      <c r="E1353" s="511" t="e">
        <f t="shared" si="79"/>
        <v>#REF!</v>
      </c>
      <c r="F1353" s="510" t="e">
        <f t="shared" si="80"/>
        <v>#REF!</v>
      </c>
      <c r="G1353" s="502"/>
    </row>
    <row r="1354" s="492" customFormat="1" customHeight="1" spans="1:7">
      <c r="A1354" s="506">
        <v>26</v>
      </c>
      <c r="B1354" s="507" t="s">
        <v>678</v>
      </c>
      <c r="C1354" s="506" t="s">
        <v>90</v>
      </c>
      <c r="D1354" s="506">
        <f>565*2</f>
        <v>1130</v>
      </c>
      <c r="E1354" s="511"/>
      <c r="F1354" s="508" t="e">
        <f>SUM(F1355:F1362)</f>
        <v>#REF!</v>
      </c>
      <c r="G1354" s="506"/>
    </row>
    <row r="1355" s="492" customFormat="1" customHeight="1" spans="1:7">
      <c r="A1355" s="502"/>
      <c r="B1355" s="517" t="s">
        <v>61</v>
      </c>
      <c r="C1355" s="502" t="s">
        <v>62</v>
      </c>
      <c r="D1355" s="540">
        <f>1.2*D1354*27*0.3</f>
        <v>10983.6</v>
      </c>
      <c r="E1355" s="511" t="e">
        <f t="shared" ref="E1355:E1362" si="81">E1346</f>
        <v>#REF!</v>
      </c>
      <c r="F1355" s="510" t="e">
        <f t="shared" ref="F1355:F1362" si="82">D1355*E1355</f>
        <v>#REF!</v>
      </c>
      <c r="G1355" s="502" t="s">
        <v>643</v>
      </c>
    </row>
    <row r="1356" s="492" customFormat="1" ht="46.15" customHeight="1" spans="1:7">
      <c r="A1356" s="502"/>
      <c r="B1356" s="517" t="s">
        <v>644</v>
      </c>
      <c r="C1356" s="502" t="s">
        <v>62</v>
      </c>
      <c r="D1356" s="540">
        <f>1.2*D1354*17*0.7</f>
        <v>16136.4</v>
      </c>
      <c r="E1356" s="511">
        <f t="shared" si="81"/>
        <v>15.5634951407938</v>
      </c>
      <c r="F1356" s="510">
        <f t="shared" si="82"/>
        <v>251138.782989905</v>
      </c>
      <c r="G1356" s="502" t="s">
        <v>645</v>
      </c>
    </row>
    <row r="1357" s="492" customFormat="1" customHeight="1" spans="1:7">
      <c r="A1357" s="502"/>
      <c r="B1357" s="517" t="str">
        <f>B1348</f>
        <v>土方开挖及拉运（500m）</v>
      </c>
      <c r="C1357" s="502" t="s">
        <v>62</v>
      </c>
      <c r="D1357" s="540">
        <f>D1356-D1355</f>
        <v>5152.8</v>
      </c>
      <c r="E1357" s="511" t="e">
        <f t="shared" si="81"/>
        <v>#REF!</v>
      </c>
      <c r="F1357" s="510" t="e">
        <f t="shared" si="82"/>
        <v>#REF!</v>
      </c>
      <c r="G1357" s="502" t="s">
        <v>647</v>
      </c>
    </row>
    <row r="1358" s="492" customFormat="1" customHeight="1" spans="1:7">
      <c r="A1358" s="502"/>
      <c r="B1358" s="517" t="s">
        <v>648</v>
      </c>
      <c r="C1358" s="502" t="s">
        <v>62</v>
      </c>
      <c r="D1358" s="542">
        <f>1.2*6*2.23*0.3*D1354*1.2</f>
        <v>6531.5808</v>
      </c>
      <c r="E1358" s="511">
        <f t="shared" si="81"/>
        <v>150</v>
      </c>
      <c r="F1358" s="510">
        <f t="shared" si="82"/>
        <v>979737.12</v>
      </c>
      <c r="G1358" s="502" t="s">
        <v>649</v>
      </c>
    </row>
    <row r="1359" s="492" customFormat="1" customHeight="1" spans="1:7">
      <c r="A1359" s="502"/>
      <c r="B1359" s="517" t="s">
        <v>560</v>
      </c>
      <c r="C1359" s="502" t="s">
        <v>62</v>
      </c>
      <c r="D1359" s="540">
        <f>1.2*3*0.5*D1354</f>
        <v>2034</v>
      </c>
      <c r="E1359" s="511" t="e">
        <f t="shared" si="81"/>
        <v>#REF!</v>
      </c>
      <c r="F1359" s="510" t="e">
        <f t="shared" si="82"/>
        <v>#REF!</v>
      </c>
      <c r="G1359" s="502" t="s">
        <v>650</v>
      </c>
    </row>
    <row r="1360" s="492" customFormat="1" customHeight="1" spans="1:7">
      <c r="A1360" s="502"/>
      <c r="B1360" s="517" t="s">
        <v>561</v>
      </c>
      <c r="C1360" s="502" t="s">
        <v>62</v>
      </c>
      <c r="D1360" s="540">
        <f>1.2*3.5*0.5*D1354</f>
        <v>2373</v>
      </c>
      <c r="E1360" s="511" t="e">
        <f t="shared" si="81"/>
        <v>#REF!</v>
      </c>
      <c r="F1360" s="510" t="e">
        <f t="shared" si="82"/>
        <v>#REF!</v>
      </c>
      <c r="G1360" s="502" t="s">
        <v>650</v>
      </c>
    </row>
    <row r="1361" customHeight="1" spans="1:7">
      <c r="A1361" s="502"/>
      <c r="B1361" s="517" t="s">
        <v>651</v>
      </c>
      <c r="C1361" s="502" t="s">
        <v>531</v>
      </c>
      <c r="D1361" s="540">
        <f>1.2*(6*2.23+5+2)*D1354</f>
        <v>27635.28</v>
      </c>
      <c r="E1361" s="511" t="e">
        <f t="shared" si="81"/>
        <v>#REF!</v>
      </c>
      <c r="F1361" s="510" t="e">
        <f t="shared" si="82"/>
        <v>#REF!</v>
      </c>
      <c r="G1361" s="502" t="s">
        <v>652</v>
      </c>
    </row>
    <row r="1362" customHeight="1" spans="1:7">
      <c r="A1362" s="502"/>
      <c r="B1362" s="517" t="s">
        <v>563</v>
      </c>
      <c r="C1362" s="502" t="s">
        <v>62</v>
      </c>
      <c r="D1362" s="540">
        <f>1.2*0.2*0.5*D1354</f>
        <v>135.6</v>
      </c>
      <c r="E1362" s="511" t="e">
        <f t="shared" si="81"/>
        <v>#REF!</v>
      </c>
      <c r="F1362" s="510" t="e">
        <f t="shared" si="82"/>
        <v>#REF!</v>
      </c>
      <c r="G1362" s="502"/>
    </row>
    <row r="1363" s="492" customFormat="1" customHeight="1" spans="1:7">
      <c r="A1363" s="506">
        <v>27</v>
      </c>
      <c r="B1363" s="507" t="s">
        <v>679</v>
      </c>
      <c r="C1363" s="506" t="s">
        <v>90</v>
      </c>
      <c r="D1363" s="506">
        <f>1389*2</f>
        <v>2778</v>
      </c>
      <c r="E1363" s="511"/>
      <c r="F1363" s="508" t="e">
        <f>SUM(F1364:F1371)</f>
        <v>#REF!</v>
      </c>
      <c r="G1363" s="506"/>
    </row>
    <row r="1364" s="492" customFormat="1" customHeight="1" spans="1:7">
      <c r="A1364" s="502"/>
      <c r="B1364" s="517" t="s">
        <v>61</v>
      </c>
      <c r="C1364" s="502" t="s">
        <v>62</v>
      </c>
      <c r="D1364" s="540">
        <f>1.2*D1363*27*0.3</f>
        <v>27002.16</v>
      </c>
      <c r="E1364" s="511" t="e">
        <f t="shared" ref="E1364:E1371" si="83">E1355</f>
        <v>#REF!</v>
      </c>
      <c r="F1364" s="510" t="e">
        <f t="shared" ref="F1364:F1371" si="84">D1364*E1364</f>
        <v>#REF!</v>
      </c>
      <c r="G1364" s="502" t="s">
        <v>643</v>
      </c>
    </row>
    <row r="1365" s="492" customFormat="1" ht="48" customHeight="1" spans="1:7">
      <c r="A1365" s="502"/>
      <c r="B1365" s="517" t="s">
        <v>644</v>
      </c>
      <c r="C1365" s="502" t="s">
        <v>62</v>
      </c>
      <c r="D1365" s="540">
        <f>1.2*D1363*17*0.7</f>
        <v>39669.84</v>
      </c>
      <c r="E1365" s="511">
        <f t="shared" si="83"/>
        <v>15.5634951407938</v>
      </c>
      <c r="F1365" s="510">
        <f t="shared" si="84"/>
        <v>617401.362076066</v>
      </c>
      <c r="G1365" s="502" t="s">
        <v>645</v>
      </c>
    </row>
    <row r="1366" s="492" customFormat="1" customHeight="1" spans="1:7">
      <c r="A1366" s="502"/>
      <c r="B1366" s="517" t="str">
        <f>B1357</f>
        <v>土方开挖及拉运（500m）</v>
      </c>
      <c r="C1366" s="502" t="s">
        <v>62</v>
      </c>
      <c r="D1366" s="540">
        <f>D1365-D1364</f>
        <v>12667.68</v>
      </c>
      <c r="E1366" s="511" t="e">
        <f t="shared" si="83"/>
        <v>#REF!</v>
      </c>
      <c r="F1366" s="510" t="e">
        <f t="shared" si="84"/>
        <v>#REF!</v>
      </c>
      <c r="G1366" s="502" t="s">
        <v>647</v>
      </c>
    </row>
    <row r="1367" s="492" customFormat="1" customHeight="1" spans="1:7">
      <c r="A1367" s="502"/>
      <c r="B1367" s="517" t="s">
        <v>648</v>
      </c>
      <c r="C1367" s="502" t="s">
        <v>62</v>
      </c>
      <c r="D1367" s="542">
        <f>1.2*6*2.23*0.3*D1363*1.2</f>
        <v>16057.28448</v>
      </c>
      <c r="E1367" s="511">
        <f t="shared" si="83"/>
        <v>150</v>
      </c>
      <c r="F1367" s="510">
        <f t="shared" si="84"/>
        <v>2408592.672</v>
      </c>
      <c r="G1367" s="502" t="s">
        <v>649</v>
      </c>
    </row>
    <row r="1368" s="492" customFormat="1" customHeight="1" spans="1:7">
      <c r="A1368" s="502"/>
      <c r="B1368" s="517" t="s">
        <v>560</v>
      </c>
      <c r="C1368" s="502" t="s">
        <v>62</v>
      </c>
      <c r="D1368" s="540">
        <f>1.2*3*0.5*D1363</f>
        <v>5000.4</v>
      </c>
      <c r="E1368" s="511" t="e">
        <f t="shared" si="83"/>
        <v>#REF!</v>
      </c>
      <c r="F1368" s="510" t="e">
        <f t="shared" si="84"/>
        <v>#REF!</v>
      </c>
      <c r="G1368" s="502" t="s">
        <v>650</v>
      </c>
    </row>
    <row r="1369" s="492" customFormat="1" customHeight="1" spans="1:7">
      <c r="A1369" s="502"/>
      <c r="B1369" s="517" t="s">
        <v>561</v>
      </c>
      <c r="C1369" s="502" t="s">
        <v>62</v>
      </c>
      <c r="D1369" s="540">
        <f>1.2*3.5*0.5*D1363</f>
        <v>5833.8</v>
      </c>
      <c r="E1369" s="511" t="e">
        <f t="shared" si="83"/>
        <v>#REF!</v>
      </c>
      <c r="F1369" s="510" t="e">
        <f t="shared" si="84"/>
        <v>#REF!</v>
      </c>
      <c r="G1369" s="502" t="s">
        <v>650</v>
      </c>
    </row>
    <row r="1370" customHeight="1" spans="1:7">
      <c r="A1370" s="502"/>
      <c r="B1370" s="517" t="s">
        <v>651</v>
      </c>
      <c r="C1370" s="502" t="s">
        <v>531</v>
      </c>
      <c r="D1370" s="540">
        <f>1.2*(6*2.23+5+2)*D1363</f>
        <v>67938.768</v>
      </c>
      <c r="E1370" s="511" t="e">
        <f t="shared" si="83"/>
        <v>#REF!</v>
      </c>
      <c r="F1370" s="510" t="e">
        <f t="shared" si="84"/>
        <v>#REF!</v>
      </c>
      <c r="G1370" s="502" t="s">
        <v>652</v>
      </c>
    </row>
    <row r="1371" customHeight="1" spans="1:7">
      <c r="A1371" s="502"/>
      <c r="B1371" s="517" t="s">
        <v>563</v>
      </c>
      <c r="C1371" s="502" t="s">
        <v>62</v>
      </c>
      <c r="D1371" s="540">
        <f>1.2*0.2*0.5*D1363</f>
        <v>333.36</v>
      </c>
      <c r="E1371" s="511" t="e">
        <f t="shared" si="83"/>
        <v>#REF!</v>
      </c>
      <c r="F1371" s="510" t="e">
        <f t="shared" si="84"/>
        <v>#REF!</v>
      </c>
      <c r="G1371" s="502"/>
    </row>
    <row r="1372" s="492" customFormat="1" customHeight="1" spans="1:7">
      <c r="A1372" s="506">
        <v>28</v>
      </c>
      <c r="B1372" s="507" t="s">
        <v>680</v>
      </c>
      <c r="C1372" s="506" t="s">
        <v>90</v>
      </c>
      <c r="D1372" s="506">
        <f>179*2</f>
        <v>358</v>
      </c>
      <c r="E1372" s="511"/>
      <c r="F1372" s="508" t="e">
        <f>SUM(F1373:F1380)</f>
        <v>#REF!</v>
      </c>
      <c r="G1372" s="506"/>
    </row>
    <row r="1373" s="492" customFormat="1" customHeight="1" spans="1:7">
      <c r="A1373" s="502"/>
      <c r="B1373" s="517" t="s">
        <v>61</v>
      </c>
      <c r="C1373" s="502" t="s">
        <v>62</v>
      </c>
      <c r="D1373" s="540">
        <f>1.2*D1372*27*0.3</f>
        <v>3479.76</v>
      </c>
      <c r="E1373" s="511" t="e">
        <f t="shared" ref="E1373:E1380" si="85">E1364</f>
        <v>#REF!</v>
      </c>
      <c r="F1373" s="510" t="e">
        <f t="shared" ref="F1373:F1380" si="86">D1373*E1373</f>
        <v>#REF!</v>
      </c>
      <c r="G1373" s="502" t="s">
        <v>643</v>
      </c>
    </row>
    <row r="1374" s="492" customFormat="1" ht="43.9" customHeight="1" spans="1:7">
      <c r="A1374" s="502"/>
      <c r="B1374" s="517" t="s">
        <v>644</v>
      </c>
      <c r="C1374" s="502" t="s">
        <v>62</v>
      </c>
      <c r="D1374" s="540">
        <f>1.2*D1372*17*0.7</f>
        <v>5112.24</v>
      </c>
      <c r="E1374" s="511">
        <f t="shared" si="85"/>
        <v>15.5634951407938</v>
      </c>
      <c r="F1374" s="510">
        <f t="shared" si="86"/>
        <v>79564.3223985716</v>
      </c>
      <c r="G1374" s="502" t="s">
        <v>645</v>
      </c>
    </row>
    <row r="1375" s="492" customFormat="1" customHeight="1" spans="1:7">
      <c r="A1375" s="502"/>
      <c r="B1375" s="517" t="str">
        <f>B1366</f>
        <v>土方开挖及拉运（500m）</v>
      </c>
      <c r="C1375" s="502" t="s">
        <v>62</v>
      </c>
      <c r="D1375" s="540">
        <f>D1374-D1373</f>
        <v>1632.48</v>
      </c>
      <c r="E1375" s="511" t="e">
        <f t="shared" si="85"/>
        <v>#REF!</v>
      </c>
      <c r="F1375" s="510" t="e">
        <f t="shared" si="86"/>
        <v>#REF!</v>
      </c>
      <c r="G1375" s="502" t="s">
        <v>647</v>
      </c>
    </row>
    <row r="1376" s="492" customFormat="1" customHeight="1" spans="1:7">
      <c r="A1376" s="502"/>
      <c r="B1376" s="517" t="s">
        <v>659</v>
      </c>
      <c r="C1376" s="502" t="s">
        <v>531</v>
      </c>
      <c r="D1376" s="542">
        <f>1.2*6*2.23*D1372*1.2</f>
        <v>6897.6576</v>
      </c>
      <c r="E1376" s="511">
        <f t="shared" si="85"/>
        <v>150</v>
      </c>
      <c r="F1376" s="510">
        <f t="shared" si="86"/>
        <v>1034648.64</v>
      </c>
      <c r="G1376" s="502" t="s">
        <v>649</v>
      </c>
    </row>
    <row r="1377" s="492" customFormat="1" customHeight="1" spans="1:7">
      <c r="A1377" s="502"/>
      <c r="B1377" s="517" t="s">
        <v>560</v>
      </c>
      <c r="C1377" s="502" t="s">
        <v>62</v>
      </c>
      <c r="D1377" s="540">
        <f>1.2*3*0.5*D1372</f>
        <v>644.4</v>
      </c>
      <c r="E1377" s="511" t="e">
        <f t="shared" si="85"/>
        <v>#REF!</v>
      </c>
      <c r="F1377" s="510" t="e">
        <f t="shared" si="86"/>
        <v>#REF!</v>
      </c>
      <c r="G1377" s="502" t="s">
        <v>650</v>
      </c>
    </row>
    <row r="1378" s="492" customFormat="1" customHeight="1" spans="1:7">
      <c r="A1378" s="502"/>
      <c r="B1378" s="517" t="s">
        <v>561</v>
      </c>
      <c r="C1378" s="502" t="s">
        <v>62</v>
      </c>
      <c r="D1378" s="540">
        <f>1.2*3.5*0.5*D1372</f>
        <v>751.8</v>
      </c>
      <c r="E1378" s="511" t="e">
        <f t="shared" si="85"/>
        <v>#REF!</v>
      </c>
      <c r="F1378" s="510" t="e">
        <f t="shared" si="86"/>
        <v>#REF!</v>
      </c>
      <c r="G1378" s="502" t="s">
        <v>650</v>
      </c>
    </row>
    <row r="1379" customHeight="1" spans="1:7">
      <c r="A1379" s="502"/>
      <c r="B1379" s="517" t="s">
        <v>651</v>
      </c>
      <c r="C1379" s="502" t="s">
        <v>531</v>
      </c>
      <c r="D1379" s="540">
        <f>1.2*(6*2.23+5+2)*D1372</f>
        <v>8755.248</v>
      </c>
      <c r="E1379" s="511" t="e">
        <f t="shared" si="85"/>
        <v>#REF!</v>
      </c>
      <c r="F1379" s="510" t="e">
        <f t="shared" si="86"/>
        <v>#REF!</v>
      </c>
      <c r="G1379" s="502" t="s">
        <v>652</v>
      </c>
    </row>
    <row r="1380" customHeight="1" spans="1:7">
      <c r="A1380" s="502"/>
      <c r="B1380" s="517" t="s">
        <v>563</v>
      </c>
      <c r="C1380" s="502" t="s">
        <v>62</v>
      </c>
      <c r="D1380" s="540">
        <f>1.2*0.2*0.5*D1372</f>
        <v>42.96</v>
      </c>
      <c r="E1380" s="511" t="e">
        <f t="shared" si="85"/>
        <v>#REF!</v>
      </c>
      <c r="F1380" s="510" t="e">
        <f t="shared" si="86"/>
        <v>#REF!</v>
      </c>
      <c r="G1380" s="502"/>
    </row>
    <row r="1381" s="492" customFormat="1" customHeight="1" spans="1:7">
      <c r="A1381" s="506">
        <v>29</v>
      </c>
      <c r="B1381" s="507" t="s">
        <v>681</v>
      </c>
      <c r="C1381" s="506" t="s">
        <v>90</v>
      </c>
      <c r="D1381" s="506">
        <f>369*2</f>
        <v>738</v>
      </c>
      <c r="E1381" s="511"/>
      <c r="F1381" s="508" t="e">
        <f>SUM(F1382:F1389)</f>
        <v>#REF!</v>
      </c>
      <c r="G1381" s="506"/>
    </row>
    <row r="1382" s="492" customFormat="1" customHeight="1" spans="1:7">
      <c r="A1382" s="502"/>
      <c r="B1382" s="517" t="s">
        <v>61</v>
      </c>
      <c r="C1382" s="502" t="s">
        <v>62</v>
      </c>
      <c r="D1382" s="540">
        <f>1.2*D1381*27*0.3</f>
        <v>7173.36</v>
      </c>
      <c r="E1382" s="511" t="e">
        <f t="shared" ref="E1382:E1389" si="87">E1373</f>
        <v>#REF!</v>
      </c>
      <c r="F1382" s="510" t="e">
        <f t="shared" ref="F1382:F1389" si="88">D1382*E1382</f>
        <v>#REF!</v>
      </c>
      <c r="G1382" s="502" t="s">
        <v>643</v>
      </c>
    </row>
    <row r="1383" s="492" customFormat="1" ht="40.15" customHeight="1" spans="1:7">
      <c r="A1383" s="502"/>
      <c r="B1383" s="517" t="s">
        <v>644</v>
      </c>
      <c r="C1383" s="502" t="s">
        <v>62</v>
      </c>
      <c r="D1383" s="540">
        <f>1.2*D1381*17*0.7</f>
        <v>10538.64</v>
      </c>
      <c r="E1383" s="511">
        <f t="shared" si="87"/>
        <v>15.5634951407938</v>
      </c>
      <c r="F1383" s="510">
        <f t="shared" si="88"/>
        <v>164018.072430575</v>
      </c>
      <c r="G1383" s="502" t="s">
        <v>645</v>
      </c>
    </row>
    <row r="1384" s="492" customFormat="1" customHeight="1" spans="1:7">
      <c r="A1384" s="502"/>
      <c r="B1384" s="517" t="str">
        <f>B1375</f>
        <v>土方开挖及拉运（500m）</v>
      </c>
      <c r="C1384" s="502" t="s">
        <v>62</v>
      </c>
      <c r="D1384" s="540">
        <f>D1383-D1382</f>
        <v>3365.28</v>
      </c>
      <c r="E1384" s="511" t="e">
        <f t="shared" si="87"/>
        <v>#REF!</v>
      </c>
      <c r="F1384" s="510" t="e">
        <f t="shared" si="88"/>
        <v>#REF!</v>
      </c>
      <c r="G1384" s="502" t="s">
        <v>647</v>
      </c>
    </row>
    <row r="1385" s="492" customFormat="1" customHeight="1" spans="1:7">
      <c r="A1385" s="502"/>
      <c r="B1385" s="517" t="s">
        <v>659</v>
      </c>
      <c r="C1385" s="502" t="s">
        <v>531</v>
      </c>
      <c r="D1385" s="542">
        <f>1.2*6*2.23*D1381*1.2</f>
        <v>14219.1936</v>
      </c>
      <c r="E1385" s="511">
        <f t="shared" si="87"/>
        <v>150</v>
      </c>
      <c r="F1385" s="510">
        <f t="shared" si="88"/>
        <v>2132879.04</v>
      </c>
      <c r="G1385" s="502" t="s">
        <v>649</v>
      </c>
    </row>
    <row r="1386" s="492" customFormat="1" customHeight="1" spans="1:7">
      <c r="A1386" s="502"/>
      <c r="B1386" s="517" t="s">
        <v>560</v>
      </c>
      <c r="C1386" s="502" t="s">
        <v>62</v>
      </c>
      <c r="D1386" s="540">
        <f>1.2*3*0.5*D1381</f>
        <v>1328.4</v>
      </c>
      <c r="E1386" s="511" t="e">
        <f t="shared" si="87"/>
        <v>#REF!</v>
      </c>
      <c r="F1386" s="510" t="e">
        <f t="shared" si="88"/>
        <v>#REF!</v>
      </c>
      <c r="G1386" s="502" t="s">
        <v>650</v>
      </c>
    </row>
    <row r="1387" s="492" customFormat="1" customHeight="1" spans="1:7">
      <c r="A1387" s="502"/>
      <c r="B1387" s="517" t="s">
        <v>561</v>
      </c>
      <c r="C1387" s="502" t="s">
        <v>62</v>
      </c>
      <c r="D1387" s="540">
        <f>1.2*3.5*0.5*D1381</f>
        <v>1549.8</v>
      </c>
      <c r="E1387" s="511" t="e">
        <f t="shared" si="87"/>
        <v>#REF!</v>
      </c>
      <c r="F1387" s="510" t="e">
        <f t="shared" si="88"/>
        <v>#REF!</v>
      </c>
      <c r="G1387" s="502" t="s">
        <v>650</v>
      </c>
    </row>
    <row r="1388" customHeight="1" spans="1:7">
      <c r="A1388" s="502"/>
      <c r="B1388" s="517" t="s">
        <v>651</v>
      </c>
      <c r="C1388" s="502" t="s">
        <v>531</v>
      </c>
      <c r="D1388" s="540">
        <f>1.2*(6*2.23+5+2)*D1381</f>
        <v>18048.528</v>
      </c>
      <c r="E1388" s="511" t="e">
        <f t="shared" si="87"/>
        <v>#REF!</v>
      </c>
      <c r="F1388" s="510" t="e">
        <f t="shared" si="88"/>
        <v>#REF!</v>
      </c>
      <c r="G1388" s="502" t="s">
        <v>652</v>
      </c>
    </row>
    <row r="1389" customHeight="1" spans="1:7">
      <c r="A1389" s="502"/>
      <c r="B1389" s="517" t="s">
        <v>563</v>
      </c>
      <c r="C1389" s="502" t="s">
        <v>62</v>
      </c>
      <c r="D1389" s="540">
        <f>1.2*0.2*0.5*D1381</f>
        <v>88.56</v>
      </c>
      <c r="E1389" s="511" t="e">
        <f t="shared" si="87"/>
        <v>#REF!</v>
      </c>
      <c r="F1389" s="510" t="e">
        <f t="shared" si="88"/>
        <v>#REF!</v>
      </c>
      <c r="G1389" s="502"/>
    </row>
    <row r="1390" s="492" customFormat="1" customHeight="1" spans="1:7">
      <c r="A1390" s="506">
        <v>30</v>
      </c>
      <c r="B1390" s="507" t="s">
        <v>682</v>
      </c>
      <c r="C1390" s="506" t="s">
        <v>90</v>
      </c>
      <c r="D1390" s="506">
        <f>308*2</f>
        <v>616</v>
      </c>
      <c r="E1390" s="511"/>
      <c r="F1390" s="508" t="e">
        <f>SUM(F1391:F1398)</f>
        <v>#REF!</v>
      </c>
      <c r="G1390" s="506"/>
    </row>
    <row r="1391" s="492" customFormat="1" customHeight="1" spans="1:7">
      <c r="A1391" s="502"/>
      <c r="B1391" s="517" t="s">
        <v>61</v>
      </c>
      <c r="C1391" s="502" t="s">
        <v>62</v>
      </c>
      <c r="D1391" s="540">
        <f>1.2*D1390*27*0.3</f>
        <v>5987.52</v>
      </c>
      <c r="E1391" s="511" t="e">
        <f t="shared" ref="E1391:E1398" si="89">E1382</f>
        <v>#REF!</v>
      </c>
      <c r="F1391" s="510" t="e">
        <f t="shared" ref="F1391:F1398" si="90">D1391*E1391</f>
        <v>#REF!</v>
      </c>
      <c r="G1391" s="502" t="s">
        <v>643</v>
      </c>
    </row>
    <row r="1392" s="492" customFormat="1" ht="45" customHeight="1" spans="1:7">
      <c r="A1392" s="502"/>
      <c r="B1392" s="517" t="s">
        <v>644</v>
      </c>
      <c r="C1392" s="502" t="s">
        <v>62</v>
      </c>
      <c r="D1392" s="540">
        <f>1.2*D1390*17*0.7</f>
        <v>8796.48</v>
      </c>
      <c r="E1392" s="511">
        <f t="shared" si="89"/>
        <v>15.5634951407938</v>
      </c>
      <c r="F1392" s="510">
        <f t="shared" si="90"/>
        <v>136903.97373609</v>
      </c>
      <c r="G1392" s="502" t="s">
        <v>645</v>
      </c>
    </row>
    <row r="1393" s="492" customFormat="1" customHeight="1" spans="1:7">
      <c r="A1393" s="502"/>
      <c r="B1393" s="517" t="str">
        <f>B1384</f>
        <v>土方开挖及拉运（500m）</v>
      </c>
      <c r="C1393" s="502" t="s">
        <v>62</v>
      </c>
      <c r="D1393" s="540">
        <f>D1392-D1391</f>
        <v>2808.96</v>
      </c>
      <c r="E1393" s="511" t="e">
        <f t="shared" si="89"/>
        <v>#REF!</v>
      </c>
      <c r="F1393" s="510" t="e">
        <f t="shared" si="90"/>
        <v>#REF!</v>
      </c>
      <c r="G1393" s="502" t="s">
        <v>647</v>
      </c>
    </row>
    <row r="1394" s="492" customFormat="1" customHeight="1" spans="1:7">
      <c r="A1394" s="502"/>
      <c r="B1394" s="517" t="s">
        <v>659</v>
      </c>
      <c r="C1394" s="502" t="s">
        <v>531</v>
      </c>
      <c r="D1394" s="542">
        <f>1.2*6*2.23*D1390*1.2</f>
        <v>11868.5952</v>
      </c>
      <c r="E1394" s="511">
        <f t="shared" si="89"/>
        <v>150</v>
      </c>
      <c r="F1394" s="510">
        <f t="shared" si="90"/>
        <v>1780289.28</v>
      </c>
      <c r="G1394" s="502" t="s">
        <v>649</v>
      </c>
    </row>
    <row r="1395" s="492" customFormat="1" customHeight="1" spans="1:7">
      <c r="A1395" s="502"/>
      <c r="B1395" s="517" t="s">
        <v>560</v>
      </c>
      <c r="C1395" s="502" t="s">
        <v>62</v>
      </c>
      <c r="D1395" s="540">
        <f>1.2*3*0.5*D1390</f>
        <v>1108.8</v>
      </c>
      <c r="E1395" s="511" t="e">
        <f t="shared" si="89"/>
        <v>#REF!</v>
      </c>
      <c r="F1395" s="510" t="e">
        <f t="shared" si="90"/>
        <v>#REF!</v>
      </c>
      <c r="G1395" s="502" t="s">
        <v>650</v>
      </c>
    </row>
    <row r="1396" s="492" customFormat="1" customHeight="1" spans="1:7">
      <c r="A1396" s="502"/>
      <c r="B1396" s="517" t="s">
        <v>561</v>
      </c>
      <c r="C1396" s="502" t="s">
        <v>62</v>
      </c>
      <c r="D1396" s="540">
        <f>1.2*3.5*0.5*D1390</f>
        <v>1293.6</v>
      </c>
      <c r="E1396" s="511" t="e">
        <f t="shared" si="89"/>
        <v>#REF!</v>
      </c>
      <c r="F1396" s="510" t="e">
        <f t="shared" si="90"/>
        <v>#REF!</v>
      </c>
      <c r="G1396" s="502" t="s">
        <v>650</v>
      </c>
    </row>
    <row r="1397" customHeight="1" spans="1:7">
      <c r="A1397" s="502"/>
      <c r="B1397" s="517" t="s">
        <v>651</v>
      </c>
      <c r="C1397" s="502" t="s">
        <v>531</v>
      </c>
      <c r="D1397" s="540">
        <f>1.2*(6*2.23+5+2)*D1390</f>
        <v>15064.896</v>
      </c>
      <c r="E1397" s="511" t="e">
        <f t="shared" si="89"/>
        <v>#REF!</v>
      </c>
      <c r="F1397" s="510" t="e">
        <f t="shared" si="90"/>
        <v>#REF!</v>
      </c>
      <c r="G1397" s="502" t="s">
        <v>652</v>
      </c>
    </row>
    <row r="1398" customHeight="1" spans="1:7">
      <c r="A1398" s="502"/>
      <c r="B1398" s="517" t="s">
        <v>563</v>
      </c>
      <c r="C1398" s="502" t="s">
        <v>62</v>
      </c>
      <c r="D1398" s="540">
        <f>1.2*0.2*0.5*D1390</f>
        <v>73.92</v>
      </c>
      <c r="E1398" s="511" t="e">
        <f t="shared" si="89"/>
        <v>#REF!</v>
      </c>
      <c r="F1398" s="510" t="e">
        <f t="shared" si="90"/>
        <v>#REF!</v>
      </c>
      <c r="G1398" s="502"/>
    </row>
    <row r="1399" s="492" customFormat="1" customHeight="1" spans="1:7">
      <c r="A1399" s="506">
        <v>31</v>
      </c>
      <c r="B1399" s="507" t="s">
        <v>683</v>
      </c>
      <c r="C1399" s="506" t="s">
        <v>90</v>
      </c>
      <c r="D1399" s="506">
        <f>334*2</f>
        <v>668</v>
      </c>
      <c r="E1399" s="511"/>
      <c r="F1399" s="508" t="e">
        <f>SUM(F1400:F1407)</f>
        <v>#REF!</v>
      </c>
      <c r="G1399" s="506"/>
    </row>
    <row r="1400" s="492" customFormat="1" customHeight="1" spans="1:7">
      <c r="A1400" s="502"/>
      <c r="B1400" s="517" t="s">
        <v>61</v>
      </c>
      <c r="C1400" s="502" t="s">
        <v>62</v>
      </c>
      <c r="D1400" s="540">
        <f>1.2*D1399*27*0.3</f>
        <v>6492.96</v>
      </c>
      <c r="E1400" s="511" t="e">
        <f t="shared" ref="E1400:E1407" si="91">E1391</f>
        <v>#REF!</v>
      </c>
      <c r="F1400" s="510" t="e">
        <f t="shared" ref="F1400:F1407" si="92">D1400*E1400</f>
        <v>#REF!</v>
      </c>
      <c r="G1400" s="502" t="s">
        <v>643</v>
      </c>
    </row>
    <row r="1401" s="492" customFormat="1" ht="46.9" customHeight="1" spans="1:7">
      <c r="A1401" s="502"/>
      <c r="B1401" s="517" t="s">
        <v>644</v>
      </c>
      <c r="C1401" s="502" t="s">
        <v>62</v>
      </c>
      <c r="D1401" s="540">
        <f>1.2*D1399*17*0.7</f>
        <v>9539.04</v>
      </c>
      <c r="E1401" s="511">
        <f t="shared" si="91"/>
        <v>15.5634951407938</v>
      </c>
      <c r="F1401" s="510">
        <f t="shared" si="92"/>
        <v>148460.802687837</v>
      </c>
      <c r="G1401" s="502" t="s">
        <v>645</v>
      </c>
    </row>
    <row r="1402" s="492" customFormat="1" customHeight="1" spans="1:7">
      <c r="A1402" s="502"/>
      <c r="B1402" s="517" t="str">
        <f>B1393</f>
        <v>土方开挖及拉运（500m）</v>
      </c>
      <c r="C1402" s="502" t="s">
        <v>62</v>
      </c>
      <c r="D1402" s="540">
        <f>D1401-D1400</f>
        <v>3046.08</v>
      </c>
      <c r="E1402" s="511" t="e">
        <f t="shared" si="91"/>
        <v>#REF!</v>
      </c>
      <c r="F1402" s="510" t="e">
        <f t="shared" si="92"/>
        <v>#REF!</v>
      </c>
      <c r="G1402" s="502" t="s">
        <v>647</v>
      </c>
    </row>
    <row r="1403" s="492" customFormat="1" customHeight="1" spans="1:7">
      <c r="A1403" s="502"/>
      <c r="B1403" s="517" t="s">
        <v>659</v>
      </c>
      <c r="C1403" s="502" t="s">
        <v>531</v>
      </c>
      <c r="D1403" s="542">
        <f>1.2*6*2.23*D1399*1.2</f>
        <v>12870.4896</v>
      </c>
      <c r="E1403" s="511">
        <f t="shared" si="91"/>
        <v>150</v>
      </c>
      <c r="F1403" s="510">
        <f t="shared" si="92"/>
        <v>1930573.44</v>
      </c>
      <c r="G1403" s="502" t="s">
        <v>649</v>
      </c>
    </row>
    <row r="1404" s="492" customFormat="1" customHeight="1" spans="1:7">
      <c r="A1404" s="502"/>
      <c r="B1404" s="517" t="s">
        <v>560</v>
      </c>
      <c r="C1404" s="502" t="s">
        <v>62</v>
      </c>
      <c r="D1404" s="540">
        <f>1.2*3*0.5*D1399</f>
        <v>1202.4</v>
      </c>
      <c r="E1404" s="511" t="e">
        <f t="shared" si="91"/>
        <v>#REF!</v>
      </c>
      <c r="F1404" s="510" t="e">
        <f t="shared" si="92"/>
        <v>#REF!</v>
      </c>
      <c r="G1404" s="502" t="s">
        <v>650</v>
      </c>
    </row>
    <row r="1405" s="492" customFormat="1" customHeight="1" spans="1:7">
      <c r="A1405" s="502"/>
      <c r="B1405" s="517" t="s">
        <v>561</v>
      </c>
      <c r="C1405" s="502" t="s">
        <v>62</v>
      </c>
      <c r="D1405" s="540">
        <f>1.2*3.5*0.5*D1399</f>
        <v>1402.8</v>
      </c>
      <c r="E1405" s="511" t="e">
        <f t="shared" si="91"/>
        <v>#REF!</v>
      </c>
      <c r="F1405" s="510" t="e">
        <f t="shared" si="92"/>
        <v>#REF!</v>
      </c>
      <c r="G1405" s="502" t="s">
        <v>650</v>
      </c>
    </row>
    <row r="1406" customHeight="1" spans="1:7">
      <c r="A1406" s="502"/>
      <c r="B1406" s="517" t="s">
        <v>651</v>
      </c>
      <c r="C1406" s="502" t="s">
        <v>531</v>
      </c>
      <c r="D1406" s="540">
        <f>1.2*(6*2.23+5+2)*D1399</f>
        <v>16336.608</v>
      </c>
      <c r="E1406" s="511" t="e">
        <f t="shared" si="91"/>
        <v>#REF!</v>
      </c>
      <c r="F1406" s="510" t="e">
        <f t="shared" si="92"/>
        <v>#REF!</v>
      </c>
      <c r="G1406" s="502" t="s">
        <v>652</v>
      </c>
    </row>
    <row r="1407" customHeight="1" spans="1:7">
      <c r="A1407" s="502"/>
      <c r="B1407" s="517" t="s">
        <v>563</v>
      </c>
      <c r="C1407" s="502" t="s">
        <v>62</v>
      </c>
      <c r="D1407" s="540">
        <f>1.2*0.2*0.5*D1399</f>
        <v>80.16</v>
      </c>
      <c r="E1407" s="511" t="e">
        <f t="shared" si="91"/>
        <v>#REF!</v>
      </c>
      <c r="F1407" s="510" t="e">
        <f t="shared" si="92"/>
        <v>#REF!</v>
      </c>
      <c r="G1407" s="502"/>
    </row>
    <row r="1408" s="492" customFormat="1" customHeight="1" spans="1:7">
      <c r="A1408" s="506">
        <v>32</v>
      </c>
      <c r="B1408" s="507" t="s">
        <v>684</v>
      </c>
      <c r="C1408" s="506" t="s">
        <v>90</v>
      </c>
      <c r="D1408" s="506">
        <f>202*2</f>
        <v>404</v>
      </c>
      <c r="E1408" s="511"/>
      <c r="F1408" s="508" t="e">
        <f>SUM(F1409:F1416)</f>
        <v>#REF!</v>
      </c>
      <c r="G1408" s="506"/>
    </row>
    <row r="1409" s="492" customFormat="1" customHeight="1" spans="1:7">
      <c r="A1409" s="502"/>
      <c r="B1409" s="517" t="s">
        <v>61</v>
      </c>
      <c r="C1409" s="502" t="s">
        <v>62</v>
      </c>
      <c r="D1409" s="540">
        <f>1.2*D1408*27*0.3</f>
        <v>3926.88</v>
      </c>
      <c r="E1409" s="511" t="e">
        <f t="shared" ref="E1409:E1416" si="93">E1400</f>
        <v>#REF!</v>
      </c>
      <c r="F1409" s="510" t="e">
        <f t="shared" ref="F1409:F1416" si="94">D1409*E1409</f>
        <v>#REF!</v>
      </c>
      <c r="G1409" s="502" t="s">
        <v>643</v>
      </c>
    </row>
    <row r="1410" s="492" customFormat="1" ht="37.15" customHeight="1" spans="1:7">
      <c r="A1410" s="502"/>
      <c r="B1410" s="517" t="s">
        <v>644</v>
      </c>
      <c r="C1410" s="502" t="s">
        <v>62</v>
      </c>
      <c r="D1410" s="540">
        <f>1.2*D1408*17*0.7</f>
        <v>5769.12</v>
      </c>
      <c r="E1410" s="511">
        <f t="shared" si="93"/>
        <v>15.5634951407938</v>
      </c>
      <c r="F1410" s="510">
        <f t="shared" si="94"/>
        <v>89787.6710866562</v>
      </c>
      <c r="G1410" s="502" t="s">
        <v>645</v>
      </c>
    </row>
    <row r="1411" s="492" customFormat="1" customHeight="1" spans="1:7">
      <c r="A1411" s="502"/>
      <c r="B1411" s="517" t="str">
        <f>B1402</f>
        <v>土方开挖及拉运（500m）</v>
      </c>
      <c r="C1411" s="502" t="s">
        <v>62</v>
      </c>
      <c r="D1411" s="540">
        <f>D1410-D1409</f>
        <v>1842.24</v>
      </c>
      <c r="E1411" s="511" t="e">
        <f t="shared" si="93"/>
        <v>#REF!</v>
      </c>
      <c r="F1411" s="510" t="e">
        <f t="shared" si="94"/>
        <v>#REF!</v>
      </c>
      <c r="G1411" s="502" t="s">
        <v>647</v>
      </c>
    </row>
    <row r="1412" s="492" customFormat="1" customHeight="1" spans="1:7">
      <c r="A1412" s="502"/>
      <c r="B1412" s="517" t="s">
        <v>659</v>
      </c>
      <c r="C1412" s="502" t="s">
        <v>531</v>
      </c>
      <c r="D1412" s="542">
        <f>1.2*6*2.23*D1408*1.2</f>
        <v>7783.9488</v>
      </c>
      <c r="E1412" s="511">
        <f t="shared" si="93"/>
        <v>150</v>
      </c>
      <c r="F1412" s="510">
        <f t="shared" si="94"/>
        <v>1167592.32</v>
      </c>
      <c r="G1412" s="502" t="s">
        <v>649</v>
      </c>
    </row>
    <row r="1413" s="492" customFormat="1" customHeight="1" spans="1:7">
      <c r="A1413" s="502"/>
      <c r="B1413" s="517" t="s">
        <v>560</v>
      </c>
      <c r="C1413" s="502" t="s">
        <v>62</v>
      </c>
      <c r="D1413" s="540">
        <f>1.2*3*0.5*D1408</f>
        <v>727.2</v>
      </c>
      <c r="E1413" s="511" t="e">
        <f t="shared" si="93"/>
        <v>#REF!</v>
      </c>
      <c r="F1413" s="510" t="e">
        <f t="shared" si="94"/>
        <v>#REF!</v>
      </c>
      <c r="G1413" s="502" t="s">
        <v>650</v>
      </c>
    </row>
    <row r="1414" s="492" customFormat="1" customHeight="1" spans="1:7">
      <c r="A1414" s="502"/>
      <c r="B1414" s="517" t="s">
        <v>561</v>
      </c>
      <c r="C1414" s="502" t="s">
        <v>62</v>
      </c>
      <c r="D1414" s="540">
        <f>1.2*3.5*0.5*D1408</f>
        <v>848.4</v>
      </c>
      <c r="E1414" s="511" t="e">
        <f t="shared" si="93"/>
        <v>#REF!</v>
      </c>
      <c r="F1414" s="510" t="e">
        <f t="shared" si="94"/>
        <v>#REF!</v>
      </c>
      <c r="G1414" s="502" t="s">
        <v>650</v>
      </c>
    </row>
    <row r="1415" customHeight="1" spans="1:7">
      <c r="A1415" s="502"/>
      <c r="B1415" s="517" t="s">
        <v>651</v>
      </c>
      <c r="C1415" s="502" t="s">
        <v>531</v>
      </c>
      <c r="D1415" s="540">
        <f>1.2*(6*2.23+5+2)*D1408</f>
        <v>9880.224</v>
      </c>
      <c r="E1415" s="511" t="e">
        <f t="shared" si="93"/>
        <v>#REF!</v>
      </c>
      <c r="F1415" s="510" t="e">
        <f t="shared" si="94"/>
        <v>#REF!</v>
      </c>
      <c r="G1415" s="502" t="s">
        <v>652</v>
      </c>
    </row>
    <row r="1416" customHeight="1" spans="1:7">
      <c r="A1416" s="502"/>
      <c r="B1416" s="517" t="s">
        <v>563</v>
      </c>
      <c r="C1416" s="502" t="s">
        <v>62</v>
      </c>
      <c r="D1416" s="540">
        <f>1.2*0.2*0.5*D1408</f>
        <v>48.48</v>
      </c>
      <c r="E1416" s="511" t="e">
        <f t="shared" si="93"/>
        <v>#REF!</v>
      </c>
      <c r="F1416" s="510" t="e">
        <f t="shared" si="94"/>
        <v>#REF!</v>
      </c>
      <c r="G1416" s="502"/>
    </row>
    <row r="1417" s="492" customFormat="1" customHeight="1" spans="1:7">
      <c r="A1417" s="506">
        <v>33</v>
      </c>
      <c r="B1417" s="507" t="s">
        <v>685</v>
      </c>
      <c r="C1417" s="506" t="s">
        <v>90</v>
      </c>
      <c r="D1417" s="506">
        <f>906*2</f>
        <v>1812</v>
      </c>
      <c r="E1417" s="511"/>
      <c r="F1417" s="508" t="e">
        <f>SUM(F1418:F1425)</f>
        <v>#REF!</v>
      </c>
      <c r="G1417" s="506"/>
    </row>
    <row r="1418" s="492" customFormat="1" customHeight="1" spans="1:7">
      <c r="A1418" s="502"/>
      <c r="B1418" s="517" t="s">
        <v>61</v>
      </c>
      <c r="C1418" s="502" t="s">
        <v>62</v>
      </c>
      <c r="D1418" s="540">
        <f>1.2*D1417*27*0.3</f>
        <v>17612.64</v>
      </c>
      <c r="E1418" s="511" t="e">
        <f t="shared" ref="E1418:E1425" si="95">E1409</f>
        <v>#REF!</v>
      </c>
      <c r="F1418" s="510" t="e">
        <f t="shared" ref="F1418:F1425" si="96">D1418*E1418</f>
        <v>#REF!</v>
      </c>
      <c r="G1418" s="502" t="s">
        <v>643</v>
      </c>
    </row>
    <row r="1419" s="492" customFormat="1" ht="43.9" customHeight="1" spans="1:7">
      <c r="A1419" s="502"/>
      <c r="B1419" s="517" t="s">
        <v>644</v>
      </c>
      <c r="C1419" s="502" t="s">
        <v>62</v>
      </c>
      <c r="D1419" s="540">
        <f>1.2*D1417*17*0.7</f>
        <v>25875.36</v>
      </c>
      <c r="E1419" s="511">
        <f t="shared" si="95"/>
        <v>15.5634951407938</v>
      </c>
      <c r="F1419" s="510">
        <f t="shared" si="96"/>
        <v>402711.03962629</v>
      </c>
      <c r="G1419" s="502" t="s">
        <v>645</v>
      </c>
    </row>
    <row r="1420" s="492" customFormat="1" customHeight="1" spans="1:7">
      <c r="A1420" s="502"/>
      <c r="B1420" s="517" t="str">
        <f>B1411</f>
        <v>土方开挖及拉运（500m）</v>
      </c>
      <c r="C1420" s="502" t="s">
        <v>62</v>
      </c>
      <c r="D1420" s="540">
        <f>D1419-D1418</f>
        <v>8262.72</v>
      </c>
      <c r="E1420" s="511" t="e">
        <f t="shared" si="95"/>
        <v>#REF!</v>
      </c>
      <c r="F1420" s="510" t="e">
        <f t="shared" si="96"/>
        <v>#REF!</v>
      </c>
      <c r="G1420" s="502" t="s">
        <v>647</v>
      </c>
    </row>
    <row r="1421" s="492" customFormat="1" customHeight="1" spans="1:7">
      <c r="A1421" s="502"/>
      <c r="B1421" s="517" t="s">
        <v>659</v>
      </c>
      <c r="C1421" s="502" t="s">
        <v>531</v>
      </c>
      <c r="D1421" s="542">
        <f>1.2*6*2.23*D1417*1.2</f>
        <v>34912.1664</v>
      </c>
      <c r="E1421" s="511">
        <f t="shared" si="95"/>
        <v>150</v>
      </c>
      <c r="F1421" s="510">
        <f t="shared" si="96"/>
        <v>5236824.96</v>
      </c>
      <c r="G1421" s="502" t="s">
        <v>649</v>
      </c>
    </row>
    <row r="1422" s="492" customFormat="1" customHeight="1" spans="1:7">
      <c r="A1422" s="502"/>
      <c r="B1422" s="517" t="s">
        <v>560</v>
      </c>
      <c r="C1422" s="502" t="s">
        <v>62</v>
      </c>
      <c r="D1422" s="540">
        <f>1.2*3*0.5*D1417</f>
        <v>3261.6</v>
      </c>
      <c r="E1422" s="511" t="e">
        <f t="shared" si="95"/>
        <v>#REF!</v>
      </c>
      <c r="F1422" s="510" t="e">
        <f t="shared" si="96"/>
        <v>#REF!</v>
      </c>
      <c r="G1422" s="502" t="s">
        <v>650</v>
      </c>
    </row>
    <row r="1423" s="492" customFormat="1" customHeight="1" spans="1:7">
      <c r="A1423" s="502"/>
      <c r="B1423" s="517" t="s">
        <v>561</v>
      </c>
      <c r="C1423" s="502" t="s">
        <v>62</v>
      </c>
      <c r="D1423" s="540">
        <f>1.2*3.5*0.5*D1417</f>
        <v>3805.2</v>
      </c>
      <c r="E1423" s="511" t="e">
        <f t="shared" si="95"/>
        <v>#REF!</v>
      </c>
      <c r="F1423" s="510" t="e">
        <f t="shared" si="96"/>
        <v>#REF!</v>
      </c>
      <c r="G1423" s="502" t="s">
        <v>650</v>
      </c>
    </row>
    <row r="1424" customHeight="1" spans="1:7">
      <c r="A1424" s="502"/>
      <c r="B1424" s="517" t="s">
        <v>651</v>
      </c>
      <c r="C1424" s="502" t="s">
        <v>531</v>
      </c>
      <c r="D1424" s="540">
        <f>1.2*(6*2.23+5+2)*D1417</f>
        <v>44314.272</v>
      </c>
      <c r="E1424" s="511" t="e">
        <f t="shared" si="95"/>
        <v>#REF!</v>
      </c>
      <c r="F1424" s="510" t="e">
        <f t="shared" si="96"/>
        <v>#REF!</v>
      </c>
      <c r="G1424" s="502" t="s">
        <v>652</v>
      </c>
    </row>
    <row r="1425" customHeight="1" spans="1:7">
      <c r="A1425" s="502"/>
      <c r="B1425" s="517" t="s">
        <v>563</v>
      </c>
      <c r="C1425" s="502" t="s">
        <v>62</v>
      </c>
      <c r="D1425" s="540">
        <f>1.2*0.2*0.5*D1417</f>
        <v>217.44</v>
      </c>
      <c r="E1425" s="511" t="e">
        <f t="shared" si="95"/>
        <v>#REF!</v>
      </c>
      <c r="F1425" s="510" t="e">
        <f t="shared" si="96"/>
        <v>#REF!</v>
      </c>
      <c r="G1425" s="502"/>
    </row>
    <row r="1426" s="492" customFormat="1" customHeight="1" spans="1:7">
      <c r="A1426" s="506">
        <v>34</v>
      </c>
      <c r="B1426" s="507" t="s">
        <v>686</v>
      </c>
      <c r="C1426" s="506" t="s">
        <v>90</v>
      </c>
      <c r="D1426" s="506">
        <f>197*2</f>
        <v>394</v>
      </c>
      <c r="E1426" s="511"/>
      <c r="F1426" s="508" t="e">
        <f>SUM(F1427:F1434)</f>
        <v>#REF!</v>
      </c>
      <c r="G1426" s="506"/>
    </row>
    <row r="1427" s="492" customFormat="1" customHeight="1" spans="1:7">
      <c r="A1427" s="502"/>
      <c r="B1427" s="517" t="s">
        <v>61</v>
      </c>
      <c r="C1427" s="502" t="s">
        <v>62</v>
      </c>
      <c r="D1427" s="540">
        <f>1.2*D1426*27*0.3</f>
        <v>3829.68</v>
      </c>
      <c r="E1427" s="511" t="e">
        <f t="shared" ref="E1427:E1434" si="97">E1418</f>
        <v>#REF!</v>
      </c>
      <c r="F1427" s="510" t="e">
        <f t="shared" ref="F1427:F1434" si="98">D1427*E1427</f>
        <v>#REF!</v>
      </c>
      <c r="G1427" s="502" t="s">
        <v>643</v>
      </c>
    </row>
    <row r="1428" s="492" customFormat="1" ht="40.9" customHeight="1" spans="1:7">
      <c r="A1428" s="502"/>
      <c r="B1428" s="517" t="s">
        <v>644</v>
      </c>
      <c r="C1428" s="502" t="s">
        <v>62</v>
      </c>
      <c r="D1428" s="540">
        <f>1.2*D1426*17*0.7</f>
        <v>5626.32</v>
      </c>
      <c r="E1428" s="511">
        <f t="shared" si="97"/>
        <v>15.5634951407938</v>
      </c>
      <c r="F1428" s="510">
        <f t="shared" si="98"/>
        <v>87565.2039805508</v>
      </c>
      <c r="G1428" s="502" t="s">
        <v>645</v>
      </c>
    </row>
    <row r="1429" s="492" customFormat="1" customHeight="1" spans="1:7">
      <c r="A1429" s="502"/>
      <c r="B1429" s="517" t="str">
        <f>B1420</f>
        <v>土方开挖及拉运（500m）</v>
      </c>
      <c r="C1429" s="502" t="s">
        <v>62</v>
      </c>
      <c r="D1429" s="540">
        <f>D1428-D1427</f>
        <v>1796.64</v>
      </c>
      <c r="E1429" s="511" t="e">
        <f t="shared" si="97"/>
        <v>#REF!</v>
      </c>
      <c r="F1429" s="510" t="e">
        <f t="shared" si="98"/>
        <v>#REF!</v>
      </c>
      <c r="G1429" s="502" t="s">
        <v>647</v>
      </c>
    </row>
    <row r="1430" s="492" customFormat="1" customHeight="1" spans="1:7">
      <c r="A1430" s="502"/>
      <c r="B1430" s="517" t="s">
        <v>659</v>
      </c>
      <c r="C1430" s="502" t="s">
        <v>531</v>
      </c>
      <c r="D1430" s="542">
        <f>1.2*6*2.23*D1426*1.2</f>
        <v>7591.2768</v>
      </c>
      <c r="E1430" s="511">
        <f t="shared" si="97"/>
        <v>150</v>
      </c>
      <c r="F1430" s="510">
        <f t="shared" si="98"/>
        <v>1138691.52</v>
      </c>
      <c r="G1430" s="502" t="s">
        <v>649</v>
      </c>
    </row>
    <row r="1431" s="492" customFormat="1" customHeight="1" spans="1:7">
      <c r="A1431" s="502"/>
      <c r="B1431" s="517" t="s">
        <v>560</v>
      </c>
      <c r="C1431" s="502" t="s">
        <v>62</v>
      </c>
      <c r="D1431" s="540">
        <f>1.2*3*0.5*D1426</f>
        <v>709.2</v>
      </c>
      <c r="E1431" s="511" t="e">
        <f t="shared" si="97"/>
        <v>#REF!</v>
      </c>
      <c r="F1431" s="510" t="e">
        <f t="shared" si="98"/>
        <v>#REF!</v>
      </c>
      <c r="G1431" s="502" t="s">
        <v>650</v>
      </c>
    </row>
    <row r="1432" s="492" customFormat="1" customHeight="1" spans="1:7">
      <c r="A1432" s="502"/>
      <c r="B1432" s="517" t="s">
        <v>561</v>
      </c>
      <c r="C1432" s="502" t="s">
        <v>62</v>
      </c>
      <c r="D1432" s="540">
        <f>1.2*3.5*0.5*D1426</f>
        <v>827.4</v>
      </c>
      <c r="E1432" s="511" t="e">
        <f t="shared" si="97"/>
        <v>#REF!</v>
      </c>
      <c r="F1432" s="510" t="e">
        <f t="shared" si="98"/>
        <v>#REF!</v>
      </c>
      <c r="G1432" s="502" t="s">
        <v>650</v>
      </c>
    </row>
    <row r="1433" customHeight="1" spans="1:7">
      <c r="A1433" s="502"/>
      <c r="B1433" s="517" t="s">
        <v>651</v>
      </c>
      <c r="C1433" s="502" t="s">
        <v>531</v>
      </c>
      <c r="D1433" s="540">
        <f>1.2*(6*2.23+5+2)*D1426</f>
        <v>9635.664</v>
      </c>
      <c r="E1433" s="511" t="e">
        <f t="shared" si="97"/>
        <v>#REF!</v>
      </c>
      <c r="F1433" s="510" t="e">
        <f t="shared" si="98"/>
        <v>#REF!</v>
      </c>
      <c r="G1433" s="502" t="s">
        <v>652</v>
      </c>
    </row>
    <row r="1434" customHeight="1" spans="1:7">
      <c r="A1434" s="502"/>
      <c r="B1434" s="517" t="s">
        <v>563</v>
      </c>
      <c r="C1434" s="502" t="s">
        <v>62</v>
      </c>
      <c r="D1434" s="540">
        <f>1.2*0.2*0.5*D1426</f>
        <v>47.28</v>
      </c>
      <c r="E1434" s="511" t="e">
        <f t="shared" si="97"/>
        <v>#REF!</v>
      </c>
      <c r="F1434" s="510" t="e">
        <f t="shared" si="98"/>
        <v>#REF!</v>
      </c>
      <c r="G1434" s="502"/>
    </row>
    <row r="1435" s="492" customFormat="1" customHeight="1" spans="1:7">
      <c r="A1435" s="506">
        <v>35</v>
      </c>
      <c r="B1435" s="507" t="s">
        <v>687</v>
      </c>
      <c r="C1435" s="506" t="s">
        <v>90</v>
      </c>
      <c r="D1435" s="506">
        <f>289*2</f>
        <v>578</v>
      </c>
      <c r="E1435" s="511"/>
      <c r="F1435" s="508" t="e">
        <f>SUM(F1436:F1443)</f>
        <v>#REF!</v>
      </c>
      <c r="G1435" s="506"/>
    </row>
    <row r="1436" s="492" customFormat="1" customHeight="1" spans="1:7">
      <c r="A1436" s="502"/>
      <c r="B1436" s="517" t="s">
        <v>61</v>
      </c>
      <c r="C1436" s="502" t="s">
        <v>62</v>
      </c>
      <c r="D1436" s="540">
        <f>1.2*D1435*27*0.3</f>
        <v>5618.16</v>
      </c>
      <c r="E1436" s="511" t="e">
        <f t="shared" ref="E1436:E1443" si="99">E1427</f>
        <v>#REF!</v>
      </c>
      <c r="F1436" s="510" t="e">
        <f t="shared" ref="F1436:F1443" si="100">D1436*E1436</f>
        <v>#REF!</v>
      </c>
      <c r="G1436" s="502" t="s">
        <v>643</v>
      </c>
    </row>
    <row r="1437" s="492" customFormat="1" ht="34.15" customHeight="1" spans="1:7">
      <c r="A1437" s="502"/>
      <c r="B1437" s="517" t="s">
        <v>644</v>
      </c>
      <c r="C1437" s="502" t="s">
        <v>62</v>
      </c>
      <c r="D1437" s="540">
        <f>1.2*D1435*17*0.7</f>
        <v>8253.84</v>
      </c>
      <c r="E1437" s="511">
        <f t="shared" si="99"/>
        <v>15.5634951407938</v>
      </c>
      <c r="F1437" s="510">
        <f t="shared" si="100"/>
        <v>128458.598732889</v>
      </c>
      <c r="G1437" s="502" t="s">
        <v>645</v>
      </c>
    </row>
    <row r="1438" s="492" customFormat="1" customHeight="1" spans="1:7">
      <c r="A1438" s="502"/>
      <c r="B1438" s="517" t="str">
        <f>B1429</f>
        <v>土方开挖及拉运（500m）</v>
      </c>
      <c r="C1438" s="502" t="s">
        <v>62</v>
      </c>
      <c r="D1438" s="540">
        <f>D1437-D1436</f>
        <v>2635.68</v>
      </c>
      <c r="E1438" s="511" t="e">
        <f t="shared" si="99"/>
        <v>#REF!</v>
      </c>
      <c r="F1438" s="510" t="e">
        <f t="shared" si="100"/>
        <v>#REF!</v>
      </c>
      <c r="G1438" s="502" t="s">
        <v>647</v>
      </c>
    </row>
    <row r="1439" s="492" customFormat="1" customHeight="1" spans="1:7">
      <c r="A1439" s="502"/>
      <c r="B1439" s="517" t="s">
        <v>659</v>
      </c>
      <c r="C1439" s="502" t="s">
        <v>531</v>
      </c>
      <c r="D1439" s="542">
        <f>1.2*6*2.23*D1435*1.2</f>
        <v>11136.4416</v>
      </c>
      <c r="E1439" s="511">
        <f t="shared" si="99"/>
        <v>150</v>
      </c>
      <c r="F1439" s="510">
        <f t="shared" si="100"/>
        <v>1670466.24</v>
      </c>
      <c r="G1439" s="502" t="s">
        <v>649</v>
      </c>
    </row>
    <row r="1440" s="492" customFormat="1" customHeight="1" spans="1:7">
      <c r="A1440" s="502"/>
      <c r="B1440" s="517" t="s">
        <v>560</v>
      </c>
      <c r="C1440" s="502" t="s">
        <v>62</v>
      </c>
      <c r="D1440" s="540">
        <f>1.2*3*0.5*D1435</f>
        <v>1040.4</v>
      </c>
      <c r="E1440" s="511" t="e">
        <f t="shared" si="99"/>
        <v>#REF!</v>
      </c>
      <c r="F1440" s="510" t="e">
        <f t="shared" si="100"/>
        <v>#REF!</v>
      </c>
      <c r="G1440" s="502" t="s">
        <v>650</v>
      </c>
    </row>
    <row r="1441" s="492" customFormat="1" customHeight="1" spans="1:7">
      <c r="A1441" s="502"/>
      <c r="B1441" s="517" t="s">
        <v>561</v>
      </c>
      <c r="C1441" s="502" t="s">
        <v>62</v>
      </c>
      <c r="D1441" s="540">
        <f>1.2*3.5*0.5*D1435</f>
        <v>1213.8</v>
      </c>
      <c r="E1441" s="511" t="e">
        <f t="shared" si="99"/>
        <v>#REF!</v>
      </c>
      <c r="F1441" s="510" t="e">
        <f t="shared" si="100"/>
        <v>#REF!</v>
      </c>
      <c r="G1441" s="502" t="s">
        <v>650</v>
      </c>
    </row>
    <row r="1442" customHeight="1" spans="1:7">
      <c r="A1442" s="502"/>
      <c r="B1442" s="517" t="s">
        <v>651</v>
      </c>
      <c r="C1442" s="502" t="s">
        <v>531</v>
      </c>
      <c r="D1442" s="540">
        <f>1.2*(6*2.23+5+2)*D1435</f>
        <v>14135.568</v>
      </c>
      <c r="E1442" s="511" t="e">
        <f t="shared" si="99"/>
        <v>#REF!</v>
      </c>
      <c r="F1442" s="510" t="e">
        <f t="shared" si="100"/>
        <v>#REF!</v>
      </c>
      <c r="G1442" s="502" t="s">
        <v>652</v>
      </c>
    </row>
    <row r="1443" customHeight="1" spans="1:7">
      <c r="A1443" s="502"/>
      <c r="B1443" s="517" t="s">
        <v>563</v>
      </c>
      <c r="C1443" s="502" t="s">
        <v>62</v>
      </c>
      <c r="D1443" s="540">
        <f>1.2*0.2*0.5*D1435</f>
        <v>69.36</v>
      </c>
      <c r="E1443" s="511" t="e">
        <f t="shared" si="99"/>
        <v>#REF!</v>
      </c>
      <c r="F1443" s="510" t="e">
        <f t="shared" si="100"/>
        <v>#REF!</v>
      </c>
      <c r="G1443" s="502"/>
    </row>
    <row r="1444" s="492" customFormat="1" customHeight="1" spans="1:7">
      <c r="A1444" s="506">
        <v>36</v>
      </c>
      <c r="B1444" s="507" t="s">
        <v>688</v>
      </c>
      <c r="C1444" s="506" t="s">
        <v>90</v>
      </c>
      <c r="D1444" s="506">
        <f>2*919</f>
        <v>1838</v>
      </c>
      <c r="E1444" s="511"/>
      <c r="F1444" s="508" t="e">
        <f>SUM(F1445:F1452)</f>
        <v>#REF!</v>
      </c>
      <c r="G1444" s="506"/>
    </row>
    <row r="1445" s="492" customFormat="1" customHeight="1" spans="1:7">
      <c r="A1445" s="502"/>
      <c r="B1445" s="517" t="s">
        <v>61</v>
      </c>
      <c r="C1445" s="502" t="s">
        <v>62</v>
      </c>
      <c r="D1445" s="540">
        <f>1.2*D1444*27*0.3</f>
        <v>17865.36</v>
      </c>
      <c r="E1445" s="511" t="e">
        <f t="shared" ref="E1445:E1452" si="101">E1436</f>
        <v>#REF!</v>
      </c>
      <c r="F1445" s="510" t="e">
        <f t="shared" ref="F1445:F1452" si="102">D1445*E1445</f>
        <v>#REF!</v>
      </c>
      <c r="G1445" s="502" t="s">
        <v>643</v>
      </c>
    </row>
    <row r="1446" s="492" customFormat="1" ht="34.9" customHeight="1" spans="1:7">
      <c r="A1446" s="502"/>
      <c r="B1446" s="517" t="s">
        <v>644</v>
      </c>
      <c r="C1446" s="502" t="s">
        <v>62</v>
      </c>
      <c r="D1446" s="540">
        <f>1.2*D1444*17*0.7</f>
        <v>26246.64</v>
      </c>
      <c r="E1446" s="511">
        <f t="shared" si="101"/>
        <v>15.5634951407938</v>
      </c>
      <c r="F1446" s="510">
        <f t="shared" si="102"/>
        <v>408489.454102163</v>
      </c>
      <c r="G1446" s="502" t="s">
        <v>645</v>
      </c>
    </row>
    <row r="1447" s="492" customFormat="1" customHeight="1" spans="1:7">
      <c r="A1447" s="502"/>
      <c r="B1447" s="517" t="str">
        <f>B1438</f>
        <v>土方开挖及拉运（500m）</v>
      </c>
      <c r="C1447" s="502" t="s">
        <v>62</v>
      </c>
      <c r="D1447" s="540">
        <f>D1446-D1445</f>
        <v>8381.28</v>
      </c>
      <c r="E1447" s="511" t="e">
        <f t="shared" si="101"/>
        <v>#REF!</v>
      </c>
      <c r="F1447" s="510" t="e">
        <f t="shared" si="102"/>
        <v>#REF!</v>
      </c>
      <c r="G1447" s="502" t="s">
        <v>647</v>
      </c>
    </row>
    <row r="1448" s="492" customFormat="1" customHeight="1" spans="1:7">
      <c r="A1448" s="502"/>
      <c r="B1448" s="517" t="s">
        <v>659</v>
      </c>
      <c r="C1448" s="502" t="s">
        <v>531</v>
      </c>
      <c r="D1448" s="542">
        <f>1.2*6*2.23*D1444*1.2</f>
        <v>35413.1136</v>
      </c>
      <c r="E1448" s="511">
        <f t="shared" si="101"/>
        <v>150</v>
      </c>
      <c r="F1448" s="510">
        <f t="shared" si="102"/>
        <v>5311967.04</v>
      </c>
      <c r="G1448" s="502" t="s">
        <v>649</v>
      </c>
    </row>
    <row r="1449" s="492" customFormat="1" customHeight="1" spans="1:7">
      <c r="A1449" s="502"/>
      <c r="B1449" s="517" t="s">
        <v>560</v>
      </c>
      <c r="C1449" s="502" t="s">
        <v>62</v>
      </c>
      <c r="D1449" s="540">
        <f>1.2*3*0.5*D1444</f>
        <v>3308.4</v>
      </c>
      <c r="E1449" s="511" t="e">
        <f t="shared" si="101"/>
        <v>#REF!</v>
      </c>
      <c r="F1449" s="510" t="e">
        <f t="shared" si="102"/>
        <v>#REF!</v>
      </c>
      <c r="G1449" s="502" t="s">
        <v>650</v>
      </c>
    </row>
    <row r="1450" s="492" customFormat="1" customHeight="1" spans="1:7">
      <c r="A1450" s="502"/>
      <c r="B1450" s="517" t="s">
        <v>561</v>
      </c>
      <c r="C1450" s="502" t="s">
        <v>62</v>
      </c>
      <c r="D1450" s="540">
        <f>1.2*3.5*0.5*D1444</f>
        <v>3859.8</v>
      </c>
      <c r="E1450" s="511" t="e">
        <f t="shared" si="101"/>
        <v>#REF!</v>
      </c>
      <c r="F1450" s="510" t="e">
        <f t="shared" si="102"/>
        <v>#REF!</v>
      </c>
      <c r="G1450" s="502" t="s">
        <v>650</v>
      </c>
    </row>
    <row r="1451" customHeight="1" spans="1:7">
      <c r="A1451" s="502"/>
      <c r="B1451" s="517" t="s">
        <v>651</v>
      </c>
      <c r="C1451" s="502" t="s">
        <v>531</v>
      </c>
      <c r="D1451" s="540">
        <f>1.2*(6*2.23+5+2)*D1444</f>
        <v>44950.128</v>
      </c>
      <c r="E1451" s="511" t="e">
        <f t="shared" si="101"/>
        <v>#REF!</v>
      </c>
      <c r="F1451" s="510" t="e">
        <f t="shared" si="102"/>
        <v>#REF!</v>
      </c>
      <c r="G1451" s="502" t="s">
        <v>652</v>
      </c>
    </row>
    <row r="1452" customHeight="1" spans="1:7">
      <c r="A1452" s="502"/>
      <c r="B1452" s="517" t="s">
        <v>563</v>
      </c>
      <c r="C1452" s="502" t="s">
        <v>62</v>
      </c>
      <c r="D1452" s="540">
        <f>1.2*0.2*0.5*D1444</f>
        <v>220.56</v>
      </c>
      <c r="E1452" s="511" t="e">
        <f t="shared" si="101"/>
        <v>#REF!</v>
      </c>
      <c r="F1452" s="510" t="e">
        <f t="shared" si="102"/>
        <v>#REF!</v>
      </c>
      <c r="G1452" s="502"/>
    </row>
    <row r="1453" s="492" customFormat="1" customHeight="1" spans="1:7">
      <c r="A1453" s="506">
        <v>37</v>
      </c>
      <c r="B1453" s="507" t="s">
        <v>689</v>
      </c>
      <c r="C1453" s="506" t="s">
        <v>90</v>
      </c>
      <c r="D1453" s="506">
        <f>2*232</f>
        <v>464</v>
      </c>
      <c r="E1453" s="511"/>
      <c r="F1453" s="508" t="e">
        <f>SUM(F1454:F1461)</f>
        <v>#REF!</v>
      </c>
      <c r="G1453" s="506"/>
    </row>
    <row r="1454" s="492" customFormat="1" customHeight="1" spans="1:7">
      <c r="A1454" s="502"/>
      <c r="B1454" s="517" t="s">
        <v>61</v>
      </c>
      <c r="C1454" s="502" t="s">
        <v>62</v>
      </c>
      <c r="D1454" s="540">
        <f>1.2*D1453*27*0.3</f>
        <v>4510.08</v>
      </c>
      <c r="E1454" s="511" t="e">
        <f t="shared" ref="E1454:E1461" si="103">E1445</f>
        <v>#REF!</v>
      </c>
      <c r="F1454" s="510" t="e">
        <f t="shared" ref="F1454:F1461" si="104">D1454*E1454</f>
        <v>#REF!</v>
      </c>
      <c r="G1454" s="502" t="s">
        <v>643</v>
      </c>
    </row>
    <row r="1455" s="492" customFormat="1" ht="46.9" customHeight="1" spans="1:7">
      <c r="A1455" s="502"/>
      <c r="B1455" s="517" t="s">
        <v>644</v>
      </c>
      <c r="C1455" s="502" t="s">
        <v>62</v>
      </c>
      <c r="D1455" s="540">
        <f>1.2*D1453*17*0.7</f>
        <v>6625.92</v>
      </c>
      <c r="E1455" s="511">
        <f t="shared" si="103"/>
        <v>15.5634951407938</v>
      </c>
      <c r="F1455" s="510">
        <f t="shared" si="104"/>
        <v>103122.473723288</v>
      </c>
      <c r="G1455" s="502" t="s">
        <v>645</v>
      </c>
    </row>
    <row r="1456" s="492" customFormat="1" customHeight="1" spans="1:7">
      <c r="A1456" s="502"/>
      <c r="B1456" s="517" t="str">
        <f>B1447</f>
        <v>土方开挖及拉运（500m）</v>
      </c>
      <c r="C1456" s="502" t="s">
        <v>62</v>
      </c>
      <c r="D1456" s="540">
        <f>D1455-D1454</f>
        <v>2115.84</v>
      </c>
      <c r="E1456" s="511" t="e">
        <f t="shared" si="103"/>
        <v>#REF!</v>
      </c>
      <c r="F1456" s="510" t="e">
        <f t="shared" si="104"/>
        <v>#REF!</v>
      </c>
      <c r="G1456" s="502" t="s">
        <v>647</v>
      </c>
    </row>
    <row r="1457" s="492" customFormat="1" customHeight="1" spans="1:7">
      <c r="A1457" s="502"/>
      <c r="B1457" s="517" t="s">
        <v>659</v>
      </c>
      <c r="C1457" s="502" t="s">
        <v>531</v>
      </c>
      <c r="D1457" s="542">
        <f>1.2*6*2.23*D1453*1.2</f>
        <v>8939.9808</v>
      </c>
      <c r="E1457" s="511">
        <f t="shared" si="103"/>
        <v>150</v>
      </c>
      <c r="F1457" s="510">
        <f t="shared" si="104"/>
        <v>1340997.12</v>
      </c>
      <c r="G1457" s="502" t="s">
        <v>649</v>
      </c>
    </row>
    <row r="1458" s="492" customFormat="1" customHeight="1" spans="1:7">
      <c r="A1458" s="502"/>
      <c r="B1458" s="517" t="s">
        <v>560</v>
      </c>
      <c r="C1458" s="502" t="s">
        <v>62</v>
      </c>
      <c r="D1458" s="540">
        <f>1.2*3*0.5*D1453</f>
        <v>835.2</v>
      </c>
      <c r="E1458" s="511" t="e">
        <f t="shared" si="103"/>
        <v>#REF!</v>
      </c>
      <c r="F1458" s="510" t="e">
        <f t="shared" si="104"/>
        <v>#REF!</v>
      </c>
      <c r="G1458" s="502" t="s">
        <v>650</v>
      </c>
    </row>
    <row r="1459" s="492" customFormat="1" customHeight="1" spans="1:7">
      <c r="A1459" s="502"/>
      <c r="B1459" s="517" t="s">
        <v>561</v>
      </c>
      <c r="C1459" s="502" t="s">
        <v>62</v>
      </c>
      <c r="D1459" s="540">
        <f>1.2*3.5*0.5*D1453</f>
        <v>974.4</v>
      </c>
      <c r="E1459" s="511" t="e">
        <f t="shared" si="103"/>
        <v>#REF!</v>
      </c>
      <c r="F1459" s="510" t="e">
        <f t="shared" si="104"/>
        <v>#REF!</v>
      </c>
      <c r="G1459" s="502" t="s">
        <v>650</v>
      </c>
    </row>
    <row r="1460" customHeight="1" spans="1:7">
      <c r="A1460" s="502"/>
      <c r="B1460" s="517" t="s">
        <v>651</v>
      </c>
      <c r="C1460" s="502" t="s">
        <v>531</v>
      </c>
      <c r="D1460" s="540">
        <f>1.2*(6*2.23+5+2)*D1453</f>
        <v>11347.584</v>
      </c>
      <c r="E1460" s="511" t="e">
        <f t="shared" si="103"/>
        <v>#REF!</v>
      </c>
      <c r="F1460" s="510" t="e">
        <f t="shared" si="104"/>
        <v>#REF!</v>
      </c>
      <c r="G1460" s="502" t="s">
        <v>652</v>
      </c>
    </row>
    <row r="1461" customHeight="1" spans="1:7">
      <c r="A1461" s="502"/>
      <c r="B1461" s="517" t="s">
        <v>563</v>
      </c>
      <c r="C1461" s="502" t="s">
        <v>62</v>
      </c>
      <c r="D1461" s="540">
        <f>1.2*0.2*0.5*D1453</f>
        <v>55.68</v>
      </c>
      <c r="E1461" s="511" t="e">
        <f t="shared" si="103"/>
        <v>#REF!</v>
      </c>
      <c r="F1461" s="510" t="e">
        <f t="shared" si="104"/>
        <v>#REF!</v>
      </c>
      <c r="G1461" s="502"/>
    </row>
    <row r="1462" s="492" customFormat="1" customHeight="1" spans="1:7">
      <c r="A1462" s="506">
        <v>38</v>
      </c>
      <c r="B1462" s="507" t="s">
        <v>690</v>
      </c>
      <c r="C1462" s="506" t="s">
        <v>90</v>
      </c>
      <c r="D1462" s="506">
        <f>2*750</f>
        <v>1500</v>
      </c>
      <c r="E1462" s="511"/>
      <c r="F1462" s="508" t="e">
        <f>SUM(F1463:F1470)</f>
        <v>#REF!</v>
      </c>
      <c r="G1462" s="506"/>
    </row>
    <row r="1463" s="492" customFormat="1" customHeight="1" spans="1:7">
      <c r="A1463" s="502"/>
      <c r="B1463" s="517" t="s">
        <v>61</v>
      </c>
      <c r="C1463" s="502" t="s">
        <v>62</v>
      </c>
      <c r="D1463" s="540">
        <f>1.2*D1462*27*0.3</f>
        <v>14580</v>
      </c>
      <c r="E1463" s="511" t="e">
        <f t="shared" ref="E1463:E1470" si="105">E1454</f>
        <v>#REF!</v>
      </c>
      <c r="F1463" s="510" t="e">
        <f t="shared" ref="F1463:F1470" si="106">D1463*E1463</f>
        <v>#REF!</v>
      </c>
      <c r="G1463" s="502" t="s">
        <v>643</v>
      </c>
    </row>
    <row r="1464" s="492" customFormat="1" ht="43.15" customHeight="1" spans="1:7">
      <c r="A1464" s="502"/>
      <c r="B1464" s="517" t="s">
        <v>644</v>
      </c>
      <c r="C1464" s="502" t="s">
        <v>62</v>
      </c>
      <c r="D1464" s="540">
        <f>1.2*D1462*17*0.7</f>
        <v>21420</v>
      </c>
      <c r="E1464" s="511">
        <f t="shared" si="105"/>
        <v>15.5634951407938</v>
      </c>
      <c r="F1464" s="510">
        <f t="shared" si="106"/>
        <v>333370.065915803</v>
      </c>
      <c r="G1464" s="502" t="s">
        <v>645</v>
      </c>
    </row>
    <row r="1465" s="492" customFormat="1" customHeight="1" spans="1:7">
      <c r="A1465" s="502"/>
      <c r="B1465" s="517" t="str">
        <f>B1456</f>
        <v>土方开挖及拉运（500m）</v>
      </c>
      <c r="C1465" s="502" t="s">
        <v>62</v>
      </c>
      <c r="D1465" s="540">
        <f>D1464-D1463</f>
        <v>6840</v>
      </c>
      <c r="E1465" s="511" t="e">
        <f t="shared" si="105"/>
        <v>#REF!</v>
      </c>
      <c r="F1465" s="510" t="e">
        <f t="shared" si="106"/>
        <v>#REF!</v>
      </c>
      <c r="G1465" s="502" t="s">
        <v>647</v>
      </c>
    </row>
    <row r="1466" s="492" customFormat="1" customHeight="1" spans="1:7">
      <c r="A1466" s="502"/>
      <c r="B1466" s="517" t="s">
        <v>659</v>
      </c>
      <c r="C1466" s="502" t="s">
        <v>531</v>
      </c>
      <c r="D1466" s="542">
        <f>1.2*6*2.23*D1462*1.2</f>
        <v>28900.8</v>
      </c>
      <c r="E1466" s="511">
        <f t="shared" si="105"/>
        <v>150</v>
      </c>
      <c r="F1466" s="510">
        <f t="shared" si="106"/>
        <v>4335120</v>
      </c>
      <c r="G1466" s="502" t="s">
        <v>649</v>
      </c>
    </row>
    <row r="1467" s="492" customFormat="1" customHeight="1" spans="1:7">
      <c r="A1467" s="502"/>
      <c r="B1467" s="517" t="s">
        <v>560</v>
      </c>
      <c r="C1467" s="502" t="s">
        <v>62</v>
      </c>
      <c r="D1467" s="540">
        <f>1.2*3*0.5*D1462</f>
        <v>2700</v>
      </c>
      <c r="E1467" s="511" t="e">
        <f t="shared" si="105"/>
        <v>#REF!</v>
      </c>
      <c r="F1467" s="510" t="e">
        <f t="shared" si="106"/>
        <v>#REF!</v>
      </c>
      <c r="G1467" s="502" t="s">
        <v>650</v>
      </c>
    </row>
    <row r="1468" s="492" customFormat="1" customHeight="1" spans="1:7">
      <c r="A1468" s="502"/>
      <c r="B1468" s="517" t="s">
        <v>561</v>
      </c>
      <c r="C1468" s="502" t="s">
        <v>62</v>
      </c>
      <c r="D1468" s="540">
        <f>1.2*3.5*0.5*D1462</f>
        <v>3150</v>
      </c>
      <c r="E1468" s="511" t="e">
        <f t="shared" si="105"/>
        <v>#REF!</v>
      </c>
      <c r="F1468" s="510" t="e">
        <f t="shared" si="106"/>
        <v>#REF!</v>
      </c>
      <c r="G1468" s="502" t="s">
        <v>650</v>
      </c>
    </row>
    <row r="1469" customHeight="1" spans="1:7">
      <c r="A1469" s="502"/>
      <c r="B1469" s="517" t="s">
        <v>651</v>
      </c>
      <c r="C1469" s="502" t="s">
        <v>531</v>
      </c>
      <c r="D1469" s="540">
        <f>1.2*(6*2.23+5+2)*D1462</f>
        <v>36684</v>
      </c>
      <c r="E1469" s="511" t="e">
        <f t="shared" si="105"/>
        <v>#REF!</v>
      </c>
      <c r="F1469" s="510" t="e">
        <f t="shared" si="106"/>
        <v>#REF!</v>
      </c>
      <c r="G1469" s="502" t="s">
        <v>652</v>
      </c>
    </row>
    <row r="1470" customHeight="1" spans="1:7">
      <c r="A1470" s="502"/>
      <c r="B1470" s="517" t="s">
        <v>563</v>
      </c>
      <c r="C1470" s="502" t="s">
        <v>62</v>
      </c>
      <c r="D1470" s="540">
        <f>1.2*0.2*0.5*D1462</f>
        <v>180</v>
      </c>
      <c r="E1470" s="511" t="e">
        <f t="shared" si="105"/>
        <v>#REF!</v>
      </c>
      <c r="F1470" s="510" t="e">
        <f t="shared" si="106"/>
        <v>#REF!</v>
      </c>
      <c r="G1470" s="502"/>
    </row>
    <row r="1471" s="492" customFormat="1" customHeight="1" spans="1:7">
      <c r="A1471" s="506">
        <v>39</v>
      </c>
      <c r="B1471" s="507" t="s">
        <v>691</v>
      </c>
      <c r="C1471" s="506" t="s">
        <v>90</v>
      </c>
      <c r="D1471" s="506">
        <f>2*257</f>
        <v>514</v>
      </c>
      <c r="E1471" s="511"/>
      <c r="F1471" s="508" t="e">
        <f>SUM(F1472:F1479)</f>
        <v>#REF!</v>
      </c>
      <c r="G1471" s="506"/>
    </row>
    <row r="1472" s="492" customFormat="1" customHeight="1" spans="1:7">
      <c r="A1472" s="502"/>
      <c r="B1472" s="517" t="s">
        <v>61</v>
      </c>
      <c r="C1472" s="502" t="s">
        <v>62</v>
      </c>
      <c r="D1472" s="540">
        <f>1.2*D1471*27*0.3</f>
        <v>4996.08</v>
      </c>
      <c r="E1472" s="511" t="e">
        <f t="shared" ref="E1472:E1479" si="107">E1463</f>
        <v>#REF!</v>
      </c>
      <c r="F1472" s="510" t="e">
        <f t="shared" ref="F1472:F1479" si="108">D1472*E1472</f>
        <v>#REF!</v>
      </c>
      <c r="G1472" s="502" t="s">
        <v>643</v>
      </c>
    </row>
    <row r="1473" s="492" customFormat="1" ht="42" customHeight="1" spans="1:7">
      <c r="A1473" s="502"/>
      <c r="B1473" s="517" t="s">
        <v>644</v>
      </c>
      <c r="C1473" s="502" t="s">
        <v>62</v>
      </c>
      <c r="D1473" s="540">
        <f>1.2*D1471*17*0.7</f>
        <v>7339.92</v>
      </c>
      <c r="E1473" s="511">
        <f t="shared" si="107"/>
        <v>15.5634951407938</v>
      </c>
      <c r="F1473" s="510">
        <f t="shared" si="108"/>
        <v>114234.809253815</v>
      </c>
      <c r="G1473" s="502" t="s">
        <v>645</v>
      </c>
    </row>
    <row r="1474" s="492" customFormat="1" customHeight="1" spans="1:7">
      <c r="A1474" s="502"/>
      <c r="B1474" s="517" t="str">
        <f>B1465</f>
        <v>土方开挖及拉运（500m）</v>
      </c>
      <c r="C1474" s="502" t="s">
        <v>62</v>
      </c>
      <c r="D1474" s="540">
        <f>D1473-D1472</f>
        <v>2343.84</v>
      </c>
      <c r="E1474" s="511" t="e">
        <f t="shared" si="107"/>
        <v>#REF!</v>
      </c>
      <c r="F1474" s="510" t="e">
        <f t="shared" si="108"/>
        <v>#REF!</v>
      </c>
      <c r="G1474" s="502" t="s">
        <v>647</v>
      </c>
    </row>
    <row r="1475" s="492" customFormat="1" customHeight="1" spans="1:7">
      <c r="A1475" s="502"/>
      <c r="B1475" s="517" t="s">
        <v>659</v>
      </c>
      <c r="C1475" s="502" t="s">
        <v>531</v>
      </c>
      <c r="D1475" s="542">
        <f>1.2*6*2.23*D1471*1.2</f>
        <v>9903.3408</v>
      </c>
      <c r="E1475" s="511">
        <f t="shared" si="107"/>
        <v>150</v>
      </c>
      <c r="F1475" s="510">
        <f t="shared" si="108"/>
        <v>1485501.12</v>
      </c>
      <c r="G1475" s="502" t="s">
        <v>649</v>
      </c>
    </row>
    <row r="1476" s="492" customFormat="1" customHeight="1" spans="1:7">
      <c r="A1476" s="502"/>
      <c r="B1476" s="517" t="s">
        <v>560</v>
      </c>
      <c r="C1476" s="502" t="s">
        <v>62</v>
      </c>
      <c r="D1476" s="540">
        <f>1.2*3*0.5*D1471</f>
        <v>925.2</v>
      </c>
      <c r="E1476" s="511" t="e">
        <f t="shared" si="107"/>
        <v>#REF!</v>
      </c>
      <c r="F1476" s="510" t="e">
        <f t="shared" si="108"/>
        <v>#REF!</v>
      </c>
      <c r="G1476" s="502" t="s">
        <v>650</v>
      </c>
    </row>
    <row r="1477" s="492" customFormat="1" customHeight="1" spans="1:7">
      <c r="A1477" s="502"/>
      <c r="B1477" s="517" t="s">
        <v>561</v>
      </c>
      <c r="C1477" s="502" t="s">
        <v>62</v>
      </c>
      <c r="D1477" s="540">
        <f>1.2*3.5*0.5*D1471</f>
        <v>1079.4</v>
      </c>
      <c r="E1477" s="511" t="e">
        <f t="shared" si="107"/>
        <v>#REF!</v>
      </c>
      <c r="F1477" s="510" t="e">
        <f t="shared" si="108"/>
        <v>#REF!</v>
      </c>
      <c r="G1477" s="502" t="s">
        <v>650</v>
      </c>
    </row>
    <row r="1478" customHeight="1" spans="1:7">
      <c r="A1478" s="502"/>
      <c r="B1478" s="517" t="s">
        <v>651</v>
      </c>
      <c r="C1478" s="502" t="s">
        <v>531</v>
      </c>
      <c r="D1478" s="540">
        <f>1.2*(6*2.23+5+2)*D1471</f>
        <v>12570.384</v>
      </c>
      <c r="E1478" s="511" t="e">
        <f t="shared" si="107"/>
        <v>#REF!</v>
      </c>
      <c r="F1478" s="510" t="e">
        <f t="shared" si="108"/>
        <v>#REF!</v>
      </c>
      <c r="G1478" s="502" t="s">
        <v>652</v>
      </c>
    </row>
    <row r="1479" customHeight="1" spans="1:7">
      <c r="A1479" s="502"/>
      <c r="B1479" s="517" t="s">
        <v>563</v>
      </c>
      <c r="C1479" s="502" t="s">
        <v>62</v>
      </c>
      <c r="D1479" s="540">
        <f>1.2*0.2*0.5*D1471</f>
        <v>61.68</v>
      </c>
      <c r="E1479" s="511" t="e">
        <f t="shared" si="107"/>
        <v>#REF!</v>
      </c>
      <c r="F1479" s="510" t="e">
        <f t="shared" si="108"/>
        <v>#REF!</v>
      </c>
      <c r="G1479" s="502"/>
    </row>
    <row r="1480" s="492" customFormat="1" customHeight="1" spans="1:7">
      <c r="A1480" s="506">
        <v>40</v>
      </c>
      <c r="B1480" s="507" t="s">
        <v>692</v>
      </c>
      <c r="C1480" s="506" t="s">
        <v>90</v>
      </c>
      <c r="D1480" s="506">
        <f>2*169</f>
        <v>338</v>
      </c>
      <c r="E1480" s="511"/>
      <c r="F1480" s="508" t="e">
        <f>SUM(F1481:F1488)</f>
        <v>#REF!</v>
      </c>
      <c r="G1480" s="506"/>
    </row>
    <row r="1481" s="492" customFormat="1" customHeight="1" spans="1:7">
      <c r="A1481" s="502"/>
      <c r="B1481" s="517" t="s">
        <v>61</v>
      </c>
      <c r="C1481" s="502" t="s">
        <v>62</v>
      </c>
      <c r="D1481" s="540">
        <f>1.2*D1480*27*0.3</f>
        <v>3285.36</v>
      </c>
      <c r="E1481" s="511" t="e">
        <f>E1472</f>
        <v>#REF!</v>
      </c>
      <c r="F1481" s="510" t="e">
        <f t="shared" ref="F1481:F1488" si="109">D1481*E1481</f>
        <v>#REF!</v>
      </c>
      <c r="G1481" s="502" t="s">
        <v>643</v>
      </c>
    </row>
    <row r="1482" s="492" customFormat="1" ht="43.9" customHeight="1" spans="1:7">
      <c r="A1482" s="502"/>
      <c r="B1482" s="517" t="s">
        <v>644</v>
      </c>
      <c r="C1482" s="502" t="s">
        <v>62</v>
      </c>
      <c r="D1482" s="540">
        <f>1.2*D1480*17*0.7</f>
        <v>4826.64</v>
      </c>
      <c r="E1482" s="511">
        <f t="shared" ref="E1482:E1488" si="110">E1473</f>
        <v>15.5634951407938</v>
      </c>
      <c r="F1482" s="510">
        <f t="shared" si="109"/>
        <v>75119.3881863609</v>
      </c>
      <c r="G1482" s="502" t="s">
        <v>645</v>
      </c>
    </row>
    <row r="1483" s="492" customFormat="1" customHeight="1" spans="1:7">
      <c r="A1483" s="502"/>
      <c r="B1483" s="517" t="str">
        <f>B1474</f>
        <v>土方开挖及拉运（500m）</v>
      </c>
      <c r="C1483" s="502" t="s">
        <v>62</v>
      </c>
      <c r="D1483" s="540">
        <f>D1482-D1481</f>
        <v>1541.28</v>
      </c>
      <c r="E1483" s="511" t="e">
        <f t="shared" si="110"/>
        <v>#REF!</v>
      </c>
      <c r="F1483" s="510" t="e">
        <f t="shared" si="109"/>
        <v>#REF!</v>
      </c>
      <c r="G1483" s="502" t="s">
        <v>647</v>
      </c>
    </row>
    <row r="1484" s="492" customFormat="1" customHeight="1" spans="1:7">
      <c r="A1484" s="502"/>
      <c r="B1484" s="517" t="s">
        <v>659</v>
      </c>
      <c r="C1484" s="502" t="s">
        <v>531</v>
      </c>
      <c r="D1484" s="542">
        <f>1.2*5*2.23*D1480*1.2</f>
        <v>5426.928</v>
      </c>
      <c r="E1484" s="511">
        <f t="shared" si="110"/>
        <v>150</v>
      </c>
      <c r="F1484" s="510">
        <f t="shared" si="109"/>
        <v>814039.2</v>
      </c>
      <c r="G1484" s="502" t="s">
        <v>649</v>
      </c>
    </row>
    <row r="1485" s="492" customFormat="1" customHeight="1" spans="1:7">
      <c r="A1485" s="502"/>
      <c r="B1485" s="517" t="s">
        <v>560</v>
      </c>
      <c r="C1485" s="502" t="s">
        <v>62</v>
      </c>
      <c r="D1485" s="540">
        <f>1.2*3*0.5*D1480</f>
        <v>608.4</v>
      </c>
      <c r="E1485" s="511" t="e">
        <f t="shared" si="110"/>
        <v>#REF!</v>
      </c>
      <c r="F1485" s="510" t="e">
        <f t="shared" si="109"/>
        <v>#REF!</v>
      </c>
      <c r="G1485" s="502" t="s">
        <v>650</v>
      </c>
    </row>
    <row r="1486" s="492" customFormat="1" customHeight="1" spans="1:7">
      <c r="A1486" s="502"/>
      <c r="B1486" s="517" t="s">
        <v>561</v>
      </c>
      <c r="C1486" s="502" t="s">
        <v>62</v>
      </c>
      <c r="D1486" s="540">
        <f>1.2*3.5*0.5*D1480</f>
        <v>709.8</v>
      </c>
      <c r="E1486" s="511" t="e">
        <f t="shared" si="110"/>
        <v>#REF!</v>
      </c>
      <c r="F1486" s="510" t="e">
        <f t="shared" si="109"/>
        <v>#REF!</v>
      </c>
      <c r="G1486" s="502" t="s">
        <v>650</v>
      </c>
    </row>
    <row r="1487" customHeight="1" spans="1:7">
      <c r="A1487" s="502"/>
      <c r="B1487" s="517" t="s">
        <v>651</v>
      </c>
      <c r="C1487" s="502" t="s">
        <v>531</v>
      </c>
      <c r="D1487" s="540">
        <f>1.2*(5*2.23+5+2)*D1480</f>
        <v>7361.64</v>
      </c>
      <c r="E1487" s="511" t="e">
        <f t="shared" si="110"/>
        <v>#REF!</v>
      </c>
      <c r="F1487" s="510" t="e">
        <f t="shared" si="109"/>
        <v>#REF!</v>
      </c>
      <c r="G1487" s="502" t="s">
        <v>652</v>
      </c>
    </row>
    <row r="1488" customHeight="1" spans="1:7">
      <c r="A1488" s="502"/>
      <c r="B1488" s="517" t="s">
        <v>563</v>
      </c>
      <c r="C1488" s="502" t="s">
        <v>62</v>
      </c>
      <c r="D1488" s="540">
        <f>1.2*0.2*0.5*D1480</f>
        <v>40.56</v>
      </c>
      <c r="E1488" s="511" t="e">
        <f t="shared" si="110"/>
        <v>#REF!</v>
      </c>
      <c r="F1488" s="510" t="e">
        <f t="shared" si="109"/>
        <v>#REF!</v>
      </c>
      <c r="G1488" s="502"/>
    </row>
    <row r="1489" s="492" customFormat="1" customHeight="1" spans="1:7">
      <c r="A1489" s="506">
        <v>41</v>
      </c>
      <c r="B1489" s="507" t="s">
        <v>693</v>
      </c>
      <c r="C1489" s="506" t="s">
        <v>90</v>
      </c>
      <c r="D1489" s="506">
        <f>2*255</f>
        <v>510</v>
      </c>
      <c r="E1489" s="511"/>
      <c r="F1489" s="508" t="e">
        <f>SUM(F1490:F1497)</f>
        <v>#REF!</v>
      </c>
      <c r="G1489" s="506"/>
    </row>
    <row r="1490" s="492" customFormat="1" customHeight="1" spans="1:7">
      <c r="A1490" s="502"/>
      <c r="B1490" s="517" t="s">
        <v>61</v>
      </c>
      <c r="C1490" s="502" t="s">
        <v>62</v>
      </c>
      <c r="D1490" s="540">
        <f>1.2*D1489*27*0.3</f>
        <v>4957.2</v>
      </c>
      <c r="E1490" s="511" t="e">
        <f t="shared" ref="E1490:E1497" si="111">E1481</f>
        <v>#REF!</v>
      </c>
      <c r="F1490" s="510" t="e">
        <f t="shared" ref="F1490:F1497" si="112">D1490*E1490</f>
        <v>#REF!</v>
      </c>
      <c r="G1490" s="502" t="s">
        <v>643</v>
      </c>
    </row>
    <row r="1491" s="492" customFormat="1" ht="37.15" customHeight="1" spans="1:7">
      <c r="A1491" s="502"/>
      <c r="B1491" s="517" t="s">
        <v>644</v>
      </c>
      <c r="C1491" s="502" t="s">
        <v>62</v>
      </c>
      <c r="D1491" s="540">
        <f>1.2*D1489*17*0.7</f>
        <v>7282.8</v>
      </c>
      <c r="E1491" s="511">
        <f t="shared" si="111"/>
        <v>15.5634951407938</v>
      </c>
      <c r="F1491" s="510">
        <f t="shared" si="112"/>
        <v>113345.822411373</v>
      </c>
      <c r="G1491" s="502" t="s">
        <v>645</v>
      </c>
    </row>
    <row r="1492" s="492" customFormat="1" customHeight="1" spans="1:7">
      <c r="A1492" s="502"/>
      <c r="B1492" s="517" t="str">
        <f>B1483</f>
        <v>土方开挖及拉运（500m）</v>
      </c>
      <c r="C1492" s="502" t="s">
        <v>62</v>
      </c>
      <c r="D1492" s="540">
        <f>D1491-D1490</f>
        <v>2325.6</v>
      </c>
      <c r="E1492" s="511" t="e">
        <f t="shared" si="111"/>
        <v>#REF!</v>
      </c>
      <c r="F1492" s="510" t="e">
        <f t="shared" si="112"/>
        <v>#REF!</v>
      </c>
      <c r="G1492" s="502" t="s">
        <v>647</v>
      </c>
    </row>
    <row r="1493" s="492" customFormat="1" customHeight="1" spans="1:7">
      <c r="A1493" s="502"/>
      <c r="B1493" s="517" t="s">
        <v>659</v>
      </c>
      <c r="C1493" s="502" t="s">
        <v>531</v>
      </c>
      <c r="D1493" s="542">
        <f>1.2*5*2.23*D1489*1.2</f>
        <v>8188.56</v>
      </c>
      <c r="E1493" s="511">
        <f t="shared" si="111"/>
        <v>150</v>
      </c>
      <c r="F1493" s="510">
        <f t="shared" si="112"/>
        <v>1228284</v>
      </c>
      <c r="G1493" s="502" t="s">
        <v>649</v>
      </c>
    </row>
    <row r="1494" s="492" customFormat="1" customHeight="1" spans="1:7">
      <c r="A1494" s="502"/>
      <c r="B1494" s="517" t="s">
        <v>560</v>
      </c>
      <c r="C1494" s="502" t="s">
        <v>62</v>
      </c>
      <c r="D1494" s="540">
        <f>1.2*3*0.5*D1489</f>
        <v>918</v>
      </c>
      <c r="E1494" s="511" t="e">
        <f t="shared" si="111"/>
        <v>#REF!</v>
      </c>
      <c r="F1494" s="510" t="e">
        <f t="shared" si="112"/>
        <v>#REF!</v>
      </c>
      <c r="G1494" s="502" t="s">
        <v>650</v>
      </c>
    </row>
    <row r="1495" s="492" customFormat="1" customHeight="1" spans="1:7">
      <c r="A1495" s="502"/>
      <c r="B1495" s="517" t="s">
        <v>561</v>
      </c>
      <c r="C1495" s="502" t="s">
        <v>62</v>
      </c>
      <c r="D1495" s="540">
        <f>1.2*3.5*0.5*D1489</f>
        <v>1071</v>
      </c>
      <c r="E1495" s="511" t="e">
        <f t="shared" si="111"/>
        <v>#REF!</v>
      </c>
      <c r="F1495" s="510" t="e">
        <f t="shared" si="112"/>
        <v>#REF!</v>
      </c>
      <c r="G1495" s="502" t="s">
        <v>650</v>
      </c>
    </row>
    <row r="1496" customHeight="1" spans="1:7">
      <c r="A1496" s="502"/>
      <c r="B1496" s="517" t="s">
        <v>651</v>
      </c>
      <c r="C1496" s="502" t="s">
        <v>531</v>
      </c>
      <c r="D1496" s="540">
        <f>1.2*(5*2.23+5+2)*D1489</f>
        <v>11107.8</v>
      </c>
      <c r="E1496" s="511" t="e">
        <f t="shared" si="111"/>
        <v>#REF!</v>
      </c>
      <c r="F1496" s="510" t="e">
        <f t="shared" si="112"/>
        <v>#REF!</v>
      </c>
      <c r="G1496" s="502" t="s">
        <v>652</v>
      </c>
    </row>
    <row r="1497" customHeight="1" spans="1:7">
      <c r="A1497" s="502"/>
      <c r="B1497" s="517" t="s">
        <v>563</v>
      </c>
      <c r="C1497" s="502" t="s">
        <v>62</v>
      </c>
      <c r="D1497" s="540">
        <f>1.2*0.2*0.5*D1489</f>
        <v>61.2</v>
      </c>
      <c r="E1497" s="511" t="e">
        <f t="shared" si="111"/>
        <v>#REF!</v>
      </c>
      <c r="F1497" s="510" t="e">
        <f t="shared" si="112"/>
        <v>#REF!</v>
      </c>
      <c r="G1497" s="502"/>
    </row>
    <row r="1498" s="492" customFormat="1" customHeight="1" spans="1:7">
      <c r="A1498" s="506">
        <v>42</v>
      </c>
      <c r="B1498" s="507" t="s">
        <v>694</v>
      </c>
      <c r="C1498" s="506" t="s">
        <v>90</v>
      </c>
      <c r="D1498" s="506">
        <f>2*195</f>
        <v>390</v>
      </c>
      <c r="E1498" s="511"/>
      <c r="F1498" s="508" t="e">
        <f>SUM(F1499:F1506)</f>
        <v>#REF!</v>
      </c>
      <c r="G1498" s="506"/>
    </row>
    <row r="1499" s="492" customFormat="1" customHeight="1" spans="1:7">
      <c r="A1499" s="502"/>
      <c r="B1499" s="517" t="s">
        <v>61</v>
      </c>
      <c r="C1499" s="502" t="s">
        <v>62</v>
      </c>
      <c r="D1499" s="540">
        <f>1.2*D1498*27*0.3</f>
        <v>3790.8</v>
      </c>
      <c r="E1499" s="511" t="e">
        <f t="shared" ref="E1499:E1506" si="113">E1490</f>
        <v>#REF!</v>
      </c>
      <c r="F1499" s="510" t="e">
        <f t="shared" ref="F1499:F1506" si="114">D1499*E1499</f>
        <v>#REF!</v>
      </c>
      <c r="G1499" s="502" t="s">
        <v>643</v>
      </c>
    </row>
    <row r="1500" s="492" customFormat="1" ht="40.15" customHeight="1" spans="1:7">
      <c r="A1500" s="502"/>
      <c r="B1500" s="517" t="s">
        <v>644</v>
      </c>
      <c r="C1500" s="502" t="s">
        <v>62</v>
      </c>
      <c r="D1500" s="540">
        <f>1.2*D1498*17*0.7</f>
        <v>5569.2</v>
      </c>
      <c r="E1500" s="511">
        <f t="shared" si="113"/>
        <v>15.5634951407938</v>
      </c>
      <c r="F1500" s="510">
        <f t="shared" si="114"/>
        <v>86676.2171381087</v>
      </c>
      <c r="G1500" s="502" t="s">
        <v>645</v>
      </c>
    </row>
    <row r="1501" s="492" customFormat="1" customHeight="1" spans="1:7">
      <c r="A1501" s="502"/>
      <c r="B1501" s="517" t="str">
        <f>B1492</f>
        <v>土方开挖及拉运（500m）</v>
      </c>
      <c r="C1501" s="502" t="s">
        <v>62</v>
      </c>
      <c r="D1501" s="540">
        <f>D1500-D1499</f>
        <v>1778.4</v>
      </c>
      <c r="E1501" s="511" t="e">
        <f t="shared" si="113"/>
        <v>#REF!</v>
      </c>
      <c r="F1501" s="510" t="e">
        <f t="shared" si="114"/>
        <v>#REF!</v>
      </c>
      <c r="G1501" s="502" t="s">
        <v>647</v>
      </c>
    </row>
    <row r="1502" s="492" customFormat="1" customHeight="1" spans="1:7">
      <c r="A1502" s="502"/>
      <c r="B1502" s="517" t="s">
        <v>659</v>
      </c>
      <c r="C1502" s="502" t="s">
        <v>531</v>
      </c>
      <c r="D1502" s="542">
        <f>1.2*5*2.23*D1498*1.2</f>
        <v>6261.84</v>
      </c>
      <c r="E1502" s="511">
        <f t="shared" si="113"/>
        <v>150</v>
      </c>
      <c r="F1502" s="510">
        <f t="shared" si="114"/>
        <v>939276</v>
      </c>
      <c r="G1502" s="502" t="s">
        <v>649</v>
      </c>
    </row>
    <row r="1503" s="492" customFormat="1" customHeight="1" spans="1:7">
      <c r="A1503" s="502"/>
      <c r="B1503" s="517" t="s">
        <v>560</v>
      </c>
      <c r="C1503" s="502" t="s">
        <v>62</v>
      </c>
      <c r="D1503" s="540">
        <f>1.2*3*0.5*D1498</f>
        <v>702</v>
      </c>
      <c r="E1503" s="511" t="e">
        <f t="shared" si="113"/>
        <v>#REF!</v>
      </c>
      <c r="F1503" s="510" t="e">
        <f t="shared" si="114"/>
        <v>#REF!</v>
      </c>
      <c r="G1503" s="502" t="s">
        <v>650</v>
      </c>
    </row>
    <row r="1504" s="492" customFormat="1" customHeight="1" spans="1:7">
      <c r="A1504" s="502"/>
      <c r="B1504" s="517" t="s">
        <v>561</v>
      </c>
      <c r="C1504" s="502" t="s">
        <v>62</v>
      </c>
      <c r="D1504" s="540">
        <f>1.2*3.5*0.5*D1498</f>
        <v>819</v>
      </c>
      <c r="E1504" s="511" t="e">
        <f t="shared" si="113"/>
        <v>#REF!</v>
      </c>
      <c r="F1504" s="510" t="e">
        <f t="shared" si="114"/>
        <v>#REF!</v>
      </c>
      <c r="G1504" s="502" t="s">
        <v>650</v>
      </c>
    </row>
    <row r="1505" customHeight="1" spans="1:7">
      <c r="A1505" s="502"/>
      <c r="B1505" s="517" t="s">
        <v>651</v>
      </c>
      <c r="C1505" s="502" t="s">
        <v>531</v>
      </c>
      <c r="D1505" s="540">
        <f>1.2*(5*2.23+5+2)*D1498</f>
        <v>8494.2</v>
      </c>
      <c r="E1505" s="511" t="e">
        <f t="shared" si="113"/>
        <v>#REF!</v>
      </c>
      <c r="F1505" s="510" t="e">
        <f t="shared" si="114"/>
        <v>#REF!</v>
      </c>
      <c r="G1505" s="502" t="s">
        <v>652</v>
      </c>
    </row>
    <row r="1506" customHeight="1" spans="1:7">
      <c r="A1506" s="502"/>
      <c r="B1506" s="517" t="s">
        <v>563</v>
      </c>
      <c r="C1506" s="502" t="s">
        <v>62</v>
      </c>
      <c r="D1506" s="540">
        <f>1.2*0.2*0.5*D1498</f>
        <v>46.8</v>
      </c>
      <c r="E1506" s="511" t="e">
        <f t="shared" si="113"/>
        <v>#REF!</v>
      </c>
      <c r="F1506" s="510" t="e">
        <f t="shared" si="114"/>
        <v>#REF!</v>
      </c>
      <c r="G1506" s="502"/>
    </row>
    <row r="1507" s="492" customFormat="1" customHeight="1" spans="1:7">
      <c r="A1507" s="506">
        <v>43</v>
      </c>
      <c r="B1507" s="507" t="s">
        <v>695</v>
      </c>
      <c r="C1507" s="506" t="s">
        <v>90</v>
      </c>
      <c r="D1507" s="506">
        <f>2*187</f>
        <v>374</v>
      </c>
      <c r="E1507" s="511"/>
      <c r="F1507" s="508" t="e">
        <f>SUM(F1508:F1515)</f>
        <v>#REF!</v>
      </c>
      <c r="G1507" s="506"/>
    </row>
    <row r="1508" s="492" customFormat="1" customHeight="1" spans="1:7">
      <c r="A1508" s="502"/>
      <c r="B1508" s="517" t="s">
        <v>61</v>
      </c>
      <c r="C1508" s="502" t="s">
        <v>62</v>
      </c>
      <c r="D1508" s="540">
        <f>1.2*D1507*27*0.3</f>
        <v>3635.28</v>
      </c>
      <c r="E1508" s="511" t="e">
        <f t="shared" ref="E1508:E1515" si="115">E1499</f>
        <v>#REF!</v>
      </c>
      <c r="F1508" s="510" t="e">
        <f t="shared" ref="F1508:F1515" si="116">D1508*E1508</f>
        <v>#REF!</v>
      </c>
      <c r="G1508" s="502" t="s">
        <v>643</v>
      </c>
    </row>
    <row r="1509" s="492" customFormat="1" ht="40.9" customHeight="1" spans="1:7">
      <c r="A1509" s="502"/>
      <c r="B1509" s="517" t="s">
        <v>644</v>
      </c>
      <c r="C1509" s="502" t="s">
        <v>62</v>
      </c>
      <c r="D1509" s="540">
        <f>1.2*D1507*17*0.7</f>
        <v>5340.72</v>
      </c>
      <c r="E1509" s="511">
        <f t="shared" si="115"/>
        <v>15.5634951407938</v>
      </c>
      <c r="F1509" s="510">
        <f t="shared" si="116"/>
        <v>83120.2697683401</v>
      </c>
      <c r="G1509" s="502" t="s">
        <v>645</v>
      </c>
    </row>
    <row r="1510" s="492" customFormat="1" customHeight="1" spans="1:7">
      <c r="A1510" s="502"/>
      <c r="B1510" s="517" t="str">
        <f>B1501</f>
        <v>土方开挖及拉运（500m）</v>
      </c>
      <c r="C1510" s="502" t="s">
        <v>62</v>
      </c>
      <c r="D1510" s="540">
        <f>D1509-D1508</f>
        <v>1705.44</v>
      </c>
      <c r="E1510" s="511" t="e">
        <f t="shared" si="115"/>
        <v>#REF!</v>
      </c>
      <c r="F1510" s="510" t="e">
        <f t="shared" si="116"/>
        <v>#REF!</v>
      </c>
      <c r="G1510" s="502" t="s">
        <v>647</v>
      </c>
    </row>
    <row r="1511" s="492" customFormat="1" customHeight="1" spans="1:7">
      <c r="A1511" s="502"/>
      <c r="B1511" s="517" t="s">
        <v>659</v>
      </c>
      <c r="C1511" s="502" t="s">
        <v>531</v>
      </c>
      <c r="D1511" s="542">
        <f>1.2*5*2.23*D1507*1.2</f>
        <v>6004.944</v>
      </c>
      <c r="E1511" s="511">
        <f t="shared" si="115"/>
        <v>150</v>
      </c>
      <c r="F1511" s="510">
        <f t="shared" si="116"/>
        <v>900741.6</v>
      </c>
      <c r="G1511" s="502" t="s">
        <v>649</v>
      </c>
    </row>
    <row r="1512" s="492" customFormat="1" customHeight="1" spans="1:7">
      <c r="A1512" s="502"/>
      <c r="B1512" s="517" t="s">
        <v>560</v>
      </c>
      <c r="C1512" s="502" t="s">
        <v>62</v>
      </c>
      <c r="D1512" s="540">
        <f>1.2*3*0.5*D1507</f>
        <v>673.2</v>
      </c>
      <c r="E1512" s="511" t="e">
        <f t="shared" si="115"/>
        <v>#REF!</v>
      </c>
      <c r="F1512" s="510" t="e">
        <f t="shared" si="116"/>
        <v>#REF!</v>
      </c>
      <c r="G1512" s="502" t="s">
        <v>650</v>
      </c>
    </row>
    <row r="1513" s="492" customFormat="1" customHeight="1" spans="1:7">
      <c r="A1513" s="502"/>
      <c r="B1513" s="517" t="s">
        <v>561</v>
      </c>
      <c r="C1513" s="502" t="s">
        <v>62</v>
      </c>
      <c r="D1513" s="540">
        <f>1.2*3.5*0.5*D1507</f>
        <v>785.4</v>
      </c>
      <c r="E1513" s="511" t="e">
        <f t="shared" si="115"/>
        <v>#REF!</v>
      </c>
      <c r="F1513" s="510" t="e">
        <f t="shared" si="116"/>
        <v>#REF!</v>
      </c>
      <c r="G1513" s="502" t="s">
        <v>650</v>
      </c>
    </row>
    <row r="1514" customHeight="1" spans="1:7">
      <c r="A1514" s="502"/>
      <c r="B1514" s="517" t="s">
        <v>651</v>
      </c>
      <c r="C1514" s="502" t="s">
        <v>531</v>
      </c>
      <c r="D1514" s="540">
        <f>1.2*(5*2.23+5+2)*D1507</f>
        <v>8145.72</v>
      </c>
      <c r="E1514" s="511" t="e">
        <f t="shared" si="115"/>
        <v>#REF!</v>
      </c>
      <c r="F1514" s="510" t="e">
        <f t="shared" si="116"/>
        <v>#REF!</v>
      </c>
      <c r="G1514" s="502" t="s">
        <v>652</v>
      </c>
    </row>
    <row r="1515" customHeight="1" spans="1:7">
      <c r="A1515" s="502"/>
      <c r="B1515" s="517" t="s">
        <v>563</v>
      </c>
      <c r="C1515" s="502" t="s">
        <v>62</v>
      </c>
      <c r="D1515" s="540">
        <f>1.2*0.2*0.5*D1507</f>
        <v>44.88</v>
      </c>
      <c r="E1515" s="511" t="e">
        <f t="shared" si="115"/>
        <v>#REF!</v>
      </c>
      <c r="F1515" s="510" t="e">
        <f t="shared" si="116"/>
        <v>#REF!</v>
      </c>
      <c r="G1515" s="502"/>
    </row>
    <row r="1516" s="492" customFormat="1" customHeight="1" spans="1:7">
      <c r="A1516" s="506">
        <v>44</v>
      </c>
      <c r="B1516" s="507" t="s">
        <v>696</v>
      </c>
      <c r="C1516" s="506" t="s">
        <v>90</v>
      </c>
      <c r="D1516" s="506">
        <f>2*273</f>
        <v>546</v>
      </c>
      <c r="E1516" s="511"/>
      <c r="F1516" s="508" t="e">
        <f>SUM(F1517:F1524)</f>
        <v>#REF!</v>
      </c>
      <c r="G1516" s="506"/>
    </row>
    <row r="1517" s="492" customFormat="1" customHeight="1" spans="1:7">
      <c r="A1517" s="502"/>
      <c r="B1517" s="517" t="s">
        <v>61</v>
      </c>
      <c r="C1517" s="502" t="s">
        <v>62</v>
      </c>
      <c r="D1517" s="540">
        <f>1.2*D1516*27*0.3</f>
        <v>5307.12</v>
      </c>
      <c r="E1517" s="511" t="e">
        <f t="shared" ref="E1517:E1524" si="117">E1508</f>
        <v>#REF!</v>
      </c>
      <c r="F1517" s="510" t="e">
        <f t="shared" ref="F1517:F1524" si="118">D1517*E1517</f>
        <v>#REF!</v>
      </c>
      <c r="G1517" s="502" t="s">
        <v>643</v>
      </c>
    </row>
    <row r="1518" s="492" customFormat="1" ht="51" customHeight="1" spans="1:7">
      <c r="A1518" s="502"/>
      <c r="B1518" s="517" t="s">
        <v>644</v>
      </c>
      <c r="C1518" s="502" t="s">
        <v>62</v>
      </c>
      <c r="D1518" s="540">
        <f>1.2*D1516*17*0.7</f>
        <v>7796.88</v>
      </c>
      <c r="E1518" s="511">
        <f t="shared" si="117"/>
        <v>15.5634951407938</v>
      </c>
      <c r="F1518" s="510">
        <f t="shared" si="118"/>
        <v>121346.703993352</v>
      </c>
      <c r="G1518" s="502" t="s">
        <v>645</v>
      </c>
    </row>
    <row r="1519" s="492" customFormat="1" customHeight="1" spans="1:7">
      <c r="A1519" s="502"/>
      <c r="B1519" s="517" t="str">
        <f>B1510</f>
        <v>土方开挖及拉运（500m）</v>
      </c>
      <c r="C1519" s="502" t="s">
        <v>62</v>
      </c>
      <c r="D1519" s="540">
        <f>D1518-D1517</f>
        <v>2489.76</v>
      </c>
      <c r="E1519" s="511" t="e">
        <f t="shared" si="117"/>
        <v>#REF!</v>
      </c>
      <c r="F1519" s="510" t="e">
        <f t="shared" si="118"/>
        <v>#REF!</v>
      </c>
      <c r="G1519" s="502" t="s">
        <v>647</v>
      </c>
    </row>
    <row r="1520" s="492" customFormat="1" customHeight="1" spans="1:7">
      <c r="A1520" s="502"/>
      <c r="B1520" s="517" t="s">
        <v>659</v>
      </c>
      <c r="C1520" s="502" t="s">
        <v>531</v>
      </c>
      <c r="D1520" s="542">
        <f>1.2*5*2.23*D1516*1.2</f>
        <v>8766.576</v>
      </c>
      <c r="E1520" s="511">
        <f t="shared" si="117"/>
        <v>150</v>
      </c>
      <c r="F1520" s="510">
        <f t="shared" si="118"/>
        <v>1314986.4</v>
      </c>
      <c r="G1520" s="502" t="s">
        <v>649</v>
      </c>
    </row>
    <row r="1521" s="492" customFormat="1" customHeight="1" spans="1:7">
      <c r="A1521" s="502"/>
      <c r="B1521" s="517" t="s">
        <v>560</v>
      </c>
      <c r="C1521" s="502" t="s">
        <v>62</v>
      </c>
      <c r="D1521" s="540">
        <f>1.2*3*0.5*D1516</f>
        <v>982.8</v>
      </c>
      <c r="E1521" s="511" t="e">
        <f t="shared" si="117"/>
        <v>#REF!</v>
      </c>
      <c r="F1521" s="510" t="e">
        <f t="shared" si="118"/>
        <v>#REF!</v>
      </c>
      <c r="G1521" s="502" t="s">
        <v>650</v>
      </c>
    </row>
    <row r="1522" s="492" customFormat="1" customHeight="1" spans="1:7">
      <c r="A1522" s="502"/>
      <c r="B1522" s="517" t="s">
        <v>561</v>
      </c>
      <c r="C1522" s="502" t="s">
        <v>62</v>
      </c>
      <c r="D1522" s="540">
        <f>1.2*3.5*0.5*D1516</f>
        <v>1146.6</v>
      </c>
      <c r="E1522" s="511" t="e">
        <f t="shared" si="117"/>
        <v>#REF!</v>
      </c>
      <c r="F1522" s="510" t="e">
        <f t="shared" si="118"/>
        <v>#REF!</v>
      </c>
      <c r="G1522" s="502" t="s">
        <v>650</v>
      </c>
    </row>
    <row r="1523" customHeight="1" spans="1:7">
      <c r="A1523" s="502"/>
      <c r="B1523" s="517" t="s">
        <v>651</v>
      </c>
      <c r="C1523" s="502" t="s">
        <v>531</v>
      </c>
      <c r="D1523" s="540">
        <f>1.2*(5*2.23+5+2)*D1516</f>
        <v>11891.88</v>
      </c>
      <c r="E1523" s="511" t="e">
        <f t="shared" si="117"/>
        <v>#REF!</v>
      </c>
      <c r="F1523" s="510" t="e">
        <f t="shared" si="118"/>
        <v>#REF!</v>
      </c>
      <c r="G1523" s="502" t="s">
        <v>652</v>
      </c>
    </row>
    <row r="1524" customHeight="1" spans="1:7">
      <c r="A1524" s="502"/>
      <c r="B1524" s="517" t="s">
        <v>563</v>
      </c>
      <c r="C1524" s="502" t="s">
        <v>62</v>
      </c>
      <c r="D1524" s="540">
        <f>1.2*0.2*0.5*D1516</f>
        <v>65.52</v>
      </c>
      <c r="E1524" s="511" t="e">
        <f t="shared" si="117"/>
        <v>#REF!</v>
      </c>
      <c r="F1524" s="510" t="e">
        <f t="shared" si="118"/>
        <v>#REF!</v>
      </c>
      <c r="G1524" s="502"/>
    </row>
    <row r="1525" s="492" customFormat="1" customHeight="1" spans="1:7">
      <c r="A1525" s="506">
        <v>45</v>
      </c>
      <c r="B1525" s="507" t="s">
        <v>697</v>
      </c>
      <c r="C1525" s="506" t="s">
        <v>90</v>
      </c>
      <c r="D1525" s="506">
        <f>2*120</f>
        <v>240</v>
      </c>
      <c r="E1525" s="511"/>
      <c r="F1525" s="508" t="e">
        <f>SUM(F1526:F1533)</f>
        <v>#REF!</v>
      </c>
      <c r="G1525" s="506"/>
    </row>
    <row r="1526" s="492" customFormat="1" customHeight="1" spans="1:7">
      <c r="A1526" s="502"/>
      <c r="B1526" s="517" t="s">
        <v>61</v>
      </c>
      <c r="C1526" s="502" t="s">
        <v>62</v>
      </c>
      <c r="D1526" s="540">
        <f>1.2*D1525*27*0.3</f>
        <v>2332.8</v>
      </c>
      <c r="E1526" s="511" t="e">
        <f t="shared" ref="E1526:E1533" si="119">E1517</f>
        <v>#REF!</v>
      </c>
      <c r="F1526" s="510" t="e">
        <f t="shared" ref="F1526:F1533" si="120">D1526*E1526</f>
        <v>#REF!</v>
      </c>
      <c r="G1526" s="502" t="s">
        <v>643</v>
      </c>
    </row>
    <row r="1527" s="492" customFormat="1" ht="42" customHeight="1" spans="1:7">
      <c r="A1527" s="502"/>
      <c r="B1527" s="517" t="s">
        <v>644</v>
      </c>
      <c r="C1527" s="502" t="s">
        <v>62</v>
      </c>
      <c r="D1527" s="540">
        <f>1.2*D1525*17*0.7</f>
        <v>3427.2</v>
      </c>
      <c r="E1527" s="511">
        <f t="shared" si="119"/>
        <v>15.5634951407938</v>
      </c>
      <c r="F1527" s="510">
        <f t="shared" si="120"/>
        <v>53339.2105465284</v>
      </c>
      <c r="G1527" s="502" t="s">
        <v>645</v>
      </c>
    </row>
    <row r="1528" s="492" customFormat="1" customHeight="1" spans="1:7">
      <c r="A1528" s="502"/>
      <c r="B1528" s="517" t="str">
        <f>B1519</f>
        <v>土方开挖及拉运（500m）</v>
      </c>
      <c r="C1528" s="502" t="s">
        <v>62</v>
      </c>
      <c r="D1528" s="540">
        <f>D1527-D1526</f>
        <v>1094.4</v>
      </c>
      <c r="E1528" s="511" t="e">
        <f t="shared" si="119"/>
        <v>#REF!</v>
      </c>
      <c r="F1528" s="510" t="e">
        <f t="shared" si="120"/>
        <v>#REF!</v>
      </c>
      <c r="G1528" s="502" t="s">
        <v>647</v>
      </c>
    </row>
    <row r="1529" s="492" customFormat="1" customHeight="1" spans="1:7">
      <c r="A1529" s="502"/>
      <c r="B1529" s="517" t="s">
        <v>659</v>
      </c>
      <c r="C1529" s="502" t="s">
        <v>531</v>
      </c>
      <c r="D1529" s="542">
        <f>1.2*5*2.23*D1525*1.2</f>
        <v>3853.44</v>
      </c>
      <c r="E1529" s="511">
        <f t="shared" si="119"/>
        <v>150</v>
      </c>
      <c r="F1529" s="510">
        <f t="shared" si="120"/>
        <v>578016</v>
      </c>
      <c r="G1529" s="502" t="s">
        <v>649</v>
      </c>
    </row>
    <row r="1530" s="492" customFormat="1" customHeight="1" spans="1:7">
      <c r="A1530" s="502"/>
      <c r="B1530" s="517" t="s">
        <v>560</v>
      </c>
      <c r="C1530" s="502" t="s">
        <v>62</v>
      </c>
      <c r="D1530" s="540">
        <f>1.2*3*0.5*D1525</f>
        <v>432</v>
      </c>
      <c r="E1530" s="511" t="e">
        <f t="shared" si="119"/>
        <v>#REF!</v>
      </c>
      <c r="F1530" s="510" t="e">
        <f t="shared" si="120"/>
        <v>#REF!</v>
      </c>
      <c r="G1530" s="502" t="s">
        <v>650</v>
      </c>
    </row>
    <row r="1531" s="492" customFormat="1" customHeight="1" spans="1:7">
      <c r="A1531" s="502"/>
      <c r="B1531" s="517" t="s">
        <v>561</v>
      </c>
      <c r="C1531" s="502" t="s">
        <v>62</v>
      </c>
      <c r="D1531" s="540">
        <f>1.2*3.5*0.5*D1525</f>
        <v>504</v>
      </c>
      <c r="E1531" s="511" t="e">
        <f t="shared" si="119"/>
        <v>#REF!</v>
      </c>
      <c r="F1531" s="510" t="e">
        <f t="shared" si="120"/>
        <v>#REF!</v>
      </c>
      <c r="G1531" s="502" t="s">
        <v>650</v>
      </c>
    </row>
    <row r="1532" customHeight="1" spans="1:7">
      <c r="A1532" s="502"/>
      <c r="B1532" s="517" t="s">
        <v>651</v>
      </c>
      <c r="C1532" s="502" t="s">
        <v>531</v>
      </c>
      <c r="D1532" s="540">
        <f>1.2*(5*2.23+5+2)*D1525</f>
        <v>5227.2</v>
      </c>
      <c r="E1532" s="511" t="e">
        <f t="shared" si="119"/>
        <v>#REF!</v>
      </c>
      <c r="F1532" s="510" t="e">
        <f t="shared" si="120"/>
        <v>#REF!</v>
      </c>
      <c r="G1532" s="502" t="s">
        <v>652</v>
      </c>
    </row>
    <row r="1533" customHeight="1" spans="1:7">
      <c r="A1533" s="502"/>
      <c r="B1533" s="517" t="s">
        <v>563</v>
      </c>
      <c r="C1533" s="502" t="s">
        <v>62</v>
      </c>
      <c r="D1533" s="540">
        <f>1.2*0.2*0.5*D1525</f>
        <v>28.8</v>
      </c>
      <c r="E1533" s="511" t="e">
        <f t="shared" si="119"/>
        <v>#REF!</v>
      </c>
      <c r="F1533" s="510" t="e">
        <f t="shared" si="120"/>
        <v>#REF!</v>
      </c>
      <c r="G1533" s="502"/>
    </row>
    <row r="1534" s="492" customFormat="1" customHeight="1" spans="1:7">
      <c r="A1534" s="506">
        <v>46</v>
      </c>
      <c r="B1534" s="507" t="s">
        <v>698</v>
      </c>
      <c r="C1534" s="506" t="s">
        <v>90</v>
      </c>
      <c r="D1534" s="506">
        <f>2*123</f>
        <v>246</v>
      </c>
      <c r="E1534" s="511"/>
      <c r="F1534" s="508" t="e">
        <f>SUM(F1535:F1542)</f>
        <v>#REF!</v>
      </c>
      <c r="G1534" s="506"/>
    </row>
    <row r="1535" s="492" customFormat="1" customHeight="1" spans="1:7">
      <c r="A1535" s="502"/>
      <c r="B1535" s="517" t="s">
        <v>61</v>
      </c>
      <c r="C1535" s="502" t="s">
        <v>62</v>
      </c>
      <c r="D1535" s="540">
        <f>1.2*D1534*27*0.3</f>
        <v>2391.12</v>
      </c>
      <c r="E1535" s="511" t="e">
        <f t="shared" ref="E1535:E1542" si="121">E1526</f>
        <v>#REF!</v>
      </c>
      <c r="F1535" s="510" t="e">
        <f t="shared" ref="F1535:F1542" si="122">D1535*E1535</f>
        <v>#REF!</v>
      </c>
      <c r="G1535" s="502" t="s">
        <v>643</v>
      </c>
    </row>
    <row r="1536" s="492" customFormat="1" ht="39" customHeight="1" spans="1:7">
      <c r="A1536" s="502"/>
      <c r="B1536" s="517" t="s">
        <v>644</v>
      </c>
      <c r="C1536" s="502" t="s">
        <v>62</v>
      </c>
      <c r="D1536" s="540">
        <f>1.2*D1534*17*0.7</f>
        <v>3512.88</v>
      </c>
      <c r="E1536" s="511">
        <f t="shared" si="121"/>
        <v>15.5634951407938</v>
      </c>
      <c r="F1536" s="510">
        <f t="shared" si="122"/>
        <v>54672.6908101916</v>
      </c>
      <c r="G1536" s="502" t="s">
        <v>645</v>
      </c>
    </row>
    <row r="1537" s="492" customFormat="1" customHeight="1" spans="1:7">
      <c r="A1537" s="502"/>
      <c r="B1537" s="517" t="str">
        <f>B1528</f>
        <v>土方开挖及拉运（500m）</v>
      </c>
      <c r="C1537" s="502" t="s">
        <v>62</v>
      </c>
      <c r="D1537" s="540">
        <f>D1536-D1535</f>
        <v>1121.76</v>
      </c>
      <c r="E1537" s="511" t="e">
        <f t="shared" si="121"/>
        <v>#REF!</v>
      </c>
      <c r="F1537" s="510" t="e">
        <f t="shared" si="122"/>
        <v>#REF!</v>
      </c>
      <c r="G1537" s="502" t="s">
        <v>647</v>
      </c>
    </row>
    <row r="1538" s="492" customFormat="1" customHeight="1" spans="1:7">
      <c r="A1538" s="502"/>
      <c r="B1538" s="517" t="s">
        <v>659</v>
      </c>
      <c r="C1538" s="502" t="s">
        <v>531</v>
      </c>
      <c r="D1538" s="542">
        <f>1.2*5*2.23*D1534*1.2</f>
        <v>3949.776</v>
      </c>
      <c r="E1538" s="511">
        <f t="shared" si="121"/>
        <v>150</v>
      </c>
      <c r="F1538" s="510">
        <f t="shared" si="122"/>
        <v>592466.4</v>
      </c>
      <c r="G1538" s="502" t="s">
        <v>649</v>
      </c>
    </row>
    <row r="1539" s="492" customFormat="1" customHeight="1" spans="1:7">
      <c r="A1539" s="502"/>
      <c r="B1539" s="517" t="s">
        <v>560</v>
      </c>
      <c r="C1539" s="502" t="s">
        <v>62</v>
      </c>
      <c r="D1539" s="540">
        <f>1.2*3*0.5*D1534</f>
        <v>442.8</v>
      </c>
      <c r="E1539" s="511" t="e">
        <f t="shared" si="121"/>
        <v>#REF!</v>
      </c>
      <c r="F1539" s="510" t="e">
        <f t="shared" si="122"/>
        <v>#REF!</v>
      </c>
      <c r="G1539" s="502" t="s">
        <v>650</v>
      </c>
    </row>
    <row r="1540" s="492" customFormat="1" customHeight="1" spans="1:7">
      <c r="A1540" s="502"/>
      <c r="B1540" s="517" t="s">
        <v>561</v>
      </c>
      <c r="C1540" s="502" t="s">
        <v>62</v>
      </c>
      <c r="D1540" s="540">
        <f>1.2*3.5*0.5*D1534</f>
        <v>516.6</v>
      </c>
      <c r="E1540" s="511" t="e">
        <f t="shared" si="121"/>
        <v>#REF!</v>
      </c>
      <c r="F1540" s="510" t="e">
        <f t="shared" si="122"/>
        <v>#REF!</v>
      </c>
      <c r="G1540" s="502" t="s">
        <v>650</v>
      </c>
    </row>
    <row r="1541" customHeight="1" spans="1:7">
      <c r="A1541" s="502"/>
      <c r="B1541" s="517" t="s">
        <v>651</v>
      </c>
      <c r="C1541" s="502" t="s">
        <v>531</v>
      </c>
      <c r="D1541" s="540">
        <f>1.2*(5*2.23+5+2)*D1534</f>
        <v>5357.88</v>
      </c>
      <c r="E1541" s="511" t="e">
        <f t="shared" si="121"/>
        <v>#REF!</v>
      </c>
      <c r="F1541" s="510" t="e">
        <f t="shared" si="122"/>
        <v>#REF!</v>
      </c>
      <c r="G1541" s="502" t="s">
        <v>652</v>
      </c>
    </row>
    <row r="1542" customHeight="1" spans="1:7">
      <c r="A1542" s="502"/>
      <c r="B1542" s="517" t="s">
        <v>563</v>
      </c>
      <c r="C1542" s="502" t="s">
        <v>62</v>
      </c>
      <c r="D1542" s="540">
        <f>1.2*0.2*0.5*D1534</f>
        <v>29.52</v>
      </c>
      <c r="E1542" s="511" t="e">
        <f t="shared" si="121"/>
        <v>#REF!</v>
      </c>
      <c r="F1542" s="510" t="e">
        <f t="shared" si="122"/>
        <v>#REF!</v>
      </c>
      <c r="G1542" s="502"/>
    </row>
    <row r="1543" s="492" customFormat="1" customHeight="1" spans="1:7">
      <c r="A1543" s="506">
        <v>47</v>
      </c>
      <c r="B1543" s="507" t="s">
        <v>699</v>
      </c>
      <c r="C1543" s="506" t="s">
        <v>90</v>
      </c>
      <c r="D1543" s="506">
        <f>2*84</f>
        <v>168</v>
      </c>
      <c r="E1543" s="511"/>
      <c r="F1543" s="508" t="e">
        <f>SUM(F1544:F1551)</f>
        <v>#REF!</v>
      </c>
      <c r="G1543" s="506"/>
    </row>
    <row r="1544" s="492" customFormat="1" customHeight="1" spans="1:7">
      <c r="A1544" s="502"/>
      <c r="B1544" s="517" t="s">
        <v>61</v>
      </c>
      <c r="C1544" s="502" t="s">
        <v>62</v>
      </c>
      <c r="D1544" s="540">
        <f>1.2*D1543*27*0.3</f>
        <v>1632.96</v>
      </c>
      <c r="E1544" s="511" t="e">
        <f t="shared" ref="E1544:E1551" si="123">E1535</f>
        <v>#REF!</v>
      </c>
      <c r="F1544" s="510" t="e">
        <f t="shared" ref="F1544:F1551" si="124">D1544*E1544</f>
        <v>#REF!</v>
      </c>
      <c r="G1544" s="502" t="s">
        <v>643</v>
      </c>
    </row>
    <row r="1545" s="492" customFormat="1" ht="40.9" customHeight="1" spans="1:7">
      <c r="A1545" s="502"/>
      <c r="B1545" s="517" t="s">
        <v>644</v>
      </c>
      <c r="C1545" s="502" t="s">
        <v>62</v>
      </c>
      <c r="D1545" s="540">
        <f>1.2*D1543*17*0.7</f>
        <v>2399.04</v>
      </c>
      <c r="E1545" s="511">
        <f t="shared" si="123"/>
        <v>15.5634951407938</v>
      </c>
      <c r="F1545" s="510">
        <f t="shared" si="124"/>
        <v>37337.4473825699</v>
      </c>
      <c r="G1545" s="502" t="s">
        <v>645</v>
      </c>
    </row>
    <row r="1546" s="492" customFormat="1" customHeight="1" spans="1:7">
      <c r="A1546" s="502"/>
      <c r="B1546" s="517" t="str">
        <f>B1537</f>
        <v>土方开挖及拉运（500m）</v>
      </c>
      <c r="C1546" s="502" t="s">
        <v>62</v>
      </c>
      <c r="D1546" s="540">
        <f>D1545-D1544</f>
        <v>766.08</v>
      </c>
      <c r="E1546" s="511" t="e">
        <f t="shared" si="123"/>
        <v>#REF!</v>
      </c>
      <c r="F1546" s="510" t="e">
        <f t="shared" si="124"/>
        <v>#REF!</v>
      </c>
      <c r="G1546" s="502" t="s">
        <v>647</v>
      </c>
    </row>
    <row r="1547" s="492" customFormat="1" customHeight="1" spans="1:7">
      <c r="A1547" s="502"/>
      <c r="B1547" s="517" t="s">
        <v>659</v>
      </c>
      <c r="C1547" s="502" t="s">
        <v>531</v>
      </c>
      <c r="D1547" s="542">
        <f>1.2*5*2.23*D1543*1.2</f>
        <v>2697.408</v>
      </c>
      <c r="E1547" s="511">
        <f t="shared" si="123"/>
        <v>150</v>
      </c>
      <c r="F1547" s="510">
        <f t="shared" si="124"/>
        <v>404611.2</v>
      </c>
      <c r="G1547" s="502" t="s">
        <v>649</v>
      </c>
    </row>
    <row r="1548" s="492" customFormat="1" customHeight="1" spans="1:7">
      <c r="A1548" s="502"/>
      <c r="B1548" s="517" t="s">
        <v>560</v>
      </c>
      <c r="C1548" s="502" t="s">
        <v>62</v>
      </c>
      <c r="D1548" s="540">
        <f>1.2*3*0.5*D1543</f>
        <v>302.4</v>
      </c>
      <c r="E1548" s="511" t="e">
        <f t="shared" si="123"/>
        <v>#REF!</v>
      </c>
      <c r="F1548" s="510" t="e">
        <f t="shared" si="124"/>
        <v>#REF!</v>
      </c>
      <c r="G1548" s="502" t="s">
        <v>650</v>
      </c>
    </row>
    <row r="1549" s="492" customFormat="1" customHeight="1" spans="1:7">
      <c r="A1549" s="502"/>
      <c r="B1549" s="517" t="s">
        <v>561</v>
      </c>
      <c r="C1549" s="502" t="s">
        <v>62</v>
      </c>
      <c r="D1549" s="540">
        <f>1.2*3.5*0.5*D1543</f>
        <v>352.8</v>
      </c>
      <c r="E1549" s="511" t="e">
        <f t="shared" si="123"/>
        <v>#REF!</v>
      </c>
      <c r="F1549" s="510" t="e">
        <f t="shared" si="124"/>
        <v>#REF!</v>
      </c>
      <c r="G1549" s="502" t="s">
        <v>650</v>
      </c>
    </row>
    <row r="1550" customHeight="1" spans="1:7">
      <c r="A1550" s="502"/>
      <c r="B1550" s="517" t="s">
        <v>651</v>
      </c>
      <c r="C1550" s="502" t="s">
        <v>531</v>
      </c>
      <c r="D1550" s="540">
        <f>1.2*(5*2.23+5+2)*D1543</f>
        <v>3659.04</v>
      </c>
      <c r="E1550" s="511" t="e">
        <f t="shared" si="123"/>
        <v>#REF!</v>
      </c>
      <c r="F1550" s="510" t="e">
        <f t="shared" si="124"/>
        <v>#REF!</v>
      </c>
      <c r="G1550" s="502" t="s">
        <v>652</v>
      </c>
    </row>
    <row r="1551" customHeight="1" spans="1:7">
      <c r="A1551" s="502"/>
      <c r="B1551" s="517" t="s">
        <v>563</v>
      </c>
      <c r="C1551" s="502" t="s">
        <v>62</v>
      </c>
      <c r="D1551" s="540">
        <f>1.2*0.2*0.5*D1543</f>
        <v>20.16</v>
      </c>
      <c r="E1551" s="511" t="e">
        <f t="shared" si="123"/>
        <v>#REF!</v>
      </c>
      <c r="F1551" s="510" t="e">
        <f t="shared" si="124"/>
        <v>#REF!</v>
      </c>
      <c r="G1551" s="502"/>
    </row>
    <row r="1552" s="492" customFormat="1" customHeight="1" spans="1:7">
      <c r="A1552" s="506">
        <v>48</v>
      </c>
      <c r="B1552" s="507" t="s">
        <v>700</v>
      </c>
      <c r="C1552" s="506" t="s">
        <v>90</v>
      </c>
      <c r="D1552" s="506">
        <f>2*126</f>
        <v>252</v>
      </c>
      <c r="E1552" s="511"/>
      <c r="F1552" s="508" t="e">
        <f>SUM(F1553:F1560)</f>
        <v>#REF!</v>
      </c>
      <c r="G1552" s="506"/>
    </row>
    <row r="1553" s="492" customFormat="1" customHeight="1" spans="1:7">
      <c r="A1553" s="502"/>
      <c r="B1553" s="517" t="s">
        <v>61</v>
      </c>
      <c r="C1553" s="502" t="s">
        <v>62</v>
      </c>
      <c r="D1553" s="540">
        <f>1.2*D1552*27*0.3</f>
        <v>2449.44</v>
      </c>
      <c r="E1553" s="511" t="e">
        <f t="shared" ref="E1553:E1560" si="125">E1544</f>
        <v>#REF!</v>
      </c>
      <c r="F1553" s="510" t="e">
        <f t="shared" ref="F1553:F1560" si="126">D1553*E1553</f>
        <v>#REF!</v>
      </c>
      <c r="G1553" s="502" t="s">
        <v>643</v>
      </c>
    </row>
    <row r="1554" s="492" customFormat="1" ht="40.15" customHeight="1" spans="1:7">
      <c r="A1554" s="502"/>
      <c r="B1554" s="517" t="s">
        <v>644</v>
      </c>
      <c r="C1554" s="502" t="s">
        <v>62</v>
      </c>
      <c r="D1554" s="540">
        <f>1.2*D1552*17*0.7</f>
        <v>3598.56</v>
      </c>
      <c r="E1554" s="511">
        <f t="shared" si="125"/>
        <v>15.5634951407938</v>
      </c>
      <c r="F1554" s="510">
        <f t="shared" si="126"/>
        <v>56006.1710738548</v>
      </c>
      <c r="G1554" s="502" t="s">
        <v>645</v>
      </c>
    </row>
    <row r="1555" s="492" customFormat="1" customHeight="1" spans="1:7">
      <c r="A1555" s="502"/>
      <c r="B1555" s="517" t="str">
        <f>B1546</f>
        <v>土方开挖及拉运（500m）</v>
      </c>
      <c r="C1555" s="502" t="s">
        <v>62</v>
      </c>
      <c r="D1555" s="540">
        <f>D1554-D1553</f>
        <v>1149.12</v>
      </c>
      <c r="E1555" s="511" t="e">
        <f t="shared" si="125"/>
        <v>#REF!</v>
      </c>
      <c r="F1555" s="510" t="e">
        <f t="shared" si="126"/>
        <v>#REF!</v>
      </c>
      <c r="G1555" s="502" t="s">
        <v>647</v>
      </c>
    </row>
    <row r="1556" s="492" customFormat="1" customHeight="1" spans="1:7">
      <c r="A1556" s="502"/>
      <c r="B1556" s="517" t="s">
        <v>659</v>
      </c>
      <c r="C1556" s="502" t="s">
        <v>531</v>
      </c>
      <c r="D1556" s="542">
        <f>1.2*5*2.23*D1552*1.2</f>
        <v>4046.112</v>
      </c>
      <c r="E1556" s="511">
        <f t="shared" si="125"/>
        <v>150</v>
      </c>
      <c r="F1556" s="510">
        <f t="shared" si="126"/>
        <v>606916.8</v>
      </c>
      <c r="G1556" s="502" t="s">
        <v>649</v>
      </c>
    </row>
    <row r="1557" s="492" customFormat="1" customHeight="1" spans="1:7">
      <c r="A1557" s="502"/>
      <c r="B1557" s="517" t="s">
        <v>560</v>
      </c>
      <c r="C1557" s="502" t="s">
        <v>62</v>
      </c>
      <c r="D1557" s="540">
        <f>1.2*3*0.5*D1552</f>
        <v>453.6</v>
      </c>
      <c r="E1557" s="511" t="e">
        <f t="shared" si="125"/>
        <v>#REF!</v>
      </c>
      <c r="F1557" s="510" t="e">
        <f t="shared" si="126"/>
        <v>#REF!</v>
      </c>
      <c r="G1557" s="502" t="s">
        <v>650</v>
      </c>
    </row>
    <row r="1558" s="492" customFormat="1" customHeight="1" spans="1:7">
      <c r="A1558" s="502"/>
      <c r="B1558" s="517" t="s">
        <v>561</v>
      </c>
      <c r="C1558" s="502" t="s">
        <v>62</v>
      </c>
      <c r="D1558" s="540">
        <f>1.2*3.5*0.5*D1552</f>
        <v>529.2</v>
      </c>
      <c r="E1558" s="511" t="e">
        <f t="shared" si="125"/>
        <v>#REF!</v>
      </c>
      <c r="F1558" s="510" t="e">
        <f t="shared" si="126"/>
        <v>#REF!</v>
      </c>
      <c r="G1558" s="502" t="s">
        <v>650</v>
      </c>
    </row>
    <row r="1559" customHeight="1" spans="1:7">
      <c r="A1559" s="502"/>
      <c r="B1559" s="517" t="s">
        <v>651</v>
      </c>
      <c r="C1559" s="502" t="s">
        <v>531</v>
      </c>
      <c r="D1559" s="540">
        <f>1.2*(5*2.23+5+2)*D1552</f>
        <v>5488.56</v>
      </c>
      <c r="E1559" s="511" t="e">
        <f t="shared" si="125"/>
        <v>#REF!</v>
      </c>
      <c r="F1559" s="510" t="e">
        <f t="shared" si="126"/>
        <v>#REF!</v>
      </c>
      <c r="G1559" s="502" t="s">
        <v>652</v>
      </c>
    </row>
    <row r="1560" customHeight="1" spans="1:7">
      <c r="A1560" s="502"/>
      <c r="B1560" s="517" t="s">
        <v>563</v>
      </c>
      <c r="C1560" s="502" t="s">
        <v>62</v>
      </c>
      <c r="D1560" s="540">
        <f>1.2*0.2*0.5*D1552</f>
        <v>30.24</v>
      </c>
      <c r="E1560" s="511" t="e">
        <f t="shared" si="125"/>
        <v>#REF!</v>
      </c>
      <c r="F1560" s="510" t="e">
        <f t="shared" si="126"/>
        <v>#REF!</v>
      </c>
      <c r="G1560" s="502"/>
    </row>
    <row r="1561" s="492" customFormat="1" customHeight="1" spans="1:7">
      <c r="A1561" s="506">
        <v>49</v>
      </c>
      <c r="B1561" s="507" t="s">
        <v>701</v>
      </c>
      <c r="C1561" s="506" t="s">
        <v>90</v>
      </c>
      <c r="D1561" s="506">
        <f>2*148</f>
        <v>296</v>
      </c>
      <c r="E1561" s="511"/>
      <c r="F1561" s="508" t="e">
        <f>SUM(F1562:F1569)</f>
        <v>#REF!</v>
      </c>
      <c r="G1561" s="506"/>
    </row>
    <row r="1562" s="492" customFormat="1" customHeight="1" spans="1:7">
      <c r="A1562" s="502"/>
      <c r="B1562" s="517" t="s">
        <v>61</v>
      </c>
      <c r="C1562" s="502" t="s">
        <v>62</v>
      </c>
      <c r="D1562" s="540">
        <f>1.2*D1561*27*0.3</f>
        <v>2877.12</v>
      </c>
      <c r="E1562" s="511" t="e">
        <f t="shared" ref="E1562:E1569" si="127">E1553</f>
        <v>#REF!</v>
      </c>
      <c r="F1562" s="510" t="e">
        <f t="shared" ref="F1562:F1569" si="128">D1562*E1562</f>
        <v>#REF!</v>
      </c>
      <c r="G1562" s="502" t="s">
        <v>643</v>
      </c>
    </row>
    <row r="1563" s="492" customFormat="1" ht="45" customHeight="1" spans="1:7">
      <c r="A1563" s="502"/>
      <c r="B1563" s="517" t="s">
        <v>644</v>
      </c>
      <c r="C1563" s="502" t="s">
        <v>62</v>
      </c>
      <c r="D1563" s="540">
        <f>1.2*D1561*17*0.7</f>
        <v>4226.88</v>
      </c>
      <c r="E1563" s="511">
        <f t="shared" si="127"/>
        <v>15.5634951407938</v>
      </c>
      <c r="F1563" s="510">
        <f t="shared" si="128"/>
        <v>65785.0263407184</v>
      </c>
      <c r="G1563" s="502" t="s">
        <v>645</v>
      </c>
    </row>
    <row r="1564" s="492" customFormat="1" customHeight="1" spans="1:7">
      <c r="A1564" s="502"/>
      <c r="B1564" s="517" t="str">
        <f>B1555</f>
        <v>土方开挖及拉运（500m）</v>
      </c>
      <c r="C1564" s="502" t="s">
        <v>62</v>
      </c>
      <c r="D1564" s="540">
        <f>D1563-D1562</f>
        <v>1349.76</v>
      </c>
      <c r="E1564" s="511" t="e">
        <f t="shared" si="127"/>
        <v>#REF!</v>
      </c>
      <c r="F1564" s="510" t="e">
        <f t="shared" si="128"/>
        <v>#REF!</v>
      </c>
      <c r="G1564" s="502" t="s">
        <v>647</v>
      </c>
    </row>
    <row r="1565" s="492" customFormat="1" customHeight="1" spans="1:7">
      <c r="A1565" s="502"/>
      <c r="B1565" s="517" t="s">
        <v>659</v>
      </c>
      <c r="C1565" s="502" t="s">
        <v>531</v>
      </c>
      <c r="D1565" s="542">
        <f>1.2*5*2.23*D1561*1.2</f>
        <v>4752.576</v>
      </c>
      <c r="E1565" s="511">
        <f t="shared" si="127"/>
        <v>150</v>
      </c>
      <c r="F1565" s="510">
        <f t="shared" si="128"/>
        <v>712886.4</v>
      </c>
      <c r="G1565" s="502" t="s">
        <v>649</v>
      </c>
    </row>
    <row r="1566" s="492" customFormat="1" customHeight="1" spans="1:7">
      <c r="A1566" s="502"/>
      <c r="B1566" s="517" t="s">
        <v>560</v>
      </c>
      <c r="C1566" s="502" t="s">
        <v>62</v>
      </c>
      <c r="D1566" s="540">
        <f>1.2*3*0.5*D1561</f>
        <v>532.8</v>
      </c>
      <c r="E1566" s="511" t="e">
        <f t="shared" si="127"/>
        <v>#REF!</v>
      </c>
      <c r="F1566" s="510" t="e">
        <f t="shared" si="128"/>
        <v>#REF!</v>
      </c>
      <c r="G1566" s="502" t="s">
        <v>650</v>
      </c>
    </row>
    <row r="1567" s="492" customFormat="1" customHeight="1" spans="1:7">
      <c r="A1567" s="502"/>
      <c r="B1567" s="517" t="s">
        <v>561</v>
      </c>
      <c r="C1567" s="502" t="s">
        <v>62</v>
      </c>
      <c r="D1567" s="540">
        <f>1.2*3.5*0.5*D1561</f>
        <v>621.6</v>
      </c>
      <c r="E1567" s="511" t="e">
        <f t="shared" si="127"/>
        <v>#REF!</v>
      </c>
      <c r="F1567" s="510" t="e">
        <f t="shared" si="128"/>
        <v>#REF!</v>
      </c>
      <c r="G1567" s="502" t="s">
        <v>650</v>
      </c>
    </row>
    <row r="1568" customHeight="1" spans="1:7">
      <c r="A1568" s="502"/>
      <c r="B1568" s="517" t="s">
        <v>651</v>
      </c>
      <c r="C1568" s="502" t="s">
        <v>531</v>
      </c>
      <c r="D1568" s="540">
        <f>1.2*(5*2.23+5+2)*D1561</f>
        <v>6446.88</v>
      </c>
      <c r="E1568" s="511" t="e">
        <f t="shared" si="127"/>
        <v>#REF!</v>
      </c>
      <c r="F1568" s="510" t="e">
        <f t="shared" si="128"/>
        <v>#REF!</v>
      </c>
      <c r="G1568" s="502" t="s">
        <v>652</v>
      </c>
    </row>
    <row r="1569" customHeight="1" spans="1:7">
      <c r="A1569" s="502"/>
      <c r="B1569" s="517" t="s">
        <v>563</v>
      </c>
      <c r="C1569" s="502" t="s">
        <v>62</v>
      </c>
      <c r="D1569" s="540">
        <f>1.2*0.2*0.5*D1561</f>
        <v>35.52</v>
      </c>
      <c r="E1569" s="511" t="e">
        <f t="shared" si="127"/>
        <v>#REF!</v>
      </c>
      <c r="F1569" s="510" t="e">
        <f t="shared" si="128"/>
        <v>#REF!</v>
      </c>
      <c r="G1569" s="502"/>
    </row>
    <row r="1570" s="492" customFormat="1" customHeight="1" spans="1:7">
      <c r="A1570" s="506">
        <v>50</v>
      </c>
      <c r="B1570" s="507" t="s">
        <v>702</v>
      </c>
      <c r="C1570" s="506" t="s">
        <v>90</v>
      </c>
      <c r="D1570" s="506">
        <f>2*202</f>
        <v>404</v>
      </c>
      <c r="E1570" s="511"/>
      <c r="F1570" s="508" t="e">
        <f>SUM(F1571:F1578)</f>
        <v>#REF!</v>
      </c>
      <c r="G1570" s="506"/>
    </row>
    <row r="1571" s="492" customFormat="1" customHeight="1" spans="1:7">
      <c r="A1571" s="502"/>
      <c r="B1571" s="517" t="s">
        <v>61</v>
      </c>
      <c r="C1571" s="502" t="s">
        <v>62</v>
      </c>
      <c r="D1571" s="540">
        <f>1.2*D1570*27*0.3</f>
        <v>3926.88</v>
      </c>
      <c r="E1571" s="511" t="e">
        <f t="shared" ref="E1571:E1578" si="129">E1562</f>
        <v>#REF!</v>
      </c>
      <c r="F1571" s="510" t="e">
        <f t="shared" ref="F1571:F1578" si="130">D1571*E1571</f>
        <v>#REF!</v>
      </c>
      <c r="G1571" s="502" t="s">
        <v>643</v>
      </c>
    </row>
    <row r="1572" s="492" customFormat="1" ht="42" customHeight="1" spans="1:7">
      <c r="A1572" s="502"/>
      <c r="B1572" s="517" t="s">
        <v>644</v>
      </c>
      <c r="C1572" s="502" t="s">
        <v>62</v>
      </c>
      <c r="D1572" s="540">
        <f>1.2*D1570*17*0.7</f>
        <v>5769.12</v>
      </c>
      <c r="E1572" s="511">
        <f t="shared" si="129"/>
        <v>15.5634951407938</v>
      </c>
      <c r="F1572" s="510">
        <f t="shared" si="130"/>
        <v>89787.6710866562</v>
      </c>
      <c r="G1572" s="502" t="s">
        <v>645</v>
      </c>
    </row>
    <row r="1573" s="492" customFormat="1" customHeight="1" spans="1:7">
      <c r="A1573" s="502"/>
      <c r="B1573" s="517" t="str">
        <f>B1564</f>
        <v>土方开挖及拉运（500m）</v>
      </c>
      <c r="C1573" s="502" t="s">
        <v>62</v>
      </c>
      <c r="D1573" s="540">
        <f>D1572-D1571</f>
        <v>1842.24</v>
      </c>
      <c r="E1573" s="511" t="e">
        <f t="shared" si="129"/>
        <v>#REF!</v>
      </c>
      <c r="F1573" s="510" t="e">
        <f t="shared" si="130"/>
        <v>#REF!</v>
      </c>
      <c r="G1573" s="502" t="s">
        <v>647</v>
      </c>
    </row>
    <row r="1574" s="492" customFormat="1" customHeight="1" spans="1:7">
      <c r="A1574" s="502"/>
      <c r="B1574" s="517" t="s">
        <v>659</v>
      </c>
      <c r="C1574" s="502" t="s">
        <v>531</v>
      </c>
      <c r="D1574" s="542">
        <f>1.2*5*2.23*D1570*1.2</f>
        <v>6486.624</v>
      </c>
      <c r="E1574" s="511">
        <f t="shared" si="129"/>
        <v>150</v>
      </c>
      <c r="F1574" s="510">
        <f t="shared" si="130"/>
        <v>972993.6</v>
      </c>
      <c r="G1574" s="502" t="s">
        <v>649</v>
      </c>
    </row>
    <row r="1575" s="492" customFormat="1" customHeight="1" spans="1:7">
      <c r="A1575" s="502"/>
      <c r="B1575" s="517" t="s">
        <v>560</v>
      </c>
      <c r="C1575" s="502" t="s">
        <v>62</v>
      </c>
      <c r="D1575" s="540">
        <f>1.2*3*0.5*D1570</f>
        <v>727.2</v>
      </c>
      <c r="E1575" s="511" t="e">
        <f t="shared" si="129"/>
        <v>#REF!</v>
      </c>
      <c r="F1575" s="510" t="e">
        <f t="shared" si="130"/>
        <v>#REF!</v>
      </c>
      <c r="G1575" s="502" t="s">
        <v>650</v>
      </c>
    </row>
    <row r="1576" s="492" customFormat="1" customHeight="1" spans="1:7">
      <c r="A1576" s="502"/>
      <c r="B1576" s="517" t="s">
        <v>561</v>
      </c>
      <c r="C1576" s="502" t="s">
        <v>62</v>
      </c>
      <c r="D1576" s="540">
        <f>1.2*3.5*0.5*D1570</f>
        <v>848.4</v>
      </c>
      <c r="E1576" s="511" t="e">
        <f t="shared" si="129"/>
        <v>#REF!</v>
      </c>
      <c r="F1576" s="510" t="e">
        <f t="shared" si="130"/>
        <v>#REF!</v>
      </c>
      <c r="G1576" s="502" t="s">
        <v>650</v>
      </c>
    </row>
    <row r="1577" customHeight="1" spans="1:7">
      <c r="A1577" s="502"/>
      <c r="B1577" s="517" t="s">
        <v>651</v>
      </c>
      <c r="C1577" s="502" t="s">
        <v>531</v>
      </c>
      <c r="D1577" s="540">
        <f>1.2*(5*2.23+5+2)*D1570</f>
        <v>8799.12</v>
      </c>
      <c r="E1577" s="511" t="e">
        <f t="shared" si="129"/>
        <v>#REF!</v>
      </c>
      <c r="F1577" s="510" t="e">
        <f t="shared" si="130"/>
        <v>#REF!</v>
      </c>
      <c r="G1577" s="502" t="s">
        <v>652</v>
      </c>
    </row>
    <row r="1578" customHeight="1" spans="1:7">
      <c r="A1578" s="502"/>
      <c r="B1578" s="517" t="s">
        <v>563</v>
      </c>
      <c r="C1578" s="502" t="s">
        <v>62</v>
      </c>
      <c r="D1578" s="540">
        <f>1.2*0.2*0.5*D1570</f>
        <v>48.48</v>
      </c>
      <c r="E1578" s="511" t="e">
        <f t="shared" si="129"/>
        <v>#REF!</v>
      </c>
      <c r="F1578" s="510" t="e">
        <f t="shared" si="130"/>
        <v>#REF!</v>
      </c>
      <c r="G1578" s="502"/>
    </row>
    <row r="1579" s="492" customFormat="1" customHeight="1" spans="1:7">
      <c r="A1579" s="506">
        <v>51</v>
      </c>
      <c r="B1579" s="507" t="s">
        <v>703</v>
      </c>
      <c r="C1579" s="506" t="s">
        <v>90</v>
      </c>
      <c r="D1579" s="506">
        <f>2*204</f>
        <v>408</v>
      </c>
      <c r="E1579" s="511"/>
      <c r="F1579" s="508" t="e">
        <f>SUM(F1580:F1587)</f>
        <v>#REF!</v>
      </c>
      <c r="G1579" s="506"/>
    </row>
    <row r="1580" s="492" customFormat="1" customHeight="1" spans="1:7">
      <c r="A1580" s="502"/>
      <c r="B1580" s="517" t="s">
        <v>61</v>
      </c>
      <c r="C1580" s="502" t="s">
        <v>62</v>
      </c>
      <c r="D1580" s="540">
        <f>1.2*D1579*27*0.3</f>
        <v>3965.76</v>
      </c>
      <c r="E1580" s="511" t="e">
        <f t="shared" ref="E1580:E1587" si="131">E1571</f>
        <v>#REF!</v>
      </c>
      <c r="F1580" s="510" t="e">
        <f t="shared" ref="F1580:F1587" si="132">D1580*E1580</f>
        <v>#REF!</v>
      </c>
      <c r="G1580" s="502" t="s">
        <v>643</v>
      </c>
    </row>
    <row r="1581" s="492" customFormat="1" ht="43.15" customHeight="1" spans="1:7">
      <c r="A1581" s="502"/>
      <c r="B1581" s="517" t="s">
        <v>644</v>
      </c>
      <c r="C1581" s="502" t="s">
        <v>62</v>
      </c>
      <c r="D1581" s="540">
        <f>1.2*D1579*17*0.7</f>
        <v>5826.24</v>
      </c>
      <c r="E1581" s="511">
        <f t="shared" si="131"/>
        <v>15.5634951407938</v>
      </c>
      <c r="F1581" s="510">
        <f t="shared" si="132"/>
        <v>90676.6579290983</v>
      </c>
      <c r="G1581" s="502" t="s">
        <v>645</v>
      </c>
    </row>
    <row r="1582" s="492" customFormat="1" customHeight="1" spans="1:7">
      <c r="A1582" s="502"/>
      <c r="B1582" s="517" t="str">
        <f>B1573</f>
        <v>土方开挖及拉运（500m）</v>
      </c>
      <c r="C1582" s="502" t="s">
        <v>62</v>
      </c>
      <c r="D1582" s="540">
        <f>D1581-D1580</f>
        <v>1860.48</v>
      </c>
      <c r="E1582" s="511" t="e">
        <f t="shared" si="131"/>
        <v>#REF!</v>
      </c>
      <c r="F1582" s="510" t="e">
        <f t="shared" si="132"/>
        <v>#REF!</v>
      </c>
      <c r="G1582" s="502" t="s">
        <v>647</v>
      </c>
    </row>
    <row r="1583" s="492" customFormat="1" customHeight="1" spans="1:7">
      <c r="A1583" s="502"/>
      <c r="B1583" s="517" t="s">
        <v>659</v>
      </c>
      <c r="C1583" s="502" t="s">
        <v>531</v>
      </c>
      <c r="D1583" s="542">
        <f>1.2*5*2.23*D1579*1.2</f>
        <v>6550.848</v>
      </c>
      <c r="E1583" s="511">
        <f t="shared" si="131"/>
        <v>150</v>
      </c>
      <c r="F1583" s="510">
        <f t="shared" si="132"/>
        <v>982627.2</v>
      </c>
      <c r="G1583" s="502" t="s">
        <v>649</v>
      </c>
    </row>
    <row r="1584" s="492" customFormat="1" customHeight="1" spans="1:7">
      <c r="A1584" s="502"/>
      <c r="B1584" s="517" t="s">
        <v>560</v>
      </c>
      <c r="C1584" s="502" t="s">
        <v>62</v>
      </c>
      <c r="D1584" s="540">
        <f>1.2*3*0.5*D1579</f>
        <v>734.4</v>
      </c>
      <c r="E1584" s="511" t="e">
        <f t="shared" si="131"/>
        <v>#REF!</v>
      </c>
      <c r="F1584" s="510" t="e">
        <f t="shared" si="132"/>
        <v>#REF!</v>
      </c>
      <c r="G1584" s="502" t="s">
        <v>650</v>
      </c>
    </row>
    <row r="1585" s="492" customFormat="1" customHeight="1" spans="1:7">
      <c r="A1585" s="502"/>
      <c r="B1585" s="517" t="s">
        <v>561</v>
      </c>
      <c r="C1585" s="502" t="s">
        <v>62</v>
      </c>
      <c r="D1585" s="540">
        <f>1.2*3.5*0.5*D1579</f>
        <v>856.8</v>
      </c>
      <c r="E1585" s="511" t="e">
        <f t="shared" si="131"/>
        <v>#REF!</v>
      </c>
      <c r="F1585" s="510" t="e">
        <f t="shared" si="132"/>
        <v>#REF!</v>
      </c>
      <c r="G1585" s="502" t="s">
        <v>650</v>
      </c>
    </row>
    <row r="1586" customHeight="1" spans="1:7">
      <c r="A1586" s="502"/>
      <c r="B1586" s="517" t="s">
        <v>651</v>
      </c>
      <c r="C1586" s="502" t="s">
        <v>531</v>
      </c>
      <c r="D1586" s="540">
        <f>1.2*(5*2.23+5+2)*D1579</f>
        <v>8886.24</v>
      </c>
      <c r="E1586" s="511" t="e">
        <f t="shared" si="131"/>
        <v>#REF!</v>
      </c>
      <c r="F1586" s="510" t="e">
        <f t="shared" si="132"/>
        <v>#REF!</v>
      </c>
      <c r="G1586" s="502" t="s">
        <v>652</v>
      </c>
    </row>
    <row r="1587" customHeight="1" spans="1:7">
      <c r="A1587" s="502"/>
      <c r="B1587" s="517" t="s">
        <v>563</v>
      </c>
      <c r="C1587" s="502" t="s">
        <v>62</v>
      </c>
      <c r="D1587" s="540">
        <f>1.2*0.2*0.5*D1579</f>
        <v>48.96</v>
      </c>
      <c r="E1587" s="511" t="e">
        <f t="shared" si="131"/>
        <v>#REF!</v>
      </c>
      <c r="F1587" s="510" t="e">
        <f t="shared" si="132"/>
        <v>#REF!</v>
      </c>
      <c r="G1587" s="502"/>
    </row>
    <row r="1588" s="492" customFormat="1" customHeight="1" spans="1:7">
      <c r="A1588" s="506">
        <v>52</v>
      </c>
      <c r="B1588" s="507" t="s">
        <v>704</v>
      </c>
      <c r="C1588" s="506" t="s">
        <v>90</v>
      </c>
      <c r="D1588" s="506">
        <f>2*257</f>
        <v>514</v>
      </c>
      <c r="E1588" s="511"/>
      <c r="F1588" s="508" t="e">
        <f>SUM(F1589:F1596)</f>
        <v>#REF!</v>
      </c>
      <c r="G1588" s="506"/>
    </row>
    <row r="1589" s="492" customFormat="1" customHeight="1" spans="1:7">
      <c r="A1589" s="502"/>
      <c r="B1589" s="517" t="s">
        <v>61</v>
      </c>
      <c r="C1589" s="502" t="s">
        <v>62</v>
      </c>
      <c r="D1589" s="540">
        <f>1.2*D1588*27*0.3</f>
        <v>4996.08</v>
      </c>
      <c r="E1589" s="511" t="e">
        <f t="shared" ref="E1589:E1596" si="133">E1580</f>
        <v>#REF!</v>
      </c>
      <c r="F1589" s="510" t="e">
        <f t="shared" ref="F1589:F1596" si="134">D1589*E1589</f>
        <v>#REF!</v>
      </c>
      <c r="G1589" s="502" t="s">
        <v>643</v>
      </c>
    </row>
    <row r="1590" s="492" customFormat="1" ht="40.15" customHeight="1" spans="1:7">
      <c r="A1590" s="502"/>
      <c r="B1590" s="517" t="s">
        <v>644</v>
      </c>
      <c r="C1590" s="502" t="s">
        <v>62</v>
      </c>
      <c r="D1590" s="540">
        <f>1.2*D1588*17*0.7</f>
        <v>7339.92</v>
      </c>
      <c r="E1590" s="511">
        <f t="shared" si="133"/>
        <v>15.5634951407938</v>
      </c>
      <c r="F1590" s="510">
        <f t="shared" si="134"/>
        <v>114234.809253815</v>
      </c>
      <c r="G1590" s="502" t="s">
        <v>645</v>
      </c>
    </row>
    <row r="1591" s="492" customFormat="1" customHeight="1" spans="1:7">
      <c r="A1591" s="502"/>
      <c r="B1591" s="517" t="str">
        <f>B1582</f>
        <v>土方开挖及拉运（500m）</v>
      </c>
      <c r="C1591" s="502" t="s">
        <v>62</v>
      </c>
      <c r="D1591" s="540">
        <f>D1590-D1589</f>
        <v>2343.84</v>
      </c>
      <c r="E1591" s="511" t="e">
        <f t="shared" si="133"/>
        <v>#REF!</v>
      </c>
      <c r="F1591" s="510" t="e">
        <f t="shared" si="134"/>
        <v>#REF!</v>
      </c>
      <c r="G1591" s="502" t="s">
        <v>647</v>
      </c>
    </row>
    <row r="1592" s="492" customFormat="1" customHeight="1" spans="1:7">
      <c r="A1592" s="502"/>
      <c r="B1592" s="517" t="s">
        <v>648</v>
      </c>
      <c r="C1592" s="502" t="s">
        <v>62</v>
      </c>
      <c r="D1592" s="542">
        <f>1.2*6*2.23*0.3*D1588*1.2</f>
        <v>2971.00224</v>
      </c>
      <c r="E1592" s="511">
        <f t="shared" si="133"/>
        <v>150</v>
      </c>
      <c r="F1592" s="510">
        <f t="shared" si="134"/>
        <v>445650.336</v>
      </c>
      <c r="G1592" s="502" t="s">
        <v>649</v>
      </c>
    </row>
    <row r="1593" s="492" customFormat="1" customHeight="1" spans="1:7">
      <c r="A1593" s="502"/>
      <c r="B1593" s="517" t="s">
        <v>560</v>
      </c>
      <c r="C1593" s="502" t="s">
        <v>62</v>
      </c>
      <c r="D1593" s="540">
        <f>1.2*3*0.5*D1588</f>
        <v>925.2</v>
      </c>
      <c r="E1593" s="511" t="e">
        <f t="shared" si="133"/>
        <v>#REF!</v>
      </c>
      <c r="F1593" s="510" t="e">
        <f t="shared" si="134"/>
        <v>#REF!</v>
      </c>
      <c r="G1593" s="502" t="s">
        <v>650</v>
      </c>
    </row>
    <row r="1594" s="492" customFormat="1" customHeight="1" spans="1:7">
      <c r="A1594" s="502"/>
      <c r="B1594" s="517" t="s">
        <v>561</v>
      </c>
      <c r="C1594" s="502" t="s">
        <v>62</v>
      </c>
      <c r="D1594" s="540">
        <f>1.2*3.5*0.5*D1588</f>
        <v>1079.4</v>
      </c>
      <c r="E1594" s="511" t="e">
        <f t="shared" si="133"/>
        <v>#REF!</v>
      </c>
      <c r="F1594" s="510" t="e">
        <f t="shared" si="134"/>
        <v>#REF!</v>
      </c>
      <c r="G1594" s="502" t="s">
        <v>650</v>
      </c>
    </row>
    <row r="1595" customHeight="1" spans="1:7">
      <c r="A1595" s="502"/>
      <c r="B1595" s="517" t="s">
        <v>651</v>
      </c>
      <c r="C1595" s="502" t="s">
        <v>531</v>
      </c>
      <c r="D1595" s="540">
        <f>1.2*(6*2.23+5+2)*D1588</f>
        <v>12570.384</v>
      </c>
      <c r="E1595" s="511" t="e">
        <f t="shared" si="133"/>
        <v>#REF!</v>
      </c>
      <c r="F1595" s="510" t="e">
        <f t="shared" si="134"/>
        <v>#REF!</v>
      </c>
      <c r="G1595" s="502" t="s">
        <v>652</v>
      </c>
    </row>
    <row r="1596" customHeight="1" spans="1:7">
      <c r="A1596" s="502"/>
      <c r="B1596" s="517" t="s">
        <v>563</v>
      </c>
      <c r="C1596" s="502" t="s">
        <v>62</v>
      </c>
      <c r="D1596" s="540">
        <f>1.2*0.2*0.5*D1588</f>
        <v>61.68</v>
      </c>
      <c r="E1596" s="511" t="e">
        <f t="shared" si="133"/>
        <v>#REF!</v>
      </c>
      <c r="F1596" s="510" t="e">
        <f t="shared" si="134"/>
        <v>#REF!</v>
      </c>
      <c r="G1596" s="502"/>
    </row>
    <row r="1597" s="492" customFormat="1" customHeight="1" spans="1:7">
      <c r="A1597" s="506">
        <v>53</v>
      </c>
      <c r="B1597" s="507" t="s">
        <v>705</v>
      </c>
      <c r="C1597" s="506" t="s">
        <v>90</v>
      </c>
      <c r="D1597" s="506">
        <f>2*240</f>
        <v>480</v>
      </c>
      <c r="E1597" s="511"/>
      <c r="F1597" s="508" t="e">
        <f>SUM(F1598:F1605)</f>
        <v>#REF!</v>
      </c>
      <c r="G1597" s="506"/>
    </row>
    <row r="1598" s="492" customFormat="1" customHeight="1" spans="1:7">
      <c r="A1598" s="502"/>
      <c r="B1598" s="517" t="s">
        <v>61</v>
      </c>
      <c r="C1598" s="502" t="s">
        <v>62</v>
      </c>
      <c r="D1598" s="540">
        <f>1.2*D1597*27*0.3</f>
        <v>4665.6</v>
      </c>
      <c r="E1598" s="511" t="e">
        <f t="shared" ref="E1598:E1605" si="135">E1589</f>
        <v>#REF!</v>
      </c>
      <c r="F1598" s="510" t="e">
        <f t="shared" ref="F1598:F1605" si="136">D1598*E1598</f>
        <v>#REF!</v>
      </c>
      <c r="G1598" s="502" t="s">
        <v>643</v>
      </c>
    </row>
    <row r="1599" s="492" customFormat="1" ht="37.15" customHeight="1" spans="1:7">
      <c r="A1599" s="502"/>
      <c r="B1599" s="517" t="s">
        <v>644</v>
      </c>
      <c r="C1599" s="502" t="s">
        <v>62</v>
      </c>
      <c r="D1599" s="540">
        <f>1.2*D1597*17*0.7</f>
        <v>6854.4</v>
      </c>
      <c r="E1599" s="511">
        <f t="shared" si="135"/>
        <v>15.5634951407938</v>
      </c>
      <c r="F1599" s="510">
        <f t="shared" si="136"/>
        <v>106678.421093057</v>
      </c>
      <c r="G1599" s="502" t="s">
        <v>645</v>
      </c>
    </row>
    <row r="1600" s="492" customFormat="1" customHeight="1" spans="1:7">
      <c r="A1600" s="502"/>
      <c r="B1600" s="517" t="str">
        <f>B1591</f>
        <v>土方开挖及拉运（500m）</v>
      </c>
      <c r="C1600" s="502" t="s">
        <v>62</v>
      </c>
      <c r="D1600" s="540">
        <f>D1599-D1598</f>
        <v>2188.8</v>
      </c>
      <c r="E1600" s="511" t="e">
        <f t="shared" si="135"/>
        <v>#REF!</v>
      </c>
      <c r="F1600" s="510" t="e">
        <f t="shared" si="136"/>
        <v>#REF!</v>
      </c>
      <c r="G1600" s="502" t="s">
        <v>647</v>
      </c>
    </row>
    <row r="1601" s="492" customFormat="1" customHeight="1" spans="1:7">
      <c r="A1601" s="502"/>
      <c r="B1601" s="517" t="s">
        <v>648</v>
      </c>
      <c r="C1601" s="502" t="s">
        <v>62</v>
      </c>
      <c r="D1601" s="542">
        <f>1.2*6*2.23*0.3*D1597*1.2</f>
        <v>2774.4768</v>
      </c>
      <c r="E1601" s="511">
        <f t="shared" si="135"/>
        <v>150</v>
      </c>
      <c r="F1601" s="510">
        <f t="shared" si="136"/>
        <v>416171.52</v>
      </c>
      <c r="G1601" s="502" t="s">
        <v>649</v>
      </c>
    </row>
    <row r="1602" s="492" customFormat="1" customHeight="1" spans="1:7">
      <c r="A1602" s="502"/>
      <c r="B1602" s="517" t="s">
        <v>560</v>
      </c>
      <c r="C1602" s="502" t="s">
        <v>62</v>
      </c>
      <c r="D1602" s="540">
        <f>1.2*3*0.5*D1597</f>
        <v>864</v>
      </c>
      <c r="E1602" s="511" t="e">
        <f t="shared" si="135"/>
        <v>#REF!</v>
      </c>
      <c r="F1602" s="510" t="e">
        <f t="shared" si="136"/>
        <v>#REF!</v>
      </c>
      <c r="G1602" s="502" t="s">
        <v>650</v>
      </c>
    </row>
    <row r="1603" s="492" customFormat="1" customHeight="1" spans="1:7">
      <c r="A1603" s="502"/>
      <c r="B1603" s="517" t="s">
        <v>561</v>
      </c>
      <c r="C1603" s="502" t="s">
        <v>62</v>
      </c>
      <c r="D1603" s="540">
        <f>1.2*3.5*0.5*D1597</f>
        <v>1008</v>
      </c>
      <c r="E1603" s="511" t="e">
        <f t="shared" si="135"/>
        <v>#REF!</v>
      </c>
      <c r="F1603" s="510" t="e">
        <f t="shared" si="136"/>
        <v>#REF!</v>
      </c>
      <c r="G1603" s="502" t="s">
        <v>650</v>
      </c>
    </row>
    <row r="1604" customHeight="1" spans="1:7">
      <c r="A1604" s="502"/>
      <c r="B1604" s="517" t="s">
        <v>651</v>
      </c>
      <c r="C1604" s="502" t="s">
        <v>531</v>
      </c>
      <c r="D1604" s="540">
        <f>1.2*(6*2.23+5+2)*D1597</f>
        <v>11738.88</v>
      </c>
      <c r="E1604" s="511" t="e">
        <f t="shared" si="135"/>
        <v>#REF!</v>
      </c>
      <c r="F1604" s="510" t="e">
        <f t="shared" si="136"/>
        <v>#REF!</v>
      </c>
      <c r="G1604" s="502" t="s">
        <v>652</v>
      </c>
    </row>
    <row r="1605" customHeight="1" spans="1:7">
      <c r="A1605" s="502"/>
      <c r="B1605" s="517" t="s">
        <v>563</v>
      </c>
      <c r="C1605" s="502" t="s">
        <v>62</v>
      </c>
      <c r="D1605" s="540">
        <f>1.2*0.2*0.5*D1597</f>
        <v>57.6</v>
      </c>
      <c r="E1605" s="511" t="e">
        <f t="shared" si="135"/>
        <v>#REF!</v>
      </c>
      <c r="F1605" s="510" t="e">
        <f t="shared" si="136"/>
        <v>#REF!</v>
      </c>
      <c r="G1605" s="502"/>
    </row>
    <row r="1606" s="492" customFormat="1" customHeight="1" spans="1:7">
      <c r="A1606" s="506">
        <v>54</v>
      </c>
      <c r="B1606" s="507" t="s">
        <v>706</v>
      </c>
      <c r="C1606" s="506" t="s">
        <v>90</v>
      </c>
      <c r="D1606" s="506">
        <f>2*194</f>
        <v>388</v>
      </c>
      <c r="E1606" s="511"/>
      <c r="F1606" s="508" t="e">
        <f>SUM(F1607:F1614)</f>
        <v>#REF!</v>
      </c>
      <c r="G1606" s="506"/>
    </row>
    <row r="1607" s="492" customFormat="1" customHeight="1" spans="1:7">
      <c r="A1607" s="502"/>
      <c r="B1607" s="517" t="s">
        <v>61</v>
      </c>
      <c r="C1607" s="502" t="s">
        <v>62</v>
      </c>
      <c r="D1607" s="540">
        <f>1.2*D1606*27*0.3</f>
        <v>3771.36</v>
      </c>
      <c r="E1607" s="511" t="e">
        <f t="shared" ref="E1607:E1614" si="137">E1598</f>
        <v>#REF!</v>
      </c>
      <c r="F1607" s="510" t="e">
        <f t="shared" ref="F1607:F1614" si="138">D1607*E1607</f>
        <v>#REF!</v>
      </c>
      <c r="G1607" s="502" t="s">
        <v>643</v>
      </c>
    </row>
    <row r="1608" s="492" customFormat="1" ht="37.9" customHeight="1" spans="1:7">
      <c r="A1608" s="502"/>
      <c r="B1608" s="517" t="s">
        <v>644</v>
      </c>
      <c r="C1608" s="502" t="s">
        <v>62</v>
      </c>
      <c r="D1608" s="540">
        <f>1.2*D1606*17*0.7</f>
        <v>5540.64</v>
      </c>
      <c r="E1608" s="511">
        <f t="shared" si="137"/>
        <v>15.5634951407938</v>
      </c>
      <c r="F1608" s="510">
        <f t="shared" si="138"/>
        <v>86231.7237168876</v>
      </c>
      <c r="G1608" s="502" t="s">
        <v>645</v>
      </c>
    </row>
    <row r="1609" s="492" customFormat="1" customHeight="1" spans="1:7">
      <c r="A1609" s="502"/>
      <c r="B1609" s="517" t="str">
        <f>B1600</f>
        <v>土方开挖及拉运（500m）</v>
      </c>
      <c r="C1609" s="502" t="s">
        <v>62</v>
      </c>
      <c r="D1609" s="540">
        <f>D1608-D1607</f>
        <v>1769.28</v>
      </c>
      <c r="E1609" s="511" t="e">
        <f t="shared" si="137"/>
        <v>#REF!</v>
      </c>
      <c r="F1609" s="510" t="e">
        <f t="shared" si="138"/>
        <v>#REF!</v>
      </c>
      <c r="G1609" s="502" t="s">
        <v>647</v>
      </c>
    </row>
    <row r="1610" s="492" customFormat="1" customHeight="1" spans="1:7">
      <c r="A1610" s="502"/>
      <c r="B1610" s="517" t="s">
        <v>648</v>
      </c>
      <c r="C1610" s="502" t="s">
        <v>62</v>
      </c>
      <c r="D1610" s="542">
        <f>1.2*6*2.23*0.3*D1606*1.2</f>
        <v>2242.70208</v>
      </c>
      <c r="E1610" s="511">
        <f t="shared" si="137"/>
        <v>150</v>
      </c>
      <c r="F1610" s="510">
        <f t="shared" si="138"/>
        <v>336405.312</v>
      </c>
      <c r="G1610" s="502" t="s">
        <v>649</v>
      </c>
    </row>
    <row r="1611" s="492" customFormat="1" customHeight="1" spans="1:7">
      <c r="A1611" s="502"/>
      <c r="B1611" s="517" t="s">
        <v>560</v>
      </c>
      <c r="C1611" s="502" t="s">
        <v>62</v>
      </c>
      <c r="D1611" s="540">
        <f>1.2*3*0.5*D1606</f>
        <v>698.4</v>
      </c>
      <c r="E1611" s="511" t="e">
        <f t="shared" si="137"/>
        <v>#REF!</v>
      </c>
      <c r="F1611" s="510" t="e">
        <f t="shared" si="138"/>
        <v>#REF!</v>
      </c>
      <c r="G1611" s="502" t="s">
        <v>650</v>
      </c>
    </row>
    <row r="1612" s="492" customFormat="1" customHeight="1" spans="1:7">
      <c r="A1612" s="502"/>
      <c r="B1612" s="517" t="s">
        <v>561</v>
      </c>
      <c r="C1612" s="502" t="s">
        <v>62</v>
      </c>
      <c r="D1612" s="540">
        <f>1.2*3.5*0.5*D1606</f>
        <v>814.8</v>
      </c>
      <c r="E1612" s="511" t="e">
        <f t="shared" si="137"/>
        <v>#REF!</v>
      </c>
      <c r="F1612" s="510" t="e">
        <f t="shared" si="138"/>
        <v>#REF!</v>
      </c>
      <c r="G1612" s="502" t="s">
        <v>650</v>
      </c>
    </row>
    <row r="1613" customHeight="1" spans="1:7">
      <c r="A1613" s="502"/>
      <c r="B1613" s="517" t="s">
        <v>651</v>
      </c>
      <c r="C1613" s="502" t="s">
        <v>531</v>
      </c>
      <c r="D1613" s="540">
        <f>1.2*(6*2.23+5+2)*D1606</f>
        <v>9488.928</v>
      </c>
      <c r="E1613" s="511" t="e">
        <f t="shared" si="137"/>
        <v>#REF!</v>
      </c>
      <c r="F1613" s="510" t="e">
        <f t="shared" si="138"/>
        <v>#REF!</v>
      </c>
      <c r="G1613" s="502" t="s">
        <v>652</v>
      </c>
    </row>
    <row r="1614" customHeight="1" spans="1:7">
      <c r="A1614" s="502"/>
      <c r="B1614" s="517" t="s">
        <v>563</v>
      </c>
      <c r="C1614" s="502" t="s">
        <v>62</v>
      </c>
      <c r="D1614" s="540">
        <f>1.2*0.2*0.5*D1606</f>
        <v>46.56</v>
      </c>
      <c r="E1614" s="511" t="e">
        <f t="shared" si="137"/>
        <v>#REF!</v>
      </c>
      <c r="F1614" s="510" t="e">
        <f t="shared" si="138"/>
        <v>#REF!</v>
      </c>
      <c r="G1614" s="502"/>
    </row>
    <row r="1615" s="492" customFormat="1" customHeight="1" spans="1:7">
      <c r="A1615" s="506">
        <v>55</v>
      </c>
      <c r="B1615" s="507" t="s">
        <v>707</v>
      </c>
      <c r="C1615" s="506" t="s">
        <v>90</v>
      </c>
      <c r="D1615" s="506">
        <f>2*188</f>
        <v>376</v>
      </c>
      <c r="E1615" s="511"/>
      <c r="F1615" s="508" t="e">
        <f>SUM(F1616:F1623)</f>
        <v>#REF!</v>
      </c>
      <c r="G1615" s="506"/>
    </row>
    <row r="1616" s="492" customFormat="1" customHeight="1" spans="1:7">
      <c r="A1616" s="502"/>
      <c r="B1616" s="517" t="s">
        <v>61</v>
      </c>
      <c r="C1616" s="502" t="s">
        <v>62</v>
      </c>
      <c r="D1616" s="540">
        <f>1.2*D1615*27*0.3</f>
        <v>3654.72</v>
      </c>
      <c r="E1616" s="511" t="e">
        <f t="shared" ref="E1616:E1623" si="139">E1607</f>
        <v>#REF!</v>
      </c>
      <c r="F1616" s="510" t="e">
        <f t="shared" ref="F1616:F1623" si="140">D1616*E1616</f>
        <v>#REF!</v>
      </c>
      <c r="G1616" s="502" t="s">
        <v>643</v>
      </c>
    </row>
    <row r="1617" s="492" customFormat="1" ht="33" customHeight="1" spans="1:7">
      <c r="A1617" s="502"/>
      <c r="B1617" s="517" t="s">
        <v>644</v>
      </c>
      <c r="C1617" s="502" t="s">
        <v>62</v>
      </c>
      <c r="D1617" s="540">
        <f>1.2*D1615*17*0.7</f>
        <v>5369.28</v>
      </c>
      <c r="E1617" s="511">
        <f t="shared" si="139"/>
        <v>15.5634951407938</v>
      </c>
      <c r="F1617" s="510">
        <f t="shared" si="140"/>
        <v>83564.7631895612</v>
      </c>
      <c r="G1617" s="502" t="s">
        <v>645</v>
      </c>
    </row>
    <row r="1618" s="492" customFormat="1" customHeight="1" spans="1:7">
      <c r="A1618" s="502"/>
      <c r="B1618" s="517" t="str">
        <f>B1609</f>
        <v>土方开挖及拉运（500m）</v>
      </c>
      <c r="C1618" s="502" t="s">
        <v>62</v>
      </c>
      <c r="D1618" s="540">
        <f>D1617-D1616</f>
        <v>1714.56</v>
      </c>
      <c r="E1618" s="511" t="e">
        <f t="shared" si="139"/>
        <v>#REF!</v>
      </c>
      <c r="F1618" s="510" t="e">
        <f t="shared" si="140"/>
        <v>#REF!</v>
      </c>
      <c r="G1618" s="502" t="s">
        <v>647</v>
      </c>
    </row>
    <row r="1619" s="492" customFormat="1" customHeight="1" spans="1:7">
      <c r="A1619" s="502"/>
      <c r="B1619" s="517" t="s">
        <v>648</v>
      </c>
      <c r="C1619" s="502" t="s">
        <v>62</v>
      </c>
      <c r="D1619" s="542">
        <f>1.2*6*2.23*0.3*D1615*1.2</f>
        <v>2173.34016</v>
      </c>
      <c r="E1619" s="511">
        <f t="shared" si="139"/>
        <v>150</v>
      </c>
      <c r="F1619" s="510">
        <f t="shared" si="140"/>
        <v>326001.024</v>
      </c>
      <c r="G1619" s="502" t="s">
        <v>649</v>
      </c>
    </row>
    <row r="1620" s="492" customFormat="1" customHeight="1" spans="1:7">
      <c r="A1620" s="502"/>
      <c r="B1620" s="517" t="s">
        <v>560</v>
      </c>
      <c r="C1620" s="502" t="s">
        <v>62</v>
      </c>
      <c r="D1620" s="540">
        <f>1.2*3*0.5*D1615</f>
        <v>676.8</v>
      </c>
      <c r="E1620" s="511" t="e">
        <f t="shared" si="139"/>
        <v>#REF!</v>
      </c>
      <c r="F1620" s="510" t="e">
        <f t="shared" si="140"/>
        <v>#REF!</v>
      </c>
      <c r="G1620" s="502" t="s">
        <v>650</v>
      </c>
    </row>
    <row r="1621" s="492" customFormat="1" customHeight="1" spans="1:7">
      <c r="A1621" s="502"/>
      <c r="B1621" s="517" t="s">
        <v>561</v>
      </c>
      <c r="C1621" s="502" t="s">
        <v>62</v>
      </c>
      <c r="D1621" s="540">
        <f>1.2*3.5*0.5*D1615</f>
        <v>789.6</v>
      </c>
      <c r="E1621" s="511" t="e">
        <f t="shared" si="139"/>
        <v>#REF!</v>
      </c>
      <c r="F1621" s="510" t="e">
        <f t="shared" si="140"/>
        <v>#REF!</v>
      </c>
      <c r="G1621" s="502" t="s">
        <v>650</v>
      </c>
    </row>
    <row r="1622" customHeight="1" spans="1:7">
      <c r="A1622" s="502"/>
      <c r="B1622" s="517" t="s">
        <v>651</v>
      </c>
      <c r="C1622" s="502" t="s">
        <v>531</v>
      </c>
      <c r="D1622" s="540">
        <f>1.2*(6*2.23+5+2)*D1615</f>
        <v>9195.456</v>
      </c>
      <c r="E1622" s="511" t="e">
        <f t="shared" si="139"/>
        <v>#REF!</v>
      </c>
      <c r="F1622" s="510" t="e">
        <f t="shared" si="140"/>
        <v>#REF!</v>
      </c>
      <c r="G1622" s="502" t="s">
        <v>652</v>
      </c>
    </row>
    <row r="1623" customHeight="1" spans="1:7">
      <c r="A1623" s="502"/>
      <c r="B1623" s="517" t="s">
        <v>563</v>
      </c>
      <c r="C1623" s="502" t="s">
        <v>62</v>
      </c>
      <c r="D1623" s="540">
        <f>1.2*0.2*0.5*D1615</f>
        <v>45.12</v>
      </c>
      <c r="E1623" s="511" t="e">
        <f t="shared" si="139"/>
        <v>#REF!</v>
      </c>
      <c r="F1623" s="510" t="e">
        <f t="shared" si="140"/>
        <v>#REF!</v>
      </c>
      <c r="G1623" s="502"/>
    </row>
    <row r="1624" s="492" customFormat="1" customHeight="1" spans="1:7">
      <c r="A1624" s="506">
        <v>56</v>
      </c>
      <c r="B1624" s="507" t="s">
        <v>708</v>
      </c>
      <c r="C1624" s="506" t="s">
        <v>90</v>
      </c>
      <c r="D1624" s="506">
        <f>2*510</f>
        <v>1020</v>
      </c>
      <c r="E1624" s="511"/>
      <c r="F1624" s="508" t="e">
        <f>SUM(F1625:F1632)</f>
        <v>#REF!</v>
      </c>
      <c r="G1624" s="506"/>
    </row>
    <row r="1625" s="492" customFormat="1" customHeight="1" spans="1:7">
      <c r="A1625" s="502"/>
      <c r="B1625" s="517" t="s">
        <v>61</v>
      </c>
      <c r="C1625" s="502" t="s">
        <v>62</v>
      </c>
      <c r="D1625" s="540">
        <f>1.2*D1624*27*0.3</f>
        <v>9914.4</v>
      </c>
      <c r="E1625" s="511" t="e">
        <f t="shared" ref="E1625:E1632" si="141">E1616</f>
        <v>#REF!</v>
      </c>
      <c r="F1625" s="510" t="e">
        <f t="shared" ref="F1625:F1632" si="142">D1625*E1625</f>
        <v>#REF!</v>
      </c>
      <c r="G1625" s="502" t="s">
        <v>643</v>
      </c>
    </row>
    <row r="1626" s="492" customFormat="1" ht="33" customHeight="1" spans="1:7">
      <c r="A1626" s="502"/>
      <c r="B1626" s="517" t="s">
        <v>644</v>
      </c>
      <c r="C1626" s="502" t="s">
        <v>62</v>
      </c>
      <c r="D1626" s="540">
        <f>1.2*D1624*17*0.7</f>
        <v>14565.6</v>
      </c>
      <c r="E1626" s="511">
        <f t="shared" si="141"/>
        <v>15.5634951407938</v>
      </c>
      <c r="F1626" s="510">
        <f t="shared" si="142"/>
        <v>226691.644822746</v>
      </c>
      <c r="G1626" s="502" t="s">
        <v>645</v>
      </c>
    </row>
    <row r="1627" s="492" customFormat="1" customHeight="1" spans="1:7">
      <c r="A1627" s="502"/>
      <c r="B1627" s="517" t="str">
        <f>B1618</f>
        <v>土方开挖及拉运（500m）</v>
      </c>
      <c r="C1627" s="502" t="s">
        <v>62</v>
      </c>
      <c r="D1627" s="540">
        <f>D1626-D1625</f>
        <v>4651.2</v>
      </c>
      <c r="E1627" s="511" t="e">
        <f t="shared" si="141"/>
        <v>#REF!</v>
      </c>
      <c r="F1627" s="510" t="e">
        <f t="shared" si="142"/>
        <v>#REF!</v>
      </c>
      <c r="G1627" s="502" t="s">
        <v>647</v>
      </c>
    </row>
    <row r="1628" s="492" customFormat="1" customHeight="1" spans="1:7">
      <c r="A1628" s="502"/>
      <c r="B1628" s="517" t="s">
        <v>648</v>
      </c>
      <c r="C1628" s="502" t="s">
        <v>62</v>
      </c>
      <c r="D1628" s="542">
        <f>1.2*6*2.23*0.3*D1624*1.2</f>
        <v>5895.7632</v>
      </c>
      <c r="E1628" s="511">
        <f t="shared" si="141"/>
        <v>150</v>
      </c>
      <c r="F1628" s="510">
        <f t="shared" si="142"/>
        <v>884364.48</v>
      </c>
      <c r="G1628" s="502" t="s">
        <v>649</v>
      </c>
    </row>
    <row r="1629" s="492" customFormat="1" customHeight="1" spans="1:7">
      <c r="A1629" s="502"/>
      <c r="B1629" s="517" t="s">
        <v>560</v>
      </c>
      <c r="C1629" s="502" t="s">
        <v>62</v>
      </c>
      <c r="D1629" s="540">
        <f>1.2*3*0.5*D1624</f>
        <v>1836</v>
      </c>
      <c r="E1629" s="511" t="e">
        <f t="shared" si="141"/>
        <v>#REF!</v>
      </c>
      <c r="F1629" s="510" t="e">
        <f t="shared" si="142"/>
        <v>#REF!</v>
      </c>
      <c r="G1629" s="502" t="s">
        <v>650</v>
      </c>
    </row>
    <row r="1630" s="492" customFormat="1" customHeight="1" spans="1:7">
      <c r="A1630" s="502"/>
      <c r="B1630" s="517" t="s">
        <v>561</v>
      </c>
      <c r="C1630" s="502" t="s">
        <v>62</v>
      </c>
      <c r="D1630" s="540">
        <f>1.2*3.5*0.5*D1624</f>
        <v>2142</v>
      </c>
      <c r="E1630" s="511" t="e">
        <f t="shared" si="141"/>
        <v>#REF!</v>
      </c>
      <c r="F1630" s="510" t="e">
        <f t="shared" si="142"/>
        <v>#REF!</v>
      </c>
      <c r="G1630" s="502" t="s">
        <v>650</v>
      </c>
    </row>
    <row r="1631" customHeight="1" spans="1:7">
      <c r="A1631" s="502"/>
      <c r="B1631" s="517" t="s">
        <v>651</v>
      </c>
      <c r="C1631" s="502" t="s">
        <v>531</v>
      </c>
      <c r="D1631" s="540">
        <f>1.2*(6*2.23+5+2)*D1624</f>
        <v>24945.12</v>
      </c>
      <c r="E1631" s="511" t="e">
        <f t="shared" si="141"/>
        <v>#REF!</v>
      </c>
      <c r="F1631" s="510" t="e">
        <f t="shared" si="142"/>
        <v>#REF!</v>
      </c>
      <c r="G1631" s="502" t="s">
        <v>652</v>
      </c>
    </row>
    <row r="1632" customHeight="1" spans="1:7">
      <c r="A1632" s="502"/>
      <c r="B1632" s="517" t="s">
        <v>563</v>
      </c>
      <c r="C1632" s="502" t="s">
        <v>62</v>
      </c>
      <c r="D1632" s="540">
        <f>1.2*0.2*0.5*D1624</f>
        <v>122.4</v>
      </c>
      <c r="E1632" s="511" t="e">
        <f t="shared" si="141"/>
        <v>#REF!</v>
      </c>
      <c r="F1632" s="510" t="e">
        <f t="shared" si="142"/>
        <v>#REF!</v>
      </c>
      <c r="G1632" s="502"/>
    </row>
    <row r="1633" s="492" customFormat="1" customHeight="1" spans="1:7">
      <c r="A1633" s="506">
        <v>57</v>
      </c>
      <c r="B1633" s="507" t="s">
        <v>709</v>
      </c>
      <c r="C1633" s="506" t="s">
        <v>90</v>
      </c>
      <c r="D1633" s="506">
        <f>2*293</f>
        <v>586</v>
      </c>
      <c r="E1633" s="511"/>
      <c r="F1633" s="508" t="e">
        <f>SUM(F1634:F1641)</f>
        <v>#REF!</v>
      </c>
      <c r="G1633" s="506"/>
    </row>
    <row r="1634" s="492" customFormat="1" customHeight="1" spans="1:7">
      <c r="A1634" s="502"/>
      <c r="B1634" s="517" t="s">
        <v>61</v>
      </c>
      <c r="C1634" s="502" t="s">
        <v>62</v>
      </c>
      <c r="D1634" s="540">
        <f>1.2*D1633*27*0.3</f>
        <v>5695.92</v>
      </c>
      <c r="E1634" s="511" t="e">
        <f t="shared" ref="E1634:E1641" si="143">E1625</f>
        <v>#REF!</v>
      </c>
      <c r="F1634" s="510" t="e">
        <f t="shared" ref="F1634:F1641" si="144">D1634*E1634</f>
        <v>#REF!</v>
      </c>
      <c r="G1634" s="502" t="s">
        <v>643</v>
      </c>
    </row>
    <row r="1635" s="492" customFormat="1" ht="39" customHeight="1" spans="1:7">
      <c r="A1635" s="502"/>
      <c r="B1635" s="517" t="s">
        <v>644</v>
      </c>
      <c r="C1635" s="502" t="s">
        <v>62</v>
      </c>
      <c r="D1635" s="540">
        <f>1.2*D1633*17*0.7</f>
        <v>8368.08</v>
      </c>
      <c r="E1635" s="511">
        <f t="shared" si="143"/>
        <v>15.5634951407938</v>
      </c>
      <c r="F1635" s="510">
        <f t="shared" si="144"/>
        <v>130236.572417774</v>
      </c>
      <c r="G1635" s="502" t="s">
        <v>645</v>
      </c>
    </row>
    <row r="1636" s="492" customFormat="1" customHeight="1" spans="1:7">
      <c r="A1636" s="502"/>
      <c r="B1636" s="517" t="str">
        <f>B1627</f>
        <v>土方开挖及拉运（500m）</v>
      </c>
      <c r="C1636" s="502" t="s">
        <v>62</v>
      </c>
      <c r="D1636" s="540">
        <f>D1635-D1634</f>
        <v>2672.16</v>
      </c>
      <c r="E1636" s="511" t="e">
        <f t="shared" si="143"/>
        <v>#REF!</v>
      </c>
      <c r="F1636" s="510" t="e">
        <f t="shared" si="144"/>
        <v>#REF!</v>
      </c>
      <c r="G1636" s="502" t="s">
        <v>647</v>
      </c>
    </row>
    <row r="1637" s="492" customFormat="1" customHeight="1" spans="1:7">
      <c r="A1637" s="502"/>
      <c r="B1637" s="517" t="s">
        <v>648</v>
      </c>
      <c r="C1637" s="502" t="s">
        <v>62</v>
      </c>
      <c r="D1637" s="542">
        <f>1.2*6*2.23*0.3*D1633*1.2</f>
        <v>3387.17376</v>
      </c>
      <c r="E1637" s="511">
        <f t="shared" si="143"/>
        <v>150</v>
      </c>
      <c r="F1637" s="510">
        <f t="shared" si="144"/>
        <v>508076.064</v>
      </c>
      <c r="G1637" s="502" t="s">
        <v>649</v>
      </c>
    </row>
    <row r="1638" s="492" customFormat="1" customHeight="1" spans="1:7">
      <c r="A1638" s="502"/>
      <c r="B1638" s="517" t="s">
        <v>560</v>
      </c>
      <c r="C1638" s="502" t="s">
        <v>62</v>
      </c>
      <c r="D1638" s="540">
        <f>1.2*3*0.5*D1633</f>
        <v>1054.8</v>
      </c>
      <c r="E1638" s="511" t="e">
        <f t="shared" si="143"/>
        <v>#REF!</v>
      </c>
      <c r="F1638" s="510" t="e">
        <f t="shared" si="144"/>
        <v>#REF!</v>
      </c>
      <c r="G1638" s="502" t="s">
        <v>650</v>
      </c>
    </row>
    <row r="1639" s="492" customFormat="1" customHeight="1" spans="1:7">
      <c r="A1639" s="502"/>
      <c r="B1639" s="517" t="s">
        <v>561</v>
      </c>
      <c r="C1639" s="502" t="s">
        <v>62</v>
      </c>
      <c r="D1639" s="540">
        <f>1.2*3.5*0.5*D1633</f>
        <v>1230.6</v>
      </c>
      <c r="E1639" s="511" t="e">
        <f t="shared" si="143"/>
        <v>#REF!</v>
      </c>
      <c r="F1639" s="510" t="e">
        <f t="shared" si="144"/>
        <v>#REF!</v>
      </c>
      <c r="G1639" s="502" t="s">
        <v>650</v>
      </c>
    </row>
    <row r="1640" customHeight="1" spans="1:7">
      <c r="A1640" s="502"/>
      <c r="B1640" s="517" t="s">
        <v>651</v>
      </c>
      <c r="C1640" s="502" t="s">
        <v>531</v>
      </c>
      <c r="D1640" s="540">
        <f>1.2*(6*2.23+5+2)*D1633</f>
        <v>14331.216</v>
      </c>
      <c r="E1640" s="511" t="e">
        <f t="shared" si="143"/>
        <v>#REF!</v>
      </c>
      <c r="F1640" s="510" t="e">
        <f t="shared" si="144"/>
        <v>#REF!</v>
      </c>
      <c r="G1640" s="502" t="s">
        <v>652</v>
      </c>
    </row>
    <row r="1641" customHeight="1" spans="1:7">
      <c r="A1641" s="502"/>
      <c r="B1641" s="517" t="s">
        <v>563</v>
      </c>
      <c r="C1641" s="502" t="s">
        <v>62</v>
      </c>
      <c r="D1641" s="540">
        <f>1.2*0.2*0.5*D1633</f>
        <v>70.32</v>
      </c>
      <c r="E1641" s="511" t="e">
        <f t="shared" si="143"/>
        <v>#REF!</v>
      </c>
      <c r="F1641" s="510" t="e">
        <f t="shared" si="144"/>
        <v>#REF!</v>
      </c>
      <c r="G1641" s="502"/>
    </row>
    <row r="1642" s="492" customFormat="1" customHeight="1" spans="1:7">
      <c r="A1642" s="506">
        <v>58</v>
      </c>
      <c r="B1642" s="507" t="s">
        <v>710</v>
      </c>
      <c r="C1642" s="506" t="s">
        <v>90</v>
      </c>
      <c r="D1642" s="506">
        <f>2*296</f>
        <v>592</v>
      </c>
      <c r="E1642" s="511"/>
      <c r="F1642" s="508" t="e">
        <f>SUM(F1643:F1650)</f>
        <v>#REF!</v>
      </c>
      <c r="G1642" s="506"/>
    </row>
    <row r="1643" s="492" customFormat="1" customHeight="1" spans="1:7">
      <c r="A1643" s="502"/>
      <c r="B1643" s="517" t="s">
        <v>61</v>
      </c>
      <c r="C1643" s="502" t="s">
        <v>62</v>
      </c>
      <c r="D1643" s="540">
        <f>1.2*D1642*27*0.3</f>
        <v>5754.24</v>
      </c>
      <c r="E1643" s="511" t="e">
        <f t="shared" ref="E1643:E1650" si="145">E1634</f>
        <v>#REF!</v>
      </c>
      <c r="F1643" s="510" t="e">
        <f t="shared" ref="F1643:F1650" si="146">D1643*E1643</f>
        <v>#REF!</v>
      </c>
      <c r="G1643" s="502" t="s">
        <v>643</v>
      </c>
    </row>
    <row r="1644" s="492" customFormat="1" ht="46.9" customHeight="1" spans="1:7">
      <c r="A1644" s="502"/>
      <c r="B1644" s="517" t="s">
        <v>644</v>
      </c>
      <c r="C1644" s="502" t="s">
        <v>62</v>
      </c>
      <c r="D1644" s="540">
        <f>1.2*D1642*17*0.7</f>
        <v>8453.76</v>
      </c>
      <c r="E1644" s="511">
        <f t="shared" si="145"/>
        <v>15.5634951407938</v>
      </c>
      <c r="F1644" s="510">
        <f t="shared" si="146"/>
        <v>131570.052681437</v>
      </c>
      <c r="G1644" s="502" t="s">
        <v>645</v>
      </c>
    </row>
    <row r="1645" s="492" customFormat="1" customHeight="1" spans="1:7">
      <c r="A1645" s="502"/>
      <c r="B1645" s="517" t="str">
        <f>B1636</f>
        <v>土方开挖及拉运（500m）</v>
      </c>
      <c r="C1645" s="502" t="s">
        <v>62</v>
      </c>
      <c r="D1645" s="540">
        <f>D1644-D1643</f>
        <v>2699.52</v>
      </c>
      <c r="E1645" s="511" t="e">
        <f t="shared" si="145"/>
        <v>#REF!</v>
      </c>
      <c r="F1645" s="510" t="e">
        <f t="shared" si="146"/>
        <v>#REF!</v>
      </c>
      <c r="G1645" s="502" t="s">
        <v>647</v>
      </c>
    </row>
    <row r="1646" s="492" customFormat="1" customHeight="1" spans="1:7">
      <c r="A1646" s="502"/>
      <c r="B1646" s="517" t="s">
        <v>659</v>
      </c>
      <c r="C1646" s="502" t="s">
        <v>531</v>
      </c>
      <c r="D1646" s="542">
        <f>1.2*6*2.23*D1642*1.2</f>
        <v>11406.1824</v>
      </c>
      <c r="E1646" s="511">
        <f t="shared" si="145"/>
        <v>150</v>
      </c>
      <c r="F1646" s="510">
        <f t="shared" si="146"/>
        <v>1710927.36</v>
      </c>
      <c r="G1646" s="502" t="s">
        <v>649</v>
      </c>
    </row>
    <row r="1647" s="492" customFormat="1" customHeight="1" spans="1:7">
      <c r="A1647" s="502"/>
      <c r="B1647" s="517" t="s">
        <v>560</v>
      </c>
      <c r="C1647" s="502" t="s">
        <v>62</v>
      </c>
      <c r="D1647" s="540">
        <f>1.2*3*0.5*D1642</f>
        <v>1065.6</v>
      </c>
      <c r="E1647" s="511" t="e">
        <f t="shared" si="145"/>
        <v>#REF!</v>
      </c>
      <c r="F1647" s="510" t="e">
        <f t="shared" si="146"/>
        <v>#REF!</v>
      </c>
      <c r="G1647" s="502" t="s">
        <v>650</v>
      </c>
    </row>
    <row r="1648" s="492" customFormat="1" customHeight="1" spans="1:7">
      <c r="A1648" s="502"/>
      <c r="B1648" s="517" t="s">
        <v>561</v>
      </c>
      <c r="C1648" s="502" t="s">
        <v>62</v>
      </c>
      <c r="D1648" s="540">
        <f>1.2*3.5*0.5*D1642</f>
        <v>1243.2</v>
      </c>
      <c r="E1648" s="511" t="e">
        <f t="shared" si="145"/>
        <v>#REF!</v>
      </c>
      <c r="F1648" s="510" t="e">
        <f t="shared" si="146"/>
        <v>#REF!</v>
      </c>
      <c r="G1648" s="502" t="s">
        <v>650</v>
      </c>
    </row>
    <row r="1649" customHeight="1" spans="1:7">
      <c r="A1649" s="502"/>
      <c r="B1649" s="517" t="s">
        <v>651</v>
      </c>
      <c r="C1649" s="502" t="s">
        <v>531</v>
      </c>
      <c r="D1649" s="540">
        <f>1.2*(6*2.23+5+2)*D1642</f>
        <v>14477.952</v>
      </c>
      <c r="E1649" s="511" t="e">
        <f t="shared" si="145"/>
        <v>#REF!</v>
      </c>
      <c r="F1649" s="510" t="e">
        <f t="shared" si="146"/>
        <v>#REF!</v>
      </c>
      <c r="G1649" s="502" t="s">
        <v>652</v>
      </c>
    </row>
    <row r="1650" customHeight="1" spans="1:7">
      <c r="A1650" s="502"/>
      <c r="B1650" s="517" t="s">
        <v>563</v>
      </c>
      <c r="C1650" s="502" t="s">
        <v>62</v>
      </c>
      <c r="D1650" s="540">
        <f>1.2*0.2*0.5*D1642</f>
        <v>71.04</v>
      </c>
      <c r="E1650" s="511" t="e">
        <f t="shared" si="145"/>
        <v>#REF!</v>
      </c>
      <c r="F1650" s="510" t="e">
        <f t="shared" si="146"/>
        <v>#REF!</v>
      </c>
      <c r="G1650" s="502"/>
    </row>
    <row r="1651" s="492" customFormat="1" customHeight="1" spans="1:7">
      <c r="A1651" s="506">
        <v>59</v>
      </c>
      <c r="B1651" s="507" t="s">
        <v>711</v>
      </c>
      <c r="C1651" s="506" t="s">
        <v>90</v>
      </c>
      <c r="D1651" s="506">
        <f>2*328</f>
        <v>656</v>
      </c>
      <c r="E1651" s="511"/>
      <c r="F1651" s="508" t="e">
        <f>SUM(F1652:F1659)</f>
        <v>#REF!</v>
      </c>
      <c r="G1651" s="506"/>
    </row>
    <row r="1652" s="492" customFormat="1" customHeight="1" spans="1:7">
      <c r="A1652" s="502"/>
      <c r="B1652" s="517" t="s">
        <v>61</v>
      </c>
      <c r="C1652" s="502" t="s">
        <v>62</v>
      </c>
      <c r="D1652" s="540">
        <f>1.2*D1651*27*0.3</f>
        <v>6376.32</v>
      </c>
      <c r="E1652" s="511" t="e">
        <f t="shared" ref="E1652:E1659" si="147">E1643</f>
        <v>#REF!</v>
      </c>
      <c r="F1652" s="510" t="e">
        <f t="shared" ref="F1652:F1659" si="148">D1652*E1652</f>
        <v>#REF!</v>
      </c>
      <c r="G1652" s="502" t="s">
        <v>643</v>
      </c>
    </row>
    <row r="1653" s="492" customFormat="1" ht="46.15" customHeight="1" spans="1:7">
      <c r="A1653" s="502"/>
      <c r="B1653" s="517" t="s">
        <v>644</v>
      </c>
      <c r="C1653" s="502" t="s">
        <v>62</v>
      </c>
      <c r="D1653" s="540">
        <f>1.2*D1651*17*0.7</f>
        <v>9367.68</v>
      </c>
      <c r="E1653" s="511">
        <f t="shared" si="147"/>
        <v>15.5634951407938</v>
      </c>
      <c r="F1653" s="510">
        <f t="shared" si="148"/>
        <v>145793.842160511</v>
      </c>
      <c r="G1653" s="502" t="s">
        <v>645</v>
      </c>
    </row>
    <row r="1654" s="492" customFormat="1" customHeight="1" spans="1:7">
      <c r="A1654" s="502"/>
      <c r="B1654" s="517" t="str">
        <f>B1645</f>
        <v>土方开挖及拉运（500m）</v>
      </c>
      <c r="C1654" s="502" t="s">
        <v>62</v>
      </c>
      <c r="D1654" s="540">
        <f>D1653-D1652</f>
        <v>2991.36</v>
      </c>
      <c r="E1654" s="511" t="e">
        <f t="shared" si="147"/>
        <v>#REF!</v>
      </c>
      <c r="F1654" s="510" t="e">
        <f t="shared" si="148"/>
        <v>#REF!</v>
      </c>
      <c r="G1654" s="502" t="s">
        <v>647</v>
      </c>
    </row>
    <row r="1655" s="492" customFormat="1" customHeight="1" spans="1:7">
      <c r="A1655" s="502"/>
      <c r="B1655" s="517" t="s">
        <v>659</v>
      </c>
      <c r="C1655" s="502" t="s">
        <v>531</v>
      </c>
      <c r="D1655" s="542">
        <f>1.2*6*2.23*D1651*1.2</f>
        <v>12639.2832</v>
      </c>
      <c r="E1655" s="511">
        <f t="shared" si="147"/>
        <v>150</v>
      </c>
      <c r="F1655" s="510">
        <f t="shared" si="148"/>
        <v>1895892.48</v>
      </c>
      <c r="G1655" s="502" t="s">
        <v>649</v>
      </c>
    </row>
    <row r="1656" s="492" customFormat="1" customHeight="1" spans="1:7">
      <c r="A1656" s="502"/>
      <c r="B1656" s="517" t="s">
        <v>560</v>
      </c>
      <c r="C1656" s="502" t="s">
        <v>62</v>
      </c>
      <c r="D1656" s="540">
        <f>1.2*3*0.5*D1651</f>
        <v>1180.8</v>
      </c>
      <c r="E1656" s="511" t="e">
        <f t="shared" si="147"/>
        <v>#REF!</v>
      </c>
      <c r="F1656" s="510" t="e">
        <f t="shared" si="148"/>
        <v>#REF!</v>
      </c>
      <c r="G1656" s="502" t="s">
        <v>650</v>
      </c>
    </row>
    <row r="1657" s="492" customFormat="1" customHeight="1" spans="1:7">
      <c r="A1657" s="502"/>
      <c r="B1657" s="517" t="s">
        <v>561</v>
      </c>
      <c r="C1657" s="502" t="s">
        <v>62</v>
      </c>
      <c r="D1657" s="540">
        <f>1.2*3.5*0.5*D1651</f>
        <v>1377.6</v>
      </c>
      <c r="E1657" s="511" t="e">
        <f t="shared" si="147"/>
        <v>#REF!</v>
      </c>
      <c r="F1657" s="510" t="e">
        <f t="shared" si="148"/>
        <v>#REF!</v>
      </c>
      <c r="G1657" s="502" t="s">
        <v>650</v>
      </c>
    </row>
    <row r="1658" customHeight="1" spans="1:7">
      <c r="A1658" s="502"/>
      <c r="B1658" s="517" t="s">
        <v>651</v>
      </c>
      <c r="C1658" s="502" t="s">
        <v>531</v>
      </c>
      <c r="D1658" s="540">
        <f>1.2*(6*2.23+5+2)*D1651</f>
        <v>16043.136</v>
      </c>
      <c r="E1658" s="511" t="e">
        <f t="shared" si="147"/>
        <v>#REF!</v>
      </c>
      <c r="F1658" s="510" t="e">
        <f t="shared" si="148"/>
        <v>#REF!</v>
      </c>
      <c r="G1658" s="502" t="s">
        <v>652</v>
      </c>
    </row>
    <row r="1659" customHeight="1" spans="1:7">
      <c r="A1659" s="502"/>
      <c r="B1659" s="517" t="s">
        <v>563</v>
      </c>
      <c r="C1659" s="502" t="s">
        <v>62</v>
      </c>
      <c r="D1659" s="540">
        <f>1.2*0.2*0.5*D1651</f>
        <v>78.72</v>
      </c>
      <c r="E1659" s="511" t="e">
        <f t="shared" si="147"/>
        <v>#REF!</v>
      </c>
      <c r="F1659" s="510" t="e">
        <f t="shared" si="148"/>
        <v>#REF!</v>
      </c>
      <c r="G1659" s="502"/>
    </row>
    <row r="1660" s="492" customFormat="1" customHeight="1" spans="1:7">
      <c r="A1660" s="506">
        <v>60</v>
      </c>
      <c r="B1660" s="507" t="s">
        <v>712</v>
      </c>
      <c r="C1660" s="506" t="s">
        <v>90</v>
      </c>
      <c r="D1660" s="506">
        <f>2*303</f>
        <v>606</v>
      </c>
      <c r="E1660" s="511"/>
      <c r="F1660" s="508" t="e">
        <f>SUM(F1661:F1668)</f>
        <v>#REF!</v>
      </c>
      <c r="G1660" s="506"/>
    </row>
    <row r="1661" s="492" customFormat="1" customHeight="1" spans="1:7">
      <c r="A1661" s="502"/>
      <c r="B1661" s="517" t="s">
        <v>61</v>
      </c>
      <c r="C1661" s="502" t="s">
        <v>62</v>
      </c>
      <c r="D1661" s="540">
        <f>1.2*D1660*27*0.3</f>
        <v>5890.32</v>
      </c>
      <c r="E1661" s="511" t="e">
        <f t="shared" ref="E1661:E1668" si="149">E1652</f>
        <v>#REF!</v>
      </c>
      <c r="F1661" s="510" t="e">
        <f t="shared" ref="F1661:F1668" si="150">D1661*E1661</f>
        <v>#REF!</v>
      </c>
      <c r="G1661" s="502" t="s">
        <v>643</v>
      </c>
    </row>
    <row r="1662" s="492" customFormat="1" ht="46.15" customHeight="1" spans="1:7">
      <c r="A1662" s="502"/>
      <c r="B1662" s="517" t="s">
        <v>644</v>
      </c>
      <c r="C1662" s="502" t="s">
        <v>62</v>
      </c>
      <c r="D1662" s="540">
        <f>1.2*D1660*17*0.7</f>
        <v>8653.68</v>
      </c>
      <c r="E1662" s="511">
        <f t="shared" si="149"/>
        <v>15.5634951407938</v>
      </c>
      <c r="F1662" s="510">
        <f t="shared" si="150"/>
        <v>134681.506629984</v>
      </c>
      <c r="G1662" s="502" t="s">
        <v>645</v>
      </c>
    </row>
    <row r="1663" s="492" customFormat="1" customHeight="1" spans="1:7">
      <c r="A1663" s="502"/>
      <c r="B1663" s="517" t="str">
        <f>B1654</f>
        <v>土方开挖及拉运（500m）</v>
      </c>
      <c r="C1663" s="502" t="s">
        <v>62</v>
      </c>
      <c r="D1663" s="540">
        <f>D1662-D1661</f>
        <v>2763.36</v>
      </c>
      <c r="E1663" s="511" t="e">
        <f t="shared" si="149"/>
        <v>#REF!</v>
      </c>
      <c r="F1663" s="510" t="e">
        <f t="shared" si="150"/>
        <v>#REF!</v>
      </c>
      <c r="G1663" s="502" t="s">
        <v>647</v>
      </c>
    </row>
    <row r="1664" s="492" customFormat="1" customHeight="1" spans="1:7">
      <c r="A1664" s="502"/>
      <c r="B1664" s="517" t="s">
        <v>659</v>
      </c>
      <c r="C1664" s="502" t="s">
        <v>531</v>
      </c>
      <c r="D1664" s="542">
        <f>1.2*6*2.23*D1660*1.2</f>
        <v>11675.9232</v>
      </c>
      <c r="E1664" s="511">
        <f t="shared" si="149"/>
        <v>150</v>
      </c>
      <c r="F1664" s="510">
        <f t="shared" si="150"/>
        <v>1751388.48</v>
      </c>
      <c r="G1664" s="502" t="s">
        <v>649</v>
      </c>
    </row>
    <row r="1665" s="492" customFormat="1" customHeight="1" spans="1:7">
      <c r="A1665" s="502"/>
      <c r="B1665" s="517" t="s">
        <v>560</v>
      </c>
      <c r="C1665" s="502" t="s">
        <v>62</v>
      </c>
      <c r="D1665" s="540">
        <f>1.2*3*0.5*D1660</f>
        <v>1090.8</v>
      </c>
      <c r="E1665" s="511" t="e">
        <f t="shared" si="149"/>
        <v>#REF!</v>
      </c>
      <c r="F1665" s="510" t="e">
        <f t="shared" si="150"/>
        <v>#REF!</v>
      </c>
      <c r="G1665" s="502" t="s">
        <v>650</v>
      </c>
    </row>
    <row r="1666" s="492" customFormat="1" customHeight="1" spans="1:7">
      <c r="A1666" s="502"/>
      <c r="B1666" s="517" t="s">
        <v>561</v>
      </c>
      <c r="C1666" s="502" t="s">
        <v>62</v>
      </c>
      <c r="D1666" s="540">
        <f>1.2*3.5*0.5*D1660</f>
        <v>1272.6</v>
      </c>
      <c r="E1666" s="511" t="e">
        <f t="shared" si="149"/>
        <v>#REF!</v>
      </c>
      <c r="F1666" s="510" t="e">
        <f t="shared" si="150"/>
        <v>#REF!</v>
      </c>
      <c r="G1666" s="502" t="s">
        <v>650</v>
      </c>
    </row>
    <row r="1667" customHeight="1" spans="1:7">
      <c r="A1667" s="502"/>
      <c r="B1667" s="517" t="s">
        <v>651</v>
      </c>
      <c r="C1667" s="502" t="s">
        <v>531</v>
      </c>
      <c r="D1667" s="540">
        <f>1.2*(6*2.23+5+2)*D1660</f>
        <v>14820.336</v>
      </c>
      <c r="E1667" s="511" t="e">
        <f t="shared" si="149"/>
        <v>#REF!</v>
      </c>
      <c r="F1667" s="510" t="e">
        <f t="shared" si="150"/>
        <v>#REF!</v>
      </c>
      <c r="G1667" s="502" t="s">
        <v>652</v>
      </c>
    </row>
    <row r="1668" customHeight="1" spans="1:7">
      <c r="A1668" s="502"/>
      <c r="B1668" s="517" t="s">
        <v>563</v>
      </c>
      <c r="C1668" s="502" t="s">
        <v>62</v>
      </c>
      <c r="D1668" s="540">
        <f>1.2*0.2*0.5*D1660</f>
        <v>72.72</v>
      </c>
      <c r="E1668" s="511" t="e">
        <f t="shared" si="149"/>
        <v>#REF!</v>
      </c>
      <c r="F1668" s="510" t="e">
        <f t="shared" si="150"/>
        <v>#REF!</v>
      </c>
      <c r="G1668" s="502"/>
    </row>
    <row r="1669" s="492" customFormat="1" customHeight="1" spans="1:7">
      <c r="A1669" s="506">
        <v>61</v>
      </c>
      <c r="B1669" s="507" t="s">
        <v>713</v>
      </c>
      <c r="C1669" s="506" t="s">
        <v>90</v>
      </c>
      <c r="D1669" s="506">
        <f>2*147</f>
        <v>294</v>
      </c>
      <c r="E1669" s="511"/>
      <c r="F1669" s="508" t="e">
        <f>SUM(F1670:F1677)</f>
        <v>#REF!</v>
      </c>
      <c r="G1669" s="506"/>
    </row>
    <row r="1670" s="492" customFormat="1" customHeight="1" spans="1:7">
      <c r="A1670" s="502"/>
      <c r="B1670" s="517" t="s">
        <v>61</v>
      </c>
      <c r="C1670" s="502" t="s">
        <v>62</v>
      </c>
      <c r="D1670" s="540">
        <f>1.2*D1669*27*0.3</f>
        <v>2857.68</v>
      </c>
      <c r="E1670" s="511" t="e">
        <f t="shared" ref="E1670:E1677" si="151">E1661</f>
        <v>#REF!</v>
      </c>
      <c r="F1670" s="510" t="e">
        <f t="shared" ref="F1670:F1677" si="152">D1670*E1670</f>
        <v>#REF!</v>
      </c>
      <c r="G1670" s="502" t="s">
        <v>643</v>
      </c>
    </row>
    <row r="1671" s="492" customFormat="1" ht="45" customHeight="1" spans="1:7">
      <c r="A1671" s="502"/>
      <c r="B1671" s="517" t="s">
        <v>644</v>
      </c>
      <c r="C1671" s="502" t="s">
        <v>62</v>
      </c>
      <c r="D1671" s="540">
        <f>1.2*D1669*17*0.7</f>
        <v>4198.32</v>
      </c>
      <c r="E1671" s="511">
        <f t="shared" si="151"/>
        <v>15.5634951407938</v>
      </c>
      <c r="F1671" s="510">
        <f t="shared" si="152"/>
        <v>65340.5329194973</v>
      </c>
      <c r="G1671" s="502" t="s">
        <v>645</v>
      </c>
    </row>
    <row r="1672" s="492" customFormat="1" customHeight="1" spans="1:7">
      <c r="A1672" s="502"/>
      <c r="B1672" s="517" t="str">
        <f>B1663</f>
        <v>土方开挖及拉运（500m）</v>
      </c>
      <c r="C1672" s="502" t="s">
        <v>62</v>
      </c>
      <c r="D1672" s="540">
        <f>D1671-D1670</f>
        <v>1340.64</v>
      </c>
      <c r="E1672" s="511" t="e">
        <f t="shared" si="151"/>
        <v>#REF!</v>
      </c>
      <c r="F1672" s="510" t="e">
        <f t="shared" si="152"/>
        <v>#REF!</v>
      </c>
      <c r="G1672" s="502" t="s">
        <v>647</v>
      </c>
    </row>
    <row r="1673" s="492" customFormat="1" customHeight="1" spans="1:7">
      <c r="A1673" s="502"/>
      <c r="B1673" s="517" t="s">
        <v>659</v>
      </c>
      <c r="C1673" s="502" t="s">
        <v>531</v>
      </c>
      <c r="D1673" s="542">
        <f>1.2*6*2.23*D1669*1.2</f>
        <v>5664.5568</v>
      </c>
      <c r="E1673" s="511">
        <f t="shared" si="151"/>
        <v>150</v>
      </c>
      <c r="F1673" s="510">
        <f t="shared" si="152"/>
        <v>849683.52</v>
      </c>
      <c r="G1673" s="502" t="s">
        <v>649</v>
      </c>
    </row>
    <row r="1674" s="492" customFormat="1" customHeight="1" spans="1:7">
      <c r="A1674" s="502"/>
      <c r="B1674" s="517" t="s">
        <v>560</v>
      </c>
      <c r="C1674" s="502" t="s">
        <v>62</v>
      </c>
      <c r="D1674" s="540">
        <f>1.2*3*0.5*D1669</f>
        <v>529.2</v>
      </c>
      <c r="E1674" s="511" t="e">
        <f t="shared" si="151"/>
        <v>#REF!</v>
      </c>
      <c r="F1674" s="510" t="e">
        <f t="shared" si="152"/>
        <v>#REF!</v>
      </c>
      <c r="G1674" s="502" t="s">
        <v>650</v>
      </c>
    </row>
    <row r="1675" s="492" customFormat="1" customHeight="1" spans="1:7">
      <c r="A1675" s="502"/>
      <c r="B1675" s="517" t="s">
        <v>561</v>
      </c>
      <c r="C1675" s="502" t="s">
        <v>62</v>
      </c>
      <c r="D1675" s="540">
        <f>1.2*3.5*0.5*D1669</f>
        <v>617.4</v>
      </c>
      <c r="E1675" s="511" t="e">
        <f t="shared" si="151"/>
        <v>#REF!</v>
      </c>
      <c r="F1675" s="510" t="e">
        <f t="shared" si="152"/>
        <v>#REF!</v>
      </c>
      <c r="G1675" s="502" t="s">
        <v>650</v>
      </c>
    </row>
    <row r="1676" customHeight="1" spans="1:7">
      <c r="A1676" s="502"/>
      <c r="B1676" s="517" t="s">
        <v>651</v>
      </c>
      <c r="C1676" s="502" t="s">
        <v>531</v>
      </c>
      <c r="D1676" s="540">
        <f>1.2*(6*2.23+5+2)*D1669</f>
        <v>7190.064</v>
      </c>
      <c r="E1676" s="511" t="e">
        <f t="shared" si="151"/>
        <v>#REF!</v>
      </c>
      <c r="F1676" s="510" t="e">
        <f t="shared" si="152"/>
        <v>#REF!</v>
      </c>
      <c r="G1676" s="502" t="s">
        <v>652</v>
      </c>
    </row>
    <row r="1677" customHeight="1" spans="1:7">
      <c r="A1677" s="502"/>
      <c r="B1677" s="517" t="s">
        <v>563</v>
      </c>
      <c r="C1677" s="502" t="s">
        <v>62</v>
      </c>
      <c r="D1677" s="540">
        <f>1.2*0.2*0.5*D1669</f>
        <v>35.28</v>
      </c>
      <c r="E1677" s="511" t="e">
        <f t="shared" si="151"/>
        <v>#REF!</v>
      </c>
      <c r="F1677" s="510" t="e">
        <f t="shared" si="152"/>
        <v>#REF!</v>
      </c>
      <c r="G1677" s="502"/>
    </row>
    <row r="1678" s="492" customFormat="1" customHeight="1" spans="1:7">
      <c r="A1678" s="506">
        <v>62</v>
      </c>
      <c r="B1678" s="507" t="s">
        <v>714</v>
      </c>
      <c r="C1678" s="506" t="s">
        <v>90</v>
      </c>
      <c r="D1678" s="506">
        <f>2*254</f>
        <v>508</v>
      </c>
      <c r="E1678" s="511"/>
      <c r="F1678" s="508" t="e">
        <f>SUM(F1679:F1686)</f>
        <v>#REF!</v>
      </c>
      <c r="G1678" s="506"/>
    </row>
    <row r="1679" s="492" customFormat="1" customHeight="1" spans="1:7">
      <c r="A1679" s="502"/>
      <c r="B1679" s="517" t="s">
        <v>61</v>
      </c>
      <c r="C1679" s="502" t="s">
        <v>62</v>
      </c>
      <c r="D1679" s="540">
        <f>1.2*D1678*27*0.3</f>
        <v>4937.76</v>
      </c>
      <c r="E1679" s="511" t="e">
        <f t="shared" ref="E1679:E1686" si="153">E1670</f>
        <v>#REF!</v>
      </c>
      <c r="F1679" s="510" t="e">
        <f t="shared" ref="F1679:F1686" si="154">D1679*E1679</f>
        <v>#REF!</v>
      </c>
      <c r="G1679" s="502" t="s">
        <v>643</v>
      </c>
    </row>
    <row r="1680" s="492" customFormat="1" ht="40.15" customHeight="1" spans="1:7">
      <c r="A1680" s="502"/>
      <c r="B1680" s="517" t="s">
        <v>644</v>
      </c>
      <c r="C1680" s="502" t="s">
        <v>62</v>
      </c>
      <c r="D1680" s="540">
        <f>1.2*D1678*17*0.7</f>
        <v>7254.24</v>
      </c>
      <c r="E1680" s="511">
        <f t="shared" si="153"/>
        <v>15.5634951407938</v>
      </c>
      <c r="F1680" s="510">
        <f t="shared" si="154"/>
        <v>112901.328990152</v>
      </c>
      <c r="G1680" s="502" t="s">
        <v>645</v>
      </c>
    </row>
    <row r="1681" s="492" customFormat="1" customHeight="1" spans="1:7">
      <c r="A1681" s="502"/>
      <c r="B1681" s="517" t="str">
        <f>B1672</f>
        <v>土方开挖及拉运（500m）</v>
      </c>
      <c r="C1681" s="502" t="s">
        <v>62</v>
      </c>
      <c r="D1681" s="540">
        <f>D1680-D1679</f>
        <v>2316.48</v>
      </c>
      <c r="E1681" s="511" t="e">
        <f t="shared" si="153"/>
        <v>#REF!</v>
      </c>
      <c r="F1681" s="510" t="e">
        <f t="shared" si="154"/>
        <v>#REF!</v>
      </c>
      <c r="G1681" s="502" t="s">
        <v>647</v>
      </c>
    </row>
    <row r="1682" s="492" customFormat="1" customHeight="1" spans="1:7">
      <c r="A1682" s="502"/>
      <c r="B1682" s="517" t="s">
        <v>659</v>
      </c>
      <c r="C1682" s="502" t="s">
        <v>531</v>
      </c>
      <c r="D1682" s="542">
        <f>1.2*6*2.23*D1678*1.2</f>
        <v>9787.7376</v>
      </c>
      <c r="E1682" s="511">
        <f t="shared" si="153"/>
        <v>150</v>
      </c>
      <c r="F1682" s="510">
        <f t="shared" si="154"/>
        <v>1468160.64</v>
      </c>
      <c r="G1682" s="502" t="s">
        <v>649</v>
      </c>
    </row>
    <row r="1683" s="492" customFormat="1" customHeight="1" spans="1:7">
      <c r="A1683" s="502"/>
      <c r="B1683" s="517" t="s">
        <v>560</v>
      </c>
      <c r="C1683" s="502" t="s">
        <v>62</v>
      </c>
      <c r="D1683" s="540">
        <f>1.2*3*0.5*D1678</f>
        <v>914.4</v>
      </c>
      <c r="E1683" s="511" t="e">
        <f t="shared" si="153"/>
        <v>#REF!</v>
      </c>
      <c r="F1683" s="510" t="e">
        <f t="shared" si="154"/>
        <v>#REF!</v>
      </c>
      <c r="G1683" s="502" t="s">
        <v>650</v>
      </c>
    </row>
    <row r="1684" s="492" customFormat="1" customHeight="1" spans="1:7">
      <c r="A1684" s="502"/>
      <c r="B1684" s="517" t="s">
        <v>561</v>
      </c>
      <c r="C1684" s="502" t="s">
        <v>62</v>
      </c>
      <c r="D1684" s="540">
        <f>1.2*3.5*0.5*D1678</f>
        <v>1066.8</v>
      </c>
      <c r="E1684" s="511" t="e">
        <f t="shared" si="153"/>
        <v>#REF!</v>
      </c>
      <c r="F1684" s="510" t="e">
        <f t="shared" si="154"/>
        <v>#REF!</v>
      </c>
      <c r="G1684" s="502" t="s">
        <v>650</v>
      </c>
    </row>
    <row r="1685" customHeight="1" spans="1:7">
      <c r="A1685" s="502"/>
      <c r="B1685" s="517" t="s">
        <v>651</v>
      </c>
      <c r="C1685" s="502" t="s">
        <v>531</v>
      </c>
      <c r="D1685" s="540">
        <f>1.2*(6*2.23+5+2)*D1678</f>
        <v>12423.648</v>
      </c>
      <c r="E1685" s="511" t="e">
        <f t="shared" si="153"/>
        <v>#REF!</v>
      </c>
      <c r="F1685" s="510" t="e">
        <f t="shared" si="154"/>
        <v>#REF!</v>
      </c>
      <c r="G1685" s="502" t="s">
        <v>652</v>
      </c>
    </row>
    <row r="1686" customHeight="1" spans="1:7">
      <c r="A1686" s="502"/>
      <c r="B1686" s="517" t="s">
        <v>563</v>
      </c>
      <c r="C1686" s="502" t="s">
        <v>62</v>
      </c>
      <c r="D1686" s="540">
        <f>1.2*0.2*0.5*D1678</f>
        <v>60.96</v>
      </c>
      <c r="E1686" s="511" t="e">
        <f t="shared" si="153"/>
        <v>#REF!</v>
      </c>
      <c r="F1686" s="510" t="e">
        <f t="shared" si="154"/>
        <v>#REF!</v>
      </c>
      <c r="G1686" s="502"/>
    </row>
    <row r="1687" s="493" customFormat="1" ht="18" customHeight="1" spans="1:7">
      <c r="A1687" s="543" t="s">
        <v>715</v>
      </c>
      <c r="B1687" s="507" t="e">
        <f>总概算核!#REF!</f>
        <v>#REF!</v>
      </c>
      <c r="C1687" s="502"/>
      <c r="D1687" s="511"/>
      <c r="E1687" s="511"/>
      <c r="F1687" s="508" t="e">
        <f>F1688+F1689</f>
        <v>#REF!</v>
      </c>
      <c r="G1687" s="544"/>
    </row>
    <row r="1688" s="493" customFormat="1" ht="18" customHeight="1" spans="1:7">
      <c r="A1688" s="545" t="s">
        <v>57</v>
      </c>
      <c r="B1688" s="517" t="e">
        <f>总概算核!#REF!</f>
        <v>#REF!</v>
      </c>
      <c r="C1688" s="502"/>
      <c r="D1688" s="511"/>
      <c r="E1688" s="511"/>
      <c r="F1688" s="510" t="e">
        <f>#REF!*10000</f>
        <v>#REF!</v>
      </c>
      <c r="G1688" s="544"/>
    </row>
    <row r="1689" s="493" customFormat="1" ht="18" customHeight="1" spans="1:7">
      <c r="A1689" s="545" t="s">
        <v>72</v>
      </c>
      <c r="B1689" s="517" t="e">
        <f>总概算核!#REF!</f>
        <v>#REF!</v>
      </c>
      <c r="C1689" s="546" t="s">
        <v>716</v>
      </c>
      <c r="D1689" s="511">
        <v>6</v>
      </c>
      <c r="E1689" s="511">
        <v>1000000</v>
      </c>
      <c r="F1689" s="510">
        <f>D1689*E1689</f>
        <v>6000000</v>
      </c>
      <c r="G1689" s="544"/>
    </row>
    <row r="1690" customHeight="1" spans="1:7">
      <c r="A1690" s="539" t="s">
        <v>717</v>
      </c>
      <c r="B1690" s="507" t="e">
        <f>总概算核!#REF!</f>
        <v>#REF!</v>
      </c>
      <c r="C1690" s="506"/>
      <c r="D1690" s="506"/>
      <c r="E1690" s="506"/>
      <c r="F1690" s="508" t="e">
        <f>F1691+F1695+F1797</f>
        <v>#REF!</v>
      </c>
      <c r="G1690" s="502"/>
    </row>
    <row r="1691" customHeight="1" spans="1:7">
      <c r="A1691" s="506" t="s">
        <v>57</v>
      </c>
      <c r="B1691" s="507" t="s">
        <v>718</v>
      </c>
      <c r="C1691" s="506"/>
      <c r="D1691" s="506"/>
      <c r="E1691" s="506"/>
      <c r="F1691" s="508">
        <f>F1692+F1693+F1694</f>
        <v>115131710.373314</v>
      </c>
      <c r="G1691" s="502"/>
    </row>
    <row r="1692" customHeight="1" spans="1:7">
      <c r="A1692" s="506">
        <v>1</v>
      </c>
      <c r="B1692" s="507" t="s">
        <v>719</v>
      </c>
      <c r="C1692" s="506"/>
      <c r="D1692" s="506"/>
      <c r="E1692" s="506"/>
      <c r="F1692" s="508">
        <v>3768988</v>
      </c>
      <c r="G1692" s="502"/>
    </row>
    <row r="1693" customHeight="1" spans="1:7">
      <c r="A1693" s="506">
        <v>2</v>
      </c>
      <c r="B1693" s="507" t="s">
        <v>720</v>
      </c>
      <c r="C1693" s="506"/>
      <c r="D1693" s="506"/>
      <c r="E1693" s="506"/>
      <c r="F1693" s="508">
        <v>111347722.373314</v>
      </c>
      <c r="G1693" s="502"/>
    </row>
    <row r="1694" customHeight="1" spans="1:7">
      <c r="A1694" s="506">
        <v>3</v>
      </c>
      <c r="B1694" s="507" t="s">
        <v>721</v>
      </c>
      <c r="C1694" s="506"/>
      <c r="D1694" s="506"/>
      <c r="E1694" s="506"/>
      <c r="F1694" s="508">
        <v>15000</v>
      </c>
      <c r="G1694" s="502"/>
    </row>
    <row r="1695" s="490" customFormat="1" ht="22.15" customHeight="1" spans="1:7">
      <c r="A1695" s="539" t="s">
        <v>72</v>
      </c>
      <c r="B1695" s="505" t="s">
        <v>722</v>
      </c>
      <c r="C1695" s="509"/>
      <c r="D1695" s="509"/>
      <c r="E1695" s="509"/>
      <c r="F1695" s="547" t="e">
        <f>F1696+F1700+F1704+F1708+F1748+F1776</f>
        <v>#REF!</v>
      </c>
      <c r="G1695" s="521"/>
    </row>
    <row r="1696" s="490" customFormat="1" ht="18" customHeight="1" spans="1:7">
      <c r="A1696" s="539">
        <v>1</v>
      </c>
      <c r="B1696" s="505" t="s">
        <v>723</v>
      </c>
      <c r="C1696" s="539"/>
      <c r="D1696" s="548"/>
      <c r="E1696" s="509"/>
      <c r="F1696" s="547" t="e">
        <f>SUM(F1697:F1699)</f>
        <v>#REF!</v>
      </c>
      <c r="G1696" s="521"/>
    </row>
    <row r="1697" s="494" customFormat="1" ht="18" customHeight="1" spans="1:7">
      <c r="A1697" s="549"/>
      <c r="B1697" s="503" t="s">
        <v>724</v>
      </c>
      <c r="C1697" s="509" t="s">
        <v>62</v>
      </c>
      <c r="D1697" s="550">
        <f>D1698+D1778</f>
        <v>834643.619525</v>
      </c>
      <c r="E1697" s="511" t="e">
        <f>E1130</f>
        <v>#REF!</v>
      </c>
      <c r="F1697" s="510" t="e">
        <f>D1697*E1697</f>
        <v>#REF!</v>
      </c>
      <c r="G1697" s="529"/>
    </row>
    <row r="1698" s="490" customFormat="1" ht="18" customHeight="1" spans="1:7">
      <c r="A1698" s="551"/>
      <c r="B1698" s="503" t="s">
        <v>725</v>
      </c>
      <c r="C1698" s="509" t="s">
        <v>62</v>
      </c>
      <c r="D1698" s="550">
        <v>397962.2725</v>
      </c>
      <c r="E1698" s="511">
        <f>单价汇总表!D10/100</f>
        <v>6.31435138821432</v>
      </c>
      <c r="F1698" s="510">
        <f>D1698*E1698</f>
        <v>2512873.6278173</v>
      </c>
      <c r="G1698" s="514"/>
    </row>
    <row r="1699" s="490" customFormat="1" ht="18" customHeight="1" spans="1:7">
      <c r="A1699" s="551"/>
      <c r="B1699" s="503" t="s">
        <v>726</v>
      </c>
      <c r="C1699" s="509" t="s">
        <v>62</v>
      </c>
      <c r="D1699" s="550">
        <v>1117258.58106875</v>
      </c>
      <c r="E1699" s="511">
        <f>单价汇总表!D9/100</f>
        <v>26.6321919205244</v>
      </c>
      <c r="F1699" s="510">
        <f>D1699*E1699</f>
        <v>29755044.9558758</v>
      </c>
      <c r="G1699" s="514"/>
    </row>
    <row r="1700" s="494" customFormat="1" ht="18" customHeight="1" spans="1:7">
      <c r="A1700" s="539">
        <v>2</v>
      </c>
      <c r="B1700" s="505" t="s">
        <v>727</v>
      </c>
      <c r="C1700" s="552" t="s">
        <v>716</v>
      </c>
      <c r="D1700" s="553">
        <v>10</v>
      </c>
      <c r="E1700" s="511"/>
      <c r="F1700" s="508">
        <f>SUM(F1701:F1703)</f>
        <v>461321.885057742</v>
      </c>
      <c r="G1700" s="529"/>
    </row>
    <row r="1701" s="490" customFormat="1" ht="18" customHeight="1" spans="1:8">
      <c r="A1701" s="539"/>
      <c r="B1701" s="503" t="s">
        <v>148</v>
      </c>
      <c r="C1701" s="554" t="s">
        <v>62</v>
      </c>
      <c r="D1701" s="555">
        <f>166.35*1.05*5</f>
        <v>873.3375</v>
      </c>
      <c r="E1701" s="511">
        <f>单价汇总表!D19/100</f>
        <v>491.881744284308</v>
      </c>
      <c r="F1701" s="510">
        <f t="shared" ref="F1701:F1730" si="155">D1701*E1701</f>
        <v>429578.772848896</v>
      </c>
      <c r="G1701" s="529"/>
      <c r="H1701" s="494"/>
    </row>
    <row r="1702" s="490" customFormat="1" ht="18" customHeight="1" spans="1:8">
      <c r="A1702" s="539"/>
      <c r="B1702" s="503" t="s">
        <v>728</v>
      </c>
      <c r="C1702" s="554" t="s">
        <v>62</v>
      </c>
      <c r="D1702" s="555">
        <f>15.34*1.05*5</f>
        <v>80.535</v>
      </c>
      <c r="E1702" s="511">
        <f>材料预算价!K8*1.09+单价汇总表!D11/100</f>
        <v>120.488419675847</v>
      </c>
      <c r="F1702" s="510">
        <f t="shared" si="155"/>
        <v>9703.53487859432</v>
      </c>
      <c r="G1702" s="521"/>
      <c r="H1702" s="556"/>
    </row>
    <row r="1703" s="494" customFormat="1" ht="18" customHeight="1" spans="1:8">
      <c r="A1703" s="539"/>
      <c r="B1703" s="503" t="s">
        <v>729</v>
      </c>
      <c r="C1703" s="554" t="s">
        <v>62</v>
      </c>
      <c r="D1703" s="555">
        <f>7.44*1.05*5</f>
        <v>39.06</v>
      </c>
      <c r="E1703" s="511">
        <f>单价汇总表!D21/100</f>
        <v>564.249291609108</v>
      </c>
      <c r="F1703" s="510">
        <f t="shared" si="155"/>
        <v>22039.5773302517</v>
      </c>
      <c r="G1703" s="521"/>
      <c r="H1703" s="556"/>
    </row>
    <row r="1704" s="494" customFormat="1" ht="18" customHeight="1" spans="1:8">
      <c r="A1704" s="539">
        <v>3</v>
      </c>
      <c r="B1704" s="505" t="s">
        <v>730</v>
      </c>
      <c r="C1704" s="552" t="s">
        <v>90</v>
      </c>
      <c r="D1704" s="553">
        <f>894*5</f>
        <v>4470</v>
      </c>
      <c r="E1704" s="511"/>
      <c r="F1704" s="508" t="e">
        <f>F1705+F1706+F1707</f>
        <v>#REF!</v>
      </c>
      <c r="G1704" s="529"/>
      <c r="H1704" s="557"/>
    </row>
    <row r="1705" s="490" customFormat="1" ht="18" customHeight="1" spans="1:7">
      <c r="A1705" s="539"/>
      <c r="B1705" s="503" t="s">
        <v>61</v>
      </c>
      <c r="C1705" s="509" t="s">
        <v>543</v>
      </c>
      <c r="D1705" s="511">
        <f>D1704*0.15*5</f>
        <v>3352.5</v>
      </c>
      <c r="E1705" s="511" t="e">
        <f>E1697</f>
        <v>#REF!</v>
      </c>
      <c r="F1705" s="510" t="e">
        <f t="shared" si="155"/>
        <v>#REF!</v>
      </c>
      <c r="G1705" s="521"/>
    </row>
    <row r="1706" s="490" customFormat="1" ht="18" customHeight="1" spans="1:7">
      <c r="A1706" s="551"/>
      <c r="B1706" s="503" t="s">
        <v>63</v>
      </c>
      <c r="C1706" s="509" t="s">
        <v>543</v>
      </c>
      <c r="D1706" s="511">
        <f>D1705*0.35</f>
        <v>1173.375</v>
      </c>
      <c r="E1706" s="511">
        <f>E1698</f>
        <v>6.31435138821432</v>
      </c>
      <c r="F1706" s="510">
        <f t="shared" si="155"/>
        <v>7409.10206014597</v>
      </c>
      <c r="G1706" s="521"/>
    </row>
    <row r="1707" s="490" customFormat="1" ht="45" customHeight="1" spans="1:7">
      <c r="A1707" s="551"/>
      <c r="B1707" s="517" t="s">
        <v>731</v>
      </c>
      <c r="C1707" s="509" t="s">
        <v>531</v>
      </c>
      <c r="D1707" s="511">
        <f>4*D1704*1.05</f>
        <v>18774</v>
      </c>
      <c r="E1707" s="511" t="e">
        <f>单价汇总表!#REF!/1000</f>
        <v>#REF!</v>
      </c>
      <c r="F1707" s="510" t="e">
        <f t="shared" si="155"/>
        <v>#REF!</v>
      </c>
      <c r="G1707" s="521"/>
    </row>
    <row r="1708" s="490" customFormat="1" ht="18" customHeight="1" spans="1:7">
      <c r="A1708" s="539">
        <v>4</v>
      </c>
      <c r="B1708" s="505" t="s">
        <v>732</v>
      </c>
      <c r="C1708" s="509"/>
      <c r="D1708" s="550"/>
      <c r="E1708" s="511"/>
      <c r="F1708" s="508">
        <f>F1709+F1731</f>
        <v>1645889.01928454</v>
      </c>
      <c r="G1708" s="521"/>
    </row>
    <row r="1709" s="490" customFormat="1" ht="18" customHeight="1" spans="1:7">
      <c r="A1709" s="539">
        <v>4.1</v>
      </c>
      <c r="B1709" s="505" t="s">
        <v>733</v>
      </c>
      <c r="C1709" s="509"/>
      <c r="D1709" s="550"/>
      <c r="E1709" s="511"/>
      <c r="F1709" s="508">
        <f>SUM(F1710:F1730)</f>
        <v>1151080.29428454</v>
      </c>
      <c r="G1709" s="521"/>
    </row>
    <row r="1710" s="490" customFormat="1" ht="18" customHeight="1" spans="1:7">
      <c r="A1710" s="551"/>
      <c r="B1710" s="503" t="s">
        <v>734</v>
      </c>
      <c r="C1710" s="509" t="s">
        <v>551</v>
      </c>
      <c r="D1710" s="509">
        <v>20.625</v>
      </c>
      <c r="E1710" s="511">
        <v>1067.13512466052</v>
      </c>
      <c r="F1710" s="510">
        <f t="shared" si="155"/>
        <v>22009.6619461232</v>
      </c>
      <c r="G1710" s="521"/>
    </row>
    <row r="1711" s="490" customFormat="1" ht="18" customHeight="1" spans="1:7">
      <c r="A1711" s="551"/>
      <c r="B1711" s="503" t="s">
        <v>735</v>
      </c>
      <c r="C1711" s="509" t="s">
        <v>267</v>
      </c>
      <c r="D1711" s="558">
        <v>2235</v>
      </c>
      <c r="E1711" s="511">
        <v>2.62317331439856</v>
      </c>
      <c r="F1711" s="510">
        <f t="shared" si="155"/>
        <v>5862.79235768078</v>
      </c>
      <c r="G1711" s="521"/>
    </row>
    <row r="1712" s="490" customFormat="1" ht="18" customHeight="1" spans="1:7">
      <c r="A1712" s="551"/>
      <c r="B1712" s="503" t="s">
        <v>736</v>
      </c>
      <c r="C1712" s="509" t="s">
        <v>175</v>
      </c>
      <c r="D1712" s="558">
        <v>1090</v>
      </c>
      <c r="E1712" s="511">
        <v>14.2</v>
      </c>
      <c r="F1712" s="510">
        <f t="shared" si="155"/>
        <v>15478</v>
      </c>
      <c r="G1712" s="521"/>
    </row>
    <row r="1713" s="490" customFormat="1" ht="37.15" customHeight="1" spans="1:7">
      <c r="A1713" s="551"/>
      <c r="B1713" s="503" t="s">
        <v>737</v>
      </c>
      <c r="C1713" s="509" t="s">
        <v>175</v>
      </c>
      <c r="D1713" s="558">
        <v>1417.5</v>
      </c>
      <c r="E1713" s="511">
        <v>45.87</v>
      </c>
      <c r="F1713" s="510">
        <f t="shared" si="155"/>
        <v>65020.725</v>
      </c>
      <c r="G1713" s="521"/>
    </row>
    <row r="1714" s="490" customFormat="1" ht="18" customHeight="1" spans="1:7">
      <c r="A1714" s="551"/>
      <c r="B1714" s="503" t="s">
        <v>738</v>
      </c>
      <c r="C1714" s="509" t="s">
        <v>175</v>
      </c>
      <c r="D1714" s="558">
        <v>100</v>
      </c>
      <c r="E1714" s="511">
        <f>E1712</f>
        <v>14.2</v>
      </c>
      <c r="F1714" s="510">
        <f t="shared" si="155"/>
        <v>1420</v>
      </c>
      <c r="G1714" s="521"/>
    </row>
    <row r="1715" s="490" customFormat="1" ht="52.9" customHeight="1" spans="1:7">
      <c r="A1715" s="551"/>
      <c r="B1715" s="517" t="s">
        <v>739</v>
      </c>
      <c r="C1715" s="509" t="s">
        <v>175</v>
      </c>
      <c r="D1715" s="558">
        <v>132.5</v>
      </c>
      <c r="E1715" s="511">
        <v>650</v>
      </c>
      <c r="F1715" s="510">
        <f t="shared" si="155"/>
        <v>86125</v>
      </c>
      <c r="G1715" s="521"/>
    </row>
    <row r="1716" s="490" customFormat="1" ht="18" customHeight="1" spans="1:7">
      <c r="A1716" s="551"/>
      <c r="B1716" s="503" t="s">
        <v>740</v>
      </c>
      <c r="C1716" s="509" t="s">
        <v>175</v>
      </c>
      <c r="D1716" s="558">
        <v>1252.5</v>
      </c>
      <c r="E1716" s="511">
        <f>E1714</f>
        <v>14.2</v>
      </c>
      <c r="F1716" s="510">
        <f t="shared" si="155"/>
        <v>17785.5</v>
      </c>
      <c r="G1716" s="521"/>
    </row>
    <row r="1717" s="490" customFormat="1" ht="45" customHeight="1" spans="1:7">
      <c r="A1717" s="551"/>
      <c r="B1717" s="517" t="s">
        <v>741</v>
      </c>
      <c r="C1717" s="509" t="s">
        <v>175</v>
      </c>
      <c r="D1717" s="558">
        <v>1630</v>
      </c>
      <c r="E1717" s="511">
        <v>55.05</v>
      </c>
      <c r="F1717" s="510">
        <f t="shared" si="155"/>
        <v>89731.5</v>
      </c>
      <c r="G1717" s="521"/>
    </row>
    <row r="1718" s="490" customFormat="1" ht="18" customHeight="1" spans="1:7">
      <c r="A1718" s="551"/>
      <c r="B1718" s="503" t="s">
        <v>742</v>
      </c>
      <c r="C1718" s="509" t="s">
        <v>175</v>
      </c>
      <c r="D1718" s="558">
        <v>707.5</v>
      </c>
      <c r="E1718" s="511">
        <f>E1716</f>
        <v>14.2</v>
      </c>
      <c r="F1718" s="510">
        <f t="shared" si="155"/>
        <v>10046.5</v>
      </c>
      <c r="G1718" s="521"/>
    </row>
    <row r="1719" s="490" customFormat="1" ht="48" customHeight="1" spans="1:7">
      <c r="A1719" s="551"/>
      <c r="B1719" s="517" t="s">
        <v>743</v>
      </c>
      <c r="C1719" s="509" t="s">
        <v>175</v>
      </c>
      <c r="D1719" s="558">
        <v>920</v>
      </c>
      <c r="E1719" s="511">
        <v>73.39</v>
      </c>
      <c r="F1719" s="510">
        <f t="shared" si="155"/>
        <v>67518.8</v>
      </c>
      <c r="G1719" s="521"/>
    </row>
    <row r="1720" s="490" customFormat="1" ht="18" customHeight="1" spans="1:7">
      <c r="A1720" s="551"/>
      <c r="B1720" s="503" t="s">
        <v>744</v>
      </c>
      <c r="C1720" s="509" t="s">
        <v>175</v>
      </c>
      <c r="D1720" s="558">
        <v>420</v>
      </c>
      <c r="E1720" s="511">
        <f>E1718</f>
        <v>14.2</v>
      </c>
      <c r="F1720" s="510">
        <f t="shared" si="155"/>
        <v>5964</v>
      </c>
      <c r="G1720" s="521"/>
    </row>
    <row r="1721" s="490" customFormat="1" ht="48" customHeight="1" spans="1:7">
      <c r="A1721" s="551"/>
      <c r="B1721" s="517" t="s">
        <v>745</v>
      </c>
      <c r="C1721" s="509" t="s">
        <v>175</v>
      </c>
      <c r="D1721" s="558">
        <v>547.5</v>
      </c>
      <c r="E1721" s="511">
        <v>64.22</v>
      </c>
      <c r="F1721" s="510">
        <f t="shared" si="155"/>
        <v>35160.45</v>
      </c>
      <c r="G1721" s="521"/>
    </row>
    <row r="1722" s="490" customFormat="1" ht="18" customHeight="1" spans="1:7">
      <c r="A1722" s="551"/>
      <c r="B1722" s="503" t="s">
        <v>746</v>
      </c>
      <c r="C1722" s="509" t="s">
        <v>175</v>
      </c>
      <c r="D1722" s="558">
        <v>1487.5</v>
      </c>
      <c r="E1722" s="511">
        <f>E1720</f>
        <v>14.2</v>
      </c>
      <c r="F1722" s="510">
        <f t="shared" si="155"/>
        <v>21122.5</v>
      </c>
      <c r="G1722" s="521"/>
    </row>
    <row r="1723" s="490" customFormat="1" ht="40.15" customHeight="1" spans="1:7">
      <c r="A1723" s="551"/>
      <c r="B1723" s="517" t="s">
        <v>747</v>
      </c>
      <c r="C1723" s="509" t="s">
        <v>175</v>
      </c>
      <c r="D1723" s="558">
        <v>1935</v>
      </c>
      <c r="E1723" s="511">
        <v>110.09</v>
      </c>
      <c r="F1723" s="510">
        <f t="shared" si="155"/>
        <v>213024.15</v>
      </c>
      <c r="G1723" s="521"/>
    </row>
    <row r="1724" s="490" customFormat="1" ht="18" customHeight="1" spans="1:7">
      <c r="A1724" s="551"/>
      <c r="B1724" s="503" t="s">
        <v>748</v>
      </c>
      <c r="C1724" s="509" t="s">
        <v>531</v>
      </c>
      <c r="D1724" s="550">
        <v>39985</v>
      </c>
      <c r="E1724" s="511">
        <v>1.5</v>
      </c>
      <c r="F1724" s="510">
        <f t="shared" si="155"/>
        <v>59977.5</v>
      </c>
      <c r="G1724" s="521"/>
    </row>
    <row r="1725" s="490" customFormat="1" ht="18" customHeight="1" spans="1:7">
      <c r="A1725" s="551"/>
      <c r="B1725" s="503" t="s">
        <v>749</v>
      </c>
      <c r="C1725" s="509" t="s">
        <v>531</v>
      </c>
      <c r="D1725" s="550">
        <v>64832.5</v>
      </c>
      <c r="E1725" s="511">
        <v>2</v>
      </c>
      <c r="F1725" s="510">
        <f t="shared" si="155"/>
        <v>129665</v>
      </c>
      <c r="G1725" s="521"/>
    </row>
    <row r="1726" s="490" customFormat="1" ht="18" customHeight="1" spans="1:7">
      <c r="A1726" s="551"/>
      <c r="B1726" s="503" t="s">
        <v>750</v>
      </c>
      <c r="C1726" s="509" t="s">
        <v>531</v>
      </c>
      <c r="D1726" s="550">
        <v>86330</v>
      </c>
      <c r="E1726" s="511">
        <v>2.5</v>
      </c>
      <c r="F1726" s="510">
        <f t="shared" si="155"/>
        <v>215825</v>
      </c>
      <c r="G1726" s="521"/>
    </row>
    <row r="1727" s="490" customFormat="1" ht="18" customHeight="1" spans="1:7">
      <c r="A1727" s="551"/>
      <c r="B1727" s="503" t="s">
        <v>751</v>
      </c>
      <c r="C1727" s="509" t="s">
        <v>551</v>
      </c>
      <c r="D1727" s="550">
        <v>20.625</v>
      </c>
      <c r="E1727" s="511">
        <v>1378.3145855472</v>
      </c>
      <c r="F1727" s="510">
        <f t="shared" si="155"/>
        <v>28427.738326911</v>
      </c>
      <c r="G1727" s="521"/>
    </row>
    <row r="1728" s="490" customFormat="1" ht="18" customHeight="1" spans="1:7">
      <c r="A1728" s="551"/>
      <c r="B1728" s="503" t="s">
        <v>752</v>
      </c>
      <c r="C1728" s="509" t="s">
        <v>551</v>
      </c>
      <c r="D1728" s="550">
        <v>20.625</v>
      </c>
      <c r="E1728" s="511">
        <v>1378.3145855472</v>
      </c>
      <c r="F1728" s="510">
        <f t="shared" si="155"/>
        <v>28427.738326911</v>
      </c>
      <c r="G1728" s="521"/>
    </row>
    <row r="1729" s="490" customFormat="1" ht="18" customHeight="1" spans="1:7">
      <c r="A1729" s="551"/>
      <c r="B1729" s="503" t="s">
        <v>753</v>
      </c>
      <c r="C1729" s="509" t="s">
        <v>551</v>
      </c>
      <c r="D1729" s="550">
        <v>20.625</v>
      </c>
      <c r="E1729" s="511">
        <v>1378.3145855472</v>
      </c>
      <c r="F1729" s="510">
        <f t="shared" si="155"/>
        <v>28427.738326911</v>
      </c>
      <c r="G1729" s="521"/>
    </row>
    <row r="1730" s="490" customFormat="1" ht="18" customHeight="1" spans="1:7">
      <c r="A1730" s="551"/>
      <c r="B1730" s="503" t="s">
        <v>754</v>
      </c>
      <c r="C1730" s="509" t="s">
        <v>531</v>
      </c>
      <c r="D1730" s="550">
        <v>81200</v>
      </c>
      <c r="E1730" s="511">
        <v>0.05</v>
      </c>
      <c r="F1730" s="510">
        <f t="shared" si="155"/>
        <v>4060</v>
      </c>
      <c r="G1730" s="521"/>
    </row>
    <row r="1731" s="490" customFormat="1" ht="18" customHeight="1" spans="1:7">
      <c r="A1731" s="539">
        <v>4.2</v>
      </c>
      <c r="B1731" s="505" t="s">
        <v>251</v>
      </c>
      <c r="C1731" s="509"/>
      <c r="D1731" s="509"/>
      <c r="E1731" s="511"/>
      <c r="F1731" s="508">
        <f>F1732+F1738+F1744+F1747</f>
        <v>494808.725</v>
      </c>
      <c r="G1731" s="521"/>
    </row>
    <row r="1732" s="490" customFormat="1" ht="18" customHeight="1" spans="1:7">
      <c r="A1732" s="539" t="s">
        <v>755</v>
      </c>
      <c r="B1732" s="505" t="s">
        <v>756</v>
      </c>
      <c r="C1732" s="539" t="s">
        <v>373</v>
      </c>
      <c r="D1732" s="539">
        <v>5.95</v>
      </c>
      <c r="E1732" s="511"/>
      <c r="F1732" s="508">
        <f>F1733+F1735+F1737</f>
        <v>277809.85</v>
      </c>
      <c r="G1732" s="521"/>
    </row>
    <row r="1733" s="490" customFormat="1" ht="18" customHeight="1" spans="1:7">
      <c r="A1733" s="509"/>
      <c r="B1733" s="503" t="s">
        <v>117</v>
      </c>
      <c r="C1733" s="509" t="s">
        <v>373</v>
      </c>
      <c r="D1733" s="509">
        <v>5.95</v>
      </c>
      <c r="E1733" s="511"/>
      <c r="F1733" s="510">
        <f>F1734</f>
        <v>174188.5</v>
      </c>
      <c r="G1733" s="521"/>
    </row>
    <row r="1734" s="490" customFormat="1" ht="18" customHeight="1" spans="1:7">
      <c r="A1734" s="509"/>
      <c r="B1734" s="503" t="s">
        <v>757</v>
      </c>
      <c r="C1734" s="509" t="s">
        <v>90</v>
      </c>
      <c r="D1734" s="509">
        <v>5945</v>
      </c>
      <c r="E1734" s="511">
        <v>29.3</v>
      </c>
      <c r="F1734" s="510">
        <f t="shared" ref="F1734:F1765" si="156">D1734*E1734</f>
        <v>174188.5</v>
      </c>
      <c r="G1734" s="521"/>
    </row>
    <row r="1735" s="490" customFormat="1" ht="18" customHeight="1" spans="1:7">
      <c r="A1735" s="509"/>
      <c r="B1735" s="503" t="s">
        <v>123</v>
      </c>
      <c r="C1735" s="509" t="s">
        <v>373</v>
      </c>
      <c r="D1735" s="509">
        <v>5.95</v>
      </c>
      <c r="E1735" s="511"/>
      <c r="F1735" s="510">
        <f>F1736</f>
        <v>86202.5</v>
      </c>
      <c r="G1735" s="521"/>
    </row>
    <row r="1736" s="490" customFormat="1" ht="18" customHeight="1" spans="1:7">
      <c r="A1736" s="509"/>
      <c r="B1736" s="503" t="s">
        <v>757</v>
      </c>
      <c r="C1736" s="509" t="s">
        <v>90</v>
      </c>
      <c r="D1736" s="509">
        <v>5945</v>
      </c>
      <c r="E1736" s="511">
        <v>14.5</v>
      </c>
      <c r="F1736" s="510">
        <f t="shared" si="156"/>
        <v>86202.5</v>
      </c>
      <c r="G1736" s="521"/>
    </row>
    <row r="1737" s="490" customFormat="1" ht="18" customHeight="1" spans="1:7">
      <c r="A1737" s="509"/>
      <c r="B1737" s="503" t="s">
        <v>758</v>
      </c>
      <c r="C1737" s="509" t="s">
        <v>423</v>
      </c>
      <c r="D1737" s="509">
        <v>10</v>
      </c>
      <c r="E1737" s="511"/>
      <c r="F1737" s="510">
        <f>F1733*D1737/100</f>
        <v>17418.85</v>
      </c>
      <c r="G1737" s="521"/>
    </row>
    <row r="1738" s="490" customFormat="1" ht="18" customHeight="1" spans="1:7">
      <c r="A1738" s="539" t="s">
        <v>759</v>
      </c>
      <c r="B1738" s="505" t="s">
        <v>760</v>
      </c>
      <c r="C1738" s="539" t="s">
        <v>373</v>
      </c>
      <c r="D1738" s="539">
        <v>6.05</v>
      </c>
      <c r="E1738" s="511"/>
      <c r="F1738" s="508">
        <f>F1739+F1741+F1743</f>
        <v>175208</v>
      </c>
      <c r="G1738" s="521"/>
    </row>
    <row r="1739" s="490" customFormat="1" ht="18" customHeight="1" spans="1:7">
      <c r="A1739" s="509"/>
      <c r="B1739" s="503" t="s">
        <v>117</v>
      </c>
      <c r="C1739" s="509" t="s">
        <v>373</v>
      </c>
      <c r="D1739" s="509">
        <v>6.05</v>
      </c>
      <c r="E1739" s="511"/>
      <c r="F1739" s="510">
        <f>F1740</f>
        <v>112530</v>
      </c>
      <c r="G1739" s="521"/>
    </row>
    <row r="1740" s="490" customFormat="1" ht="18" customHeight="1" spans="1:7">
      <c r="A1740" s="509"/>
      <c r="B1740" s="503" t="s">
        <v>761</v>
      </c>
      <c r="C1740" s="509" t="s">
        <v>90</v>
      </c>
      <c r="D1740" s="509">
        <v>6050</v>
      </c>
      <c r="E1740" s="511">
        <v>18.6</v>
      </c>
      <c r="F1740" s="510">
        <f t="shared" si="156"/>
        <v>112530</v>
      </c>
      <c r="G1740" s="521"/>
    </row>
    <row r="1741" s="490" customFormat="1" ht="18" customHeight="1" spans="1:7">
      <c r="A1741" s="509"/>
      <c r="B1741" s="503" t="s">
        <v>762</v>
      </c>
      <c r="C1741" s="509" t="s">
        <v>373</v>
      </c>
      <c r="D1741" s="509">
        <v>6.05</v>
      </c>
      <c r="E1741" s="511"/>
      <c r="F1741" s="510">
        <f>F1742</f>
        <v>51425</v>
      </c>
      <c r="G1741" s="521"/>
    </row>
    <row r="1742" s="490" customFormat="1" ht="18" customHeight="1" spans="1:7">
      <c r="A1742" s="509"/>
      <c r="B1742" s="503" t="str">
        <f>B1740</f>
        <v>φ90PE支管0.8MPa</v>
      </c>
      <c r="C1742" s="509" t="s">
        <v>90</v>
      </c>
      <c r="D1742" s="509">
        <v>6050</v>
      </c>
      <c r="E1742" s="511">
        <v>8.5</v>
      </c>
      <c r="F1742" s="510">
        <f t="shared" si="156"/>
        <v>51425</v>
      </c>
      <c r="G1742" s="521"/>
    </row>
    <row r="1743" s="490" customFormat="1" ht="18" customHeight="1" spans="1:7">
      <c r="A1743" s="509"/>
      <c r="B1743" s="503" t="s">
        <v>758</v>
      </c>
      <c r="C1743" s="509" t="s">
        <v>423</v>
      </c>
      <c r="D1743" s="509">
        <v>10</v>
      </c>
      <c r="E1743" s="511"/>
      <c r="F1743" s="510">
        <f>F1739*D1743/100</f>
        <v>11253</v>
      </c>
      <c r="G1743" s="521"/>
    </row>
    <row r="1744" s="490" customFormat="1" ht="18" customHeight="1" spans="1:7">
      <c r="A1744" s="539" t="s">
        <v>763</v>
      </c>
      <c r="B1744" s="505" t="s">
        <v>764</v>
      </c>
      <c r="C1744" s="539" t="s">
        <v>373</v>
      </c>
      <c r="D1744" s="539">
        <v>74.025</v>
      </c>
      <c r="E1744" s="511"/>
      <c r="F1744" s="508">
        <f>F1745+F1746</f>
        <v>39603.375</v>
      </c>
      <c r="G1744" s="521"/>
    </row>
    <row r="1745" s="490" customFormat="1" ht="18" customHeight="1" spans="1:7">
      <c r="A1745" s="509"/>
      <c r="B1745" s="503" t="s">
        <v>765</v>
      </c>
      <c r="C1745" s="509" t="s">
        <v>90</v>
      </c>
      <c r="D1745" s="509">
        <v>74025</v>
      </c>
      <c r="E1745" s="511">
        <v>0.36</v>
      </c>
      <c r="F1745" s="510">
        <f t="shared" si="156"/>
        <v>26649</v>
      </c>
      <c r="G1745" s="521"/>
    </row>
    <row r="1746" s="490" customFormat="1" ht="18" customHeight="1" spans="1:7">
      <c r="A1746" s="509"/>
      <c r="B1746" s="503" t="s">
        <v>766</v>
      </c>
      <c r="C1746" s="509" t="s">
        <v>90</v>
      </c>
      <c r="D1746" s="509">
        <v>37012.5</v>
      </c>
      <c r="E1746" s="511">
        <v>0.35</v>
      </c>
      <c r="F1746" s="510">
        <f t="shared" si="156"/>
        <v>12954.375</v>
      </c>
      <c r="G1746" s="521"/>
    </row>
    <row r="1747" s="490" customFormat="1" ht="18" customHeight="1" spans="1:7">
      <c r="A1747" s="539" t="s">
        <v>767</v>
      </c>
      <c r="B1747" s="505" t="s">
        <v>768</v>
      </c>
      <c r="C1747" s="539" t="s">
        <v>267</v>
      </c>
      <c r="D1747" s="547">
        <v>17.5</v>
      </c>
      <c r="E1747" s="519">
        <v>125</v>
      </c>
      <c r="F1747" s="508">
        <f t="shared" si="156"/>
        <v>2187.5</v>
      </c>
      <c r="G1747" s="521"/>
    </row>
    <row r="1748" s="490" customFormat="1" ht="18" customHeight="1" spans="1:7">
      <c r="A1748" s="539">
        <v>5</v>
      </c>
      <c r="B1748" s="505" t="s">
        <v>261</v>
      </c>
      <c r="C1748" s="539"/>
      <c r="D1748" s="548"/>
      <c r="E1748" s="511"/>
      <c r="F1748" s="508" t="e">
        <f>F1749+F1765</f>
        <v>#REF!</v>
      </c>
      <c r="G1748" s="521"/>
    </row>
    <row r="1749" s="494" customFormat="1" ht="18" customHeight="1" spans="1:7">
      <c r="A1749" s="539">
        <v>5.1</v>
      </c>
      <c r="B1749" s="505" t="s">
        <v>769</v>
      </c>
      <c r="C1749" s="539" t="s">
        <v>74</v>
      </c>
      <c r="D1749" s="548">
        <v>10</v>
      </c>
      <c r="E1749" s="508" t="e">
        <f>F1750</f>
        <v>#REF!</v>
      </c>
      <c r="F1749" s="508" t="e">
        <f t="shared" si="156"/>
        <v>#REF!</v>
      </c>
      <c r="G1749" s="529"/>
    </row>
    <row r="1750" s="494" customFormat="1" ht="18" customHeight="1" spans="1:7">
      <c r="A1750" s="539"/>
      <c r="B1750" s="505" t="s">
        <v>145</v>
      </c>
      <c r="C1750" s="539" t="s">
        <v>74</v>
      </c>
      <c r="D1750" s="548">
        <v>1</v>
      </c>
      <c r="E1750" s="511"/>
      <c r="F1750" s="508" t="e">
        <f>SUM(F1751:F1764)</f>
        <v>#REF!</v>
      </c>
      <c r="G1750" s="529"/>
    </row>
    <row r="1751" s="494" customFormat="1" ht="18" customHeight="1" spans="1:7">
      <c r="A1751" s="539"/>
      <c r="B1751" s="503" t="s">
        <v>61</v>
      </c>
      <c r="C1751" s="509" t="s">
        <v>543</v>
      </c>
      <c r="D1751" s="555">
        <f>639.11*1.1</f>
        <v>703.021</v>
      </c>
      <c r="E1751" s="511" t="e">
        <f>单价汇总表!D5/100*0.5+单价汇总表!#REF!/100*0.5</f>
        <v>#REF!</v>
      </c>
      <c r="F1751" s="510" t="e">
        <f>D1751*E1751</f>
        <v>#REF!</v>
      </c>
      <c r="G1751" s="529"/>
    </row>
    <row r="1752" s="494" customFormat="1" ht="18" customHeight="1" spans="1:7">
      <c r="A1752" s="539"/>
      <c r="B1752" s="503" t="s">
        <v>63</v>
      </c>
      <c r="C1752" s="509" t="s">
        <v>543</v>
      </c>
      <c r="D1752" s="555">
        <f>D1751*0.7</f>
        <v>492.1147</v>
      </c>
      <c r="E1752" s="511">
        <f>单价汇总表!D11/100</f>
        <v>21.7295909758467</v>
      </c>
      <c r="F1752" s="510">
        <f>D1752*E1752</f>
        <v>10693.4511442015</v>
      </c>
      <c r="G1752" s="529"/>
    </row>
    <row r="1753" s="494" customFormat="1" ht="46.15" customHeight="1" spans="1:7">
      <c r="A1753" s="539"/>
      <c r="B1753" s="517" t="s">
        <v>770</v>
      </c>
      <c r="C1753" s="509" t="s">
        <v>90</v>
      </c>
      <c r="D1753" s="510">
        <f>33</f>
        <v>33</v>
      </c>
      <c r="E1753" s="511" t="e">
        <f>单价汇总表!#REF!/100</f>
        <v>#REF!</v>
      </c>
      <c r="F1753" s="510" t="e">
        <f t="shared" si="156"/>
        <v>#REF!</v>
      </c>
      <c r="G1753" s="529"/>
    </row>
    <row r="1754" s="494" customFormat="1" ht="18" customHeight="1" spans="1:7">
      <c r="A1754" s="539"/>
      <c r="B1754" s="503" t="s">
        <v>771</v>
      </c>
      <c r="C1754" s="509" t="s">
        <v>543</v>
      </c>
      <c r="D1754" s="511">
        <f>0.8*0.2*2.4*1.1</f>
        <v>0.4224</v>
      </c>
      <c r="E1754" s="511" t="e">
        <f>单价汇总表!#REF!/100</f>
        <v>#REF!</v>
      </c>
      <c r="F1754" s="510" t="e">
        <f t="shared" si="156"/>
        <v>#REF!</v>
      </c>
      <c r="G1754" s="529"/>
    </row>
    <row r="1755" s="494" customFormat="1" ht="18" customHeight="1" spans="1:7">
      <c r="A1755" s="539"/>
      <c r="B1755" s="503" t="s">
        <v>772</v>
      </c>
      <c r="C1755" s="509" t="s">
        <v>543</v>
      </c>
      <c r="D1755" s="511">
        <f>((0.2*1.8)*8.6+(0.4*2.4)*9.7)*1.05</f>
        <v>13.0284</v>
      </c>
      <c r="E1755" s="511" t="e">
        <f>单价汇总表!#REF!/100</f>
        <v>#REF!</v>
      </c>
      <c r="F1755" s="510" t="e">
        <f t="shared" si="156"/>
        <v>#REF!</v>
      </c>
      <c r="G1755" s="529"/>
    </row>
    <row r="1756" s="494" customFormat="1" ht="18" customHeight="1" spans="1:7">
      <c r="A1756" s="539"/>
      <c r="B1756" s="503" t="s">
        <v>773</v>
      </c>
      <c r="C1756" s="509" t="s">
        <v>543</v>
      </c>
      <c r="D1756" s="511">
        <f>1.6*0.2*33*1.1</f>
        <v>11.616</v>
      </c>
      <c r="E1756" s="511" t="e">
        <f>单价汇总表!#REF!/100</f>
        <v>#REF!</v>
      </c>
      <c r="F1756" s="510" t="e">
        <f t="shared" si="156"/>
        <v>#REF!</v>
      </c>
      <c r="G1756" s="529"/>
    </row>
    <row r="1757" s="494" customFormat="1" ht="18" customHeight="1" spans="1:7">
      <c r="A1757" s="539"/>
      <c r="B1757" s="503" t="s">
        <v>774</v>
      </c>
      <c r="C1757" s="509" t="s">
        <v>543</v>
      </c>
      <c r="D1757" s="511">
        <f>(49.56+332.22)*0.2*1.1</f>
        <v>83.9916</v>
      </c>
      <c r="E1757" s="511">
        <f>单价汇总表!D19/100</f>
        <v>491.881744284308</v>
      </c>
      <c r="F1757" s="510">
        <f t="shared" si="156"/>
        <v>41313.9347132298</v>
      </c>
      <c r="G1757" s="529"/>
    </row>
    <row r="1758" s="494" customFormat="1" ht="18" customHeight="1" spans="1:7">
      <c r="A1758" s="539"/>
      <c r="B1758" s="503" t="s">
        <v>775</v>
      </c>
      <c r="C1758" s="509" t="s">
        <v>543</v>
      </c>
      <c r="D1758" s="511">
        <f>((49.56+332.22+1.04)*0.4+14.24*2.2)*1.1</f>
        <v>202.9016</v>
      </c>
      <c r="E1758" s="511" t="e">
        <f>单价汇总表!#REF!/100</f>
        <v>#REF!</v>
      </c>
      <c r="F1758" s="510" t="e">
        <f t="shared" si="156"/>
        <v>#REF!</v>
      </c>
      <c r="G1758" s="529"/>
    </row>
    <row r="1759" s="494" customFormat="1" ht="18" customHeight="1" spans="1:7">
      <c r="A1759" s="539"/>
      <c r="B1759" s="503" t="s">
        <v>776</v>
      </c>
      <c r="C1759" s="509" t="s">
        <v>543</v>
      </c>
      <c r="D1759" s="511">
        <f>((13.14*6+2.96*4)+(52.89*4.71+25.32*1.163))*1.05</f>
        <v>387.701013</v>
      </c>
      <c r="E1759" s="511" t="e">
        <f>单价汇总表!#REF!/100</f>
        <v>#REF!</v>
      </c>
      <c r="F1759" s="510" t="e">
        <f t="shared" si="156"/>
        <v>#REF!</v>
      </c>
      <c r="G1759" s="529"/>
    </row>
    <row r="1760" s="494" customFormat="1" ht="18" customHeight="1" spans="1:7">
      <c r="A1760" s="539"/>
      <c r="B1760" s="503" t="s">
        <v>777</v>
      </c>
      <c r="C1760" s="509" t="s">
        <v>543</v>
      </c>
      <c r="D1760" s="511">
        <f>(9.75*2+20.2+30.2+4)*0.2*0.3*1.1</f>
        <v>4.8774</v>
      </c>
      <c r="E1760" s="511" t="e">
        <f>单价汇总表!#REF!/100</f>
        <v>#REF!</v>
      </c>
      <c r="F1760" s="510" t="e">
        <f t="shared" si="156"/>
        <v>#REF!</v>
      </c>
      <c r="G1760" s="529"/>
    </row>
    <row r="1761" s="494" customFormat="1" ht="18" customHeight="1" spans="1:7">
      <c r="A1761" s="539"/>
      <c r="B1761" s="503" t="s">
        <v>778</v>
      </c>
      <c r="C1761" s="509" t="s">
        <v>543</v>
      </c>
      <c r="D1761" s="511">
        <f>(445.43+172.28+398.45)*0.3*1.1</f>
        <v>335.3328</v>
      </c>
      <c r="E1761" s="511">
        <f>单价汇总表!D13/100</f>
        <v>595.214434120762</v>
      </c>
      <c r="F1761" s="510">
        <f t="shared" si="156"/>
        <v>199594.922794131</v>
      </c>
      <c r="G1761" s="529"/>
    </row>
    <row r="1762" s="494" customFormat="1" ht="18" customHeight="1" spans="1:7">
      <c r="A1762" s="539"/>
      <c r="B1762" s="503" t="s">
        <v>779</v>
      </c>
      <c r="C1762" s="509" t="s">
        <v>69</v>
      </c>
      <c r="D1762" s="511">
        <f>3439.7*0.617/1000*1.1</f>
        <v>2.33452439</v>
      </c>
      <c r="E1762" s="511">
        <f>单价汇总表!D14</f>
        <v>6220.99382408393</v>
      </c>
      <c r="F1762" s="510">
        <f t="shared" si="156"/>
        <v>14523.0618123633</v>
      </c>
      <c r="G1762" s="529"/>
    </row>
    <row r="1763" s="494" customFormat="1" ht="18" customHeight="1" spans="1:7">
      <c r="A1763" s="539"/>
      <c r="B1763" s="503" t="s">
        <v>780</v>
      </c>
      <c r="C1763" s="509" t="s">
        <v>543</v>
      </c>
      <c r="D1763" s="511">
        <f>(D1754+D1755+D1756+D1757+D1760)*1.05</f>
        <v>119.63259</v>
      </c>
      <c r="E1763" s="511" t="e">
        <f>单价汇总表!#REF!</f>
        <v>#REF!</v>
      </c>
      <c r="F1763" s="510" t="e">
        <f t="shared" si="156"/>
        <v>#REF!</v>
      </c>
      <c r="G1763" s="529"/>
    </row>
    <row r="1764" s="494" customFormat="1" ht="46.15" customHeight="1" spans="1:7">
      <c r="A1764" s="539"/>
      <c r="B1764" s="517" t="s">
        <v>781</v>
      </c>
      <c r="C1764" s="509" t="s">
        <v>155</v>
      </c>
      <c r="D1764" s="510">
        <v>1</v>
      </c>
      <c r="E1764" s="510">
        <v>150000</v>
      </c>
      <c r="F1764" s="510">
        <f t="shared" si="156"/>
        <v>150000</v>
      </c>
      <c r="G1764" s="529"/>
    </row>
    <row r="1765" s="494" customFormat="1" ht="18" customHeight="1" spans="1:7">
      <c r="A1765" s="539">
        <v>5.2</v>
      </c>
      <c r="B1765" s="505" t="s">
        <v>782</v>
      </c>
      <c r="C1765" s="539" t="s">
        <v>716</v>
      </c>
      <c r="D1765" s="548">
        <v>5</v>
      </c>
      <c r="E1765" s="508" t="e">
        <f>F1766</f>
        <v>#REF!</v>
      </c>
      <c r="F1765" s="508" t="e">
        <f t="shared" si="156"/>
        <v>#REF!</v>
      </c>
      <c r="G1765" s="529"/>
    </row>
    <row r="1766" s="494" customFormat="1" ht="18" customHeight="1" spans="1:7">
      <c r="A1766" s="539"/>
      <c r="B1766" s="505" t="str">
        <f>B1750</f>
        <v>单座工程量</v>
      </c>
      <c r="C1766" s="539" t="s">
        <v>716</v>
      </c>
      <c r="D1766" s="548">
        <v>1</v>
      </c>
      <c r="E1766" s="511"/>
      <c r="F1766" s="508" t="e">
        <f>SUM(F1767:F1775)</f>
        <v>#REF!</v>
      </c>
      <c r="G1766" s="529"/>
    </row>
    <row r="1767" s="490" customFormat="1" ht="18" customHeight="1" spans="1:7">
      <c r="A1767" s="509"/>
      <c r="B1767" s="503" t="s">
        <v>61</v>
      </c>
      <c r="C1767" s="509" t="s">
        <v>543</v>
      </c>
      <c r="D1767" s="555">
        <f>1755*1.05</f>
        <v>1842.75</v>
      </c>
      <c r="E1767" s="511" t="e">
        <f>E1751</f>
        <v>#REF!</v>
      </c>
      <c r="F1767" s="510" t="e">
        <f t="shared" ref="F1767:F1775" si="157">D1767*E1767</f>
        <v>#REF!</v>
      </c>
      <c r="G1767" s="521"/>
    </row>
    <row r="1768" s="490" customFormat="1" ht="18" customHeight="1" spans="1:7">
      <c r="A1768" s="509"/>
      <c r="B1768" s="503" t="s">
        <v>63</v>
      </c>
      <c r="C1768" s="509" t="s">
        <v>543</v>
      </c>
      <c r="D1768" s="555">
        <f>1521</f>
        <v>1521</v>
      </c>
      <c r="E1768" s="511">
        <f>单价汇总表!D10/100</f>
        <v>6.31435138821432</v>
      </c>
      <c r="F1768" s="510">
        <f t="shared" si="157"/>
        <v>9604.12846147398</v>
      </c>
      <c r="G1768" s="521"/>
    </row>
    <row r="1769" s="490" customFormat="1" ht="18" customHeight="1" spans="1:7">
      <c r="A1769" s="509"/>
      <c r="B1769" s="503" t="s">
        <v>783</v>
      </c>
      <c r="C1769" s="509" t="s">
        <v>543</v>
      </c>
      <c r="D1769" s="555">
        <f>130*1.05</f>
        <v>136.5</v>
      </c>
      <c r="E1769" s="511" t="e">
        <f>E1758</f>
        <v>#REF!</v>
      </c>
      <c r="F1769" s="510" t="e">
        <f t="shared" si="157"/>
        <v>#REF!</v>
      </c>
      <c r="G1769" s="521"/>
    </row>
    <row r="1770" s="490" customFormat="1" ht="18" customHeight="1" spans="1:7">
      <c r="A1770" s="509"/>
      <c r="B1770" s="503" t="s">
        <v>784</v>
      </c>
      <c r="C1770" s="509" t="s">
        <v>543</v>
      </c>
      <c r="D1770" s="555">
        <f>97.5*1.05</f>
        <v>102.375</v>
      </c>
      <c r="E1770" s="511">
        <f>单价汇总表!D21/100</f>
        <v>564.249291609108</v>
      </c>
      <c r="F1770" s="510">
        <f t="shared" si="157"/>
        <v>57765.0212284824</v>
      </c>
      <c r="G1770" s="521"/>
    </row>
    <row r="1771" s="490" customFormat="1" ht="18" customHeight="1" spans="1:7">
      <c r="A1771" s="509"/>
      <c r="B1771" s="503" t="s">
        <v>785</v>
      </c>
      <c r="C1771" s="509" t="s">
        <v>543</v>
      </c>
      <c r="D1771" s="555">
        <f>331.5*1.05</f>
        <v>348.075</v>
      </c>
      <c r="E1771" s="511" t="e">
        <f>单价汇总表!#REF!/100</f>
        <v>#REF!</v>
      </c>
      <c r="F1771" s="510" t="e">
        <f t="shared" si="157"/>
        <v>#REF!</v>
      </c>
      <c r="G1771" s="521"/>
    </row>
    <row r="1772" s="490" customFormat="1" ht="18" customHeight="1" spans="1:7">
      <c r="A1772" s="509"/>
      <c r="B1772" s="503" t="s">
        <v>433</v>
      </c>
      <c r="C1772" s="509" t="s">
        <v>543</v>
      </c>
      <c r="D1772" s="555">
        <f>65*1.05</f>
        <v>68.25</v>
      </c>
      <c r="E1772" s="511">
        <f>新定额单价!L113/100</f>
        <v>142.156562142498</v>
      </c>
      <c r="F1772" s="510">
        <f t="shared" si="157"/>
        <v>9702.18536622549</v>
      </c>
      <c r="G1772" s="521"/>
    </row>
    <row r="1773" s="490" customFormat="1" ht="18" customHeight="1" spans="1:7">
      <c r="A1773" s="509"/>
      <c r="B1773" s="503" t="s">
        <v>68</v>
      </c>
      <c r="C1773" s="509" t="s">
        <v>69</v>
      </c>
      <c r="D1773" s="555">
        <f>9.29*1.05</f>
        <v>9.7545</v>
      </c>
      <c r="E1773" s="511">
        <f>E1762</f>
        <v>6220.99382408393</v>
      </c>
      <c r="F1773" s="510">
        <f t="shared" si="157"/>
        <v>60682.6842570267</v>
      </c>
      <c r="G1773" s="521"/>
    </row>
    <row r="1774" s="490" customFormat="1" ht="18" customHeight="1" spans="1:7">
      <c r="A1774" s="509"/>
      <c r="B1774" s="503" t="s">
        <v>85</v>
      </c>
      <c r="C1774" s="509" t="s">
        <v>543</v>
      </c>
      <c r="D1774" s="555">
        <f>0.5*1.05</f>
        <v>0.525</v>
      </c>
      <c r="E1774" s="511">
        <f>6000</f>
        <v>6000</v>
      </c>
      <c r="F1774" s="510">
        <f t="shared" si="157"/>
        <v>3150</v>
      </c>
      <c r="G1774" s="521"/>
    </row>
    <row r="1775" s="490" customFormat="1" ht="18" customHeight="1" spans="1:7">
      <c r="A1775" s="551"/>
      <c r="B1775" s="503" t="s">
        <v>786</v>
      </c>
      <c r="C1775" s="509" t="s">
        <v>543</v>
      </c>
      <c r="D1775" s="555">
        <f>5*1.05</f>
        <v>5.25</v>
      </c>
      <c r="E1775" s="511">
        <v>480</v>
      </c>
      <c r="F1775" s="510">
        <f t="shared" si="157"/>
        <v>2520</v>
      </c>
      <c r="G1775" s="521"/>
    </row>
    <row r="1776" s="490" customFormat="1" ht="18" customHeight="1" spans="1:7">
      <c r="A1776" s="539">
        <v>6</v>
      </c>
      <c r="B1776" s="505" t="s">
        <v>787</v>
      </c>
      <c r="C1776" s="539"/>
      <c r="D1776" s="539"/>
      <c r="E1776" s="511"/>
      <c r="F1776" s="508" t="e">
        <f>F1777+F1780+F1789+F1793</f>
        <v>#REF!</v>
      </c>
      <c r="G1776" s="521"/>
    </row>
    <row r="1777" s="490" customFormat="1" ht="18" customHeight="1" spans="1:7">
      <c r="A1777" s="539">
        <v>6.1</v>
      </c>
      <c r="B1777" s="505" t="s">
        <v>788</v>
      </c>
      <c r="C1777" s="539" t="s">
        <v>90</v>
      </c>
      <c r="D1777" s="539">
        <v>3390</v>
      </c>
      <c r="E1777" s="511"/>
      <c r="F1777" s="508" t="e">
        <f>F1778+F1779</f>
        <v>#REF!</v>
      </c>
      <c r="G1777" s="521"/>
    </row>
    <row r="1778" s="490" customFormat="1" ht="18" customHeight="1" spans="1:7">
      <c r="A1778" s="539"/>
      <c r="B1778" s="503" t="s">
        <v>789</v>
      </c>
      <c r="C1778" s="509" t="s">
        <v>543</v>
      </c>
      <c r="D1778" s="511">
        <f>103650.925*1.1*3.83</f>
        <v>436681.347025</v>
      </c>
      <c r="E1778" s="511">
        <f>单价汇总表!D10/100</f>
        <v>6.31435138821432</v>
      </c>
      <c r="F1778" s="510">
        <f t="shared" ref="F1778:F1796" si="158">D1778*E1778</f>
        <v>2757359.46979461</v>
      </c>
      <c r="G1778" s="521"/>
    </row>
    <row r="1779" s="490" customFormat="1" ht="18" customHeight="1" spans="1:11">
      <c r="A1779" s="539"/>
      <c r="B1779" s="503" t="s">
        <v>790</v>
      </c>
      <c r="C1779" s="550" t="s">
        <v>543</v>
      </c>
      <c r="D1779" s="511">
        <f>16366.45*1.1*3.83</f>
        <v>68951.85385</v>
      </c>
      <c r="E1779" s="511" t="e">
        <f>单价汇总表!#REF!/100+单价汇总表!#REF!/100</f>
        <v>#REF!</v>
      </c>
      <c r="F1779" s="510" t="e">
        <f t="shared" si="158"/>
        <v>#REF!</v>
      </c>
      <c r="G1779" s="521"/>
      <c r="J1779" s="559"/>
      <c r="K1779" s="559"/>
    </row>
    <row r="1780" s="490" customFormat="1" ht="18" customHeight="1" spans="1:11">
      <c r="A1780" s="539">
        <v>6.2</v>
      </c>
      <c r="B1780" s="505" t="s">
        <v>791</v>
      </c>
      <c r="C1780" s="539" t="s">
        <v>373</v>
      </c>
      <c r="D1780" s="539">
        <v>4.5</v>
      </c>
      <c r="E1780" s="511"/>
      <c r="F1780" s="508" t="e">
        <f>SUM(F1781:F1788)</f>
        <v>#REF!</v>
      </c>
      <c r="G1780" s="521"/>
      <c r="J1780" s="559"/>
      <c r="K1780" s="559"/>
    </row>
    <row r="1781" s="490" customFormat="1" ht="18" customHeight="1" spans="1:11">
      <c r="A1781" s="539"/>
      <c r="B1781" s="503" t="s">
        <v>61</v>
      </c>
      <c r="C1781" s="509" t="s">
        <v>62</v>
      </c>
      <c r="D1781" s="511">
        <f>15262.5</f>
        <v>15262.5</v>
      </c>
      <c r="E1781" s="511" t="e">
        <f>E1247</f>
        <v>#REF!</v>
      </c>
      <c r="F1781" s="510" t="e">
        <f t="shared" si="158"/>
        <v>#REF!</v>
      </c>
      <c r="G1781" s="521"/>
      <c r="J1781" s="559"/>
      <c r="K1781" s="559"/>
    </row>
    <row r="1782" s="490" customFormat="1" ht="18" customHeight="1" spans="1:11">
      <c r="A1782" s="539"/>
      <c r="B1782" s="503" t="s">
        <v>792</v>
      </c>
      <c r="C1782" s="509" t="s">
        <v>62</v>
      </c>
      <c r="D1782" s="511">
        <f>6750</f>
        <v>6750</v>
      </c>
      <c r="E1782" s="511">
        <f>E1248</f>
        <v>15.5634951407938</v>
      </c>
      <c r="F1782" s="510">
        <f t="shared" si="158"/>
        <v>105053.592200358</v>
      </c>
      <c r="G1782" s="521"/>
      <c r="J1782" s="559"/>
      <c r="K1782" s="559"/>
    </row>
    <row r="1783" s="490" customFormat="1" ht="18" customHeight="1" spans="1:11">
      <c r="A1783" s="539"/>
      <c r="B1783" s="503" t="s">
        <v>793</v>
      </c>
      <c r="C1783" s="509" t="s">
        <v>62</v>
      </c>
      <c r="D1783" s="511">
        <f>22568</f>
        <v>22568</v>
      </c>
      <c r="E1783" s="511" t="e">
        <f>单价汇总表!#REF!/100</f>
        <v>#REF!</v>
      </c>
      <c r="F1783" s="510" t="e">
        <f t="shared" si="158"/>
        <v>#REF!</v>
      </c>
      <c r="G1783" s="521"/>
      <c r="J1783" s="559"/>
      <c r="K1783" s="559"/>
    </row>
    <row r="1784" s="490" customFormat="1" ht="18" customHeight="1" spans="1:11">
      <c r="A1784" s="539"/>
      <c r="B1784" s="503" t="s">
        <v>794</v>
      </c>
      <c r="C1784" s="181" t="s">
        <v>394</v>
      </c>
      <c r="D1784" s="511">
        <f>56281.25</f>
        <v>56281.25</v>
      </c>
      <c r="E1784" s="511" t="e">
        <f>E1685</f>
        <v>#REF!</v>
      </c>
      <c r="F1784" s="510" t="e">
        <f t="shared" si="158"/>
        <v>#REF!</v>
      </c>
      <c r="G1784" s="521"/>
      <c r="J1784" s="559"/>
      <c r="K1784" s="559"/>
    </row>
    <row r="1785" s="490" customFormat="1" ht="18" customHeight="1" spans="1:11">
      <c r="A1785" s="539"/>
      <c r="B1785" s="503" t="s">
        <v>795</v>
      </c>
      <c r="C1785" s="509" t="s">
        <v>62</v>
      </c>
      <c r="D1785" s="511">
        <f>3468.75</f>
        <v>3468.75</v>
      </c>
      <c r="E1785" s="511" t="e">
        <f>E1197</f>
        <v>#REF!</v>
      </c>
      <c r="F1785" s="510" t="e">
        <f t="shared" si="158"/>
        <v>#REF!</v>
      </c>
      <c r="G1785" s="521"/>
      <c r="J1785" s="559"/>
      <c r="K1785" s="559"/>
    </row>
    <row r="1786" s="490" customFormat="1" ht="18" customHeight="1" spans="1:11">
      <c r="A1786" s="539"/>
      <c r="B1786" s="503" t="s">
        <v>796</v>
      </c>
      <c r="C1786" s="509" t="s">
        <v>62</v>
      </c>
      <c r="D1786" s="511">
        <f>6359.375</f>
        <v>6359.375</v>
      </c>
      <c r="E1786" s="511" t="e">
        <f>E1198</f>
        <v>#REF!</v>
      </c>
      <c r="F1786" s="510" t="e">
        <f t="shared" si="158"/>
        <v>#REF!</v>
      </c>
      <c r="G1786" s="521"/>
      <c r="J1786" s="559"/>
      <c r="K1786" s="559"/>
    </row>
    <row r="1787" s="490" customFormat="1" ht="18" customHeight="1" spans="1:11">
      <c r="A1787" s="539"/>
      <c r="B1787" s="503" t="s">
        <v>797</v>
      </c>
      <c r="C1787" s="509" t="s">
        <v>62</v>
      </c>
      <c r="D1787" s="511">
        <f>3700</f>
        <v>3700</v>
      </c>
      <c r="E1787" s="511" t="e">
        <f>单价汇总表!#REF!/100</f>
        <v>#REF!</v>
      </c>
      <c r="F1787" s="510" t="e">
        <f t="shared" si="158"/>
        <v>#REF!</v>
      </c>
      <c r="G1787" s="521"/>
      <c r="J1787" s="559"/>
      <c r="K1787" s="559"/>
    </row>
    <row r="1788" s="490" customFormat="1" ht="18" customHeight="1" spans="1:11">
      <c r="A1788" s="539"/>
      <c r="B1788" s="503" t="s">
        <v>798</v>
      </c>
      <c r="C1788" s="509" t="s">
        <v>62</v>
      </c>
      <c r="D1788" s="511">
        <f>675</f>
        <v>675</v>
      </c>
      <c r="E1788" s="511">
        <f>单价汇总表!D20/100</f>
        <v>532.455329189905</v>
      </c>
      <c r="F1788" s="510">
        <f t="shared" si="158"/>
        <v>359407.347203186</v>
      </c>
      <c r="G1788" s="521"/>
      <c r="J1788" s="559"/>
      <c r="K1788" s="559"/>
    </row>
    <row r="1789" s="490" customFormat="1" ht="18" customHeight="1" spans="1:11">
      <c r="A1789" s="539">
        <v>6.3</v>
      </c>
      <c r="B1789" s="505" t="s">
        <v>799</v>
      </c>
      <c r="C1789" s="539" t="s">
        <v>90</v>
      </c>
      <c r="D1789" s="539">
        <f>3390</f>
        <v>3390</v>
      </c>
      <c r="E1789" s="511"/>
      <c r="F1789" s="508" t="e">
        <f>F1790+F1791+F1792</f>
        <v>#REF!</v>
      </c>
      <c r="G1789" s="521"/>
      <c r="J1789" s="559"/>
      <c r="K1789" s="559"/>
    </row>
    <row r="1790" s="490" customFormat="1" ht="18" customHeight="1" spans="1:11">
      <c r="A1790" s="539"/>
      <c r="B1790" s="503" t="s">
        <v>61</v>
      </c>
      <c r="C1790" s="509" t="s">
        <v>543</v>
      </c>
      <c r="D1790" s="511">
        <f>D1789*0.15*5</f>
        <v>2542.5</v>
      </c>
      <c r="E1790" s="511" t="e">
        <f>E1705</f>
        <v>#REF!</v>
      </c>
      <c r="F1790" s="510" t="e">
        <f t="shared" si="158"/>
        <v>#REF!</v>
      </c>
      <c r="G1790" s="521"/>
      <c r="J1790" s="559"/>
      <c r="K1790" s="559"/>
    </row>
    <row r="1791" s="490" customFormat="1" ht="18" customHeight="1" spans="1:11">
      <c r="A1791" s="539"/>
      <c r="B1791" s="503" t="s">
        <v>63</v>
      </c>
      <c r="C1791" s="509" t="s">
        <v>543</v>
      </c>
      <c r="D1791" s="511">
        <f>D1790*0.35</f>
        <v>889.875</v>
      </c>
      <c r="E1791" s="511">
        <f>E1706</f>
        <v>6.31435138821432</v>
      </c>
      <c r="F1791" s="510">
        <f t="shared" si="158"/>
        <v>5618.98344158722</v>
      </c>
      <c r="G1791" s="521"/>
      <c r="J1791" s="559"/>
      <c r="K1791" s="559"/>
    </row>
    <row r="1792" s="490" customFormat="1" ht="37.9" customHeight="1" spans="1:7">
      <c r="A1792" s="539"/>
      <c r="B1792" s="517" t="s">
        <v>800</v>
      </c>
      <c r="C1792" s="509" t="s">
        <v>531</v>
      </c>
      <c r="D1792" s="511">
        <f>5*D1789*1.05</f>
        <v>17797.5</v>
      </c>
      <c r="E1792" s="511" t="e">
        <f>E1707</f>
        <v>#REF!</v>
      </c>
      <c r="F1792" s="510" t="e">
        <f t="shared" si="158"/>
        <v>#REF!</v>
      </c>
      <c r="G1792" s="521"/>
    </row>
    <row r="1793" s="490" customFormat="1" ht="22.15" customHeight="1" spans="1:7">
      <c r="A1793" s="539">
        <v>6.4</v>
      </c>
      <c r="B1793" s="505" t="s">
        <v>801</v>
      </c>
      <c r="C1793" s="539" t="s">
        <v>90</v>
      </c>
      <c r="D1793" s="539">
        <v>6000</v>
      </c>
      <c r="E1793" s="511"/>
      <c r="F1793" s="508" t="e">
        <f>F1794+F1795+F1796</f>
        <v>#REF!</v>
      </c>
      <c r="G1793" s="521"/>
    </row>
    <row r="1794" s="490" customFormat="1" ht="22.15" customHeight="1" spans="1:7">
      <c r="A1794" s="560"/>
      <c r="B1794" s="503" t="s">
        <v>61</v>
      </c>
      <c r="C1794" s="509" t="s">
        <v>543</v>
      </c>
      <c r="D1794" s="555">
        <f>D1793*0.15*3</f>
        <v>2700</v>
      </c>
      <c r="E1794" s="511" t="e">
        <f>E1790</f>
        <v>#REF!</v>
      </c>
      <c r="F1794" s="510" t="e">
        <f t="shared" si="158"/>
        <v>#REF!</v>
      </c>
      <c r="G1794" s="521"/>
    </row>
    <row r="1795" s="490" customFormat="1" ht="22.15" customHeight="1" spans="1:7">
      <c r="A1795" s="560"/>
      <c r="B1795" s="503" t="s">
        <v>63</v>
      </c>
      <c r="C1795" s="509" t="s">
        <v>543</v>
      </c>
      <c r="D1795" s="555">
        <f>D1794*0.35</f>
        <v>945</v>
      </c>
      <c r="E1795" s="511">
        <f>E1791</f>
        <v>6.31435138821432</v>
      </c>
      <c r="F1795" s="510">
        <f t="shared" si="158"/>
        <v>5967.06206186253</v>
      </c>
      <c r="G1795" s="521"/>
    </row>
    <row r="1796" s="490" customFormat="1" ht="22.15" customHeight="1" spans="1:7">
      <c r="A1796" s="560"/>
      <c r="B1796" s="503" t="s">
        <v>802</v>
      </c>
      <c r="C1796" s="509" t="s">
        <v>531</v>
      </c>
      <c r="D1796" s="555">
        <f>3*D1793*1.05</f>
        <v>18900</v>
      </c>
      <c r="E1796" s="511" t="e">
        <f>E1792</f>
        <v>#REF!</v>
      </c>
      <c r="F1796" s="510" t="e">
        <f t="shared" si="158"/>
        <v>#REF!</v>
      </c>
      <c r="G1796" s="521"/>
    </row>
    <row r="1797" customHeight="1" spans="1:7">
      <c r="A1797" s="495" t="s">
        <v>162</v>
      </c>
      <c r="B1797" s="507" t="s">
        <v>803</v>
      </c>
      <c r="C1797" s="539"/>
      <c r="D1797" s="539"/>
      <c r="E1797" s="539"/>
      <c r="F1797" s="508">
        <f>F1798+F1800</f>
        <v>4674000</v>
      </c>
      <c r="G1797" s="509"/>
    </row>
    <row r="1798" customHeight="1" spans="1:7">
      <c r="A1798" s="529">
        <v>1</v>
      </c>
      <c r="B1798" s="530" t="s">
        <v>804</v>
      </c>
      <c r="C1798" s="529"/>
      <c r="D1798" s="529"/>
      <c r="E1798" s="529"/>
      <c r="F1798" s="529">
        <f>SUM(F1799:F1799)</f>
        <v>500000</v>
      </c>
      <c r="G1798" s="509"/>
    </row>
    <row r="1799" customHeight="1" spans="1:7">
      <c r="A1799" s="521"/>
      <c r="B1799" s="522" t="s">
        <v>805</v>
      </c>
      <c r="C1799" s="521" t="s">
        <v>806</v>
      </c>
      <c r="D1799" s="521">
        <v>200</v>
      </c>
      <c r="E1799" s="521">
        <v>2500</v>
      </c>
      <c r="F1799" s="521">
        <f>E1799*D1799</f>
        <v>500000</v>
      </c>
      <c r="G1799" s="521"/>
    </row>
    <row r="1800" customHeight="1" spans="1:7">
      <c r="A1800" s="529">
        <v>2</v>
      </c>
      <c r="B1800" s="530" t="s">
        <v>114</v>
      </c>
      <c r="C1800" s="529"/>
      <c r="D1800" s="529"/>
      <c r="E1800" s="529"/>
      <c r="F1800" s="529">
        <f>F1801</f>
        <v>4174000</v>
      </c>
      <c r="G1800" s="509"/>
    </row>
    <row r="1801" customHeight="1" spans="1:7">
      <c r="A1801" s="522"/>
      <c r="B1801" s="522" t="s">
        <v>807</v>
      </c>
      <c r="C1801" s="521" t="s">
        <v>90</v>
      </c>
      <c r="D1801" s="521">
        <v>2000</v>
      </c>
      <c r="E1801" s="521">
        <f>1902+120+65</f>
        <v>2087</v>
      </c>
      <c r="F1801" s="521">
        <f>E1801*D1801</f>
        <v>4174000</v>
      </c>
      <c r="G1801" s="561"/>
    </row>
    <row r="1802" customFormat="1" customHeight="1" spans="1:7">
      <c r="A1802" s="529" t="s">
        <v>808</v>
      </c>
      <c r="B1802" s="530" t="e">
        <f>总概算核!#REF!</f>
        <v>#REF!</v>
      </c>
      <c r="C1802" s="529"/>
      <c r="D1802" s="529"/>
      <c r="E1802" s="529"/>
      <c r="F1802" s="529" t="e">
        <f>F1803+F1804+F1805</f>
        <v>#REF!</v>
      </c>
      <c r="G1802" s="419"/>
    </row>
    <row r="1803" customFormat="1" customHeight="1" spans="1:7">
      <c r="A1803" s="522"/>
      <c r="B1803" s="522" t="e">
        <f>总概算核!#REF!</f>
        <v>#REF!</v>
      </c>
      <c r="C1803" s="521"/>
      <c r="D1803" s="521"/>
      <c r="E1803" s="521"/>
      <c r="F1803" s="525" t="e">
        <f>总概算核!#REF!*10000</f>
        <v>#REF!</v>
      </c>
      <c r="G1803" s="561"/>
    </row>
    <row r="1804" customFormat="1" customHeight="1" spans="1:7">
      <c r="A1804" s="522"/>
      <c r="B1804" s="522" t="e">
        <f>总概算核!#REF!</f>
        <v>#REF!</v>
      </c>
      <c r="C1804" s="521"/>
      <c r="D1804" s="521"/>
      <c r="E1804" s="521"/>
      <c r="F1804" s="525" t="e">
        <f>总概算核!#REF!*10000</f>
        <v>#REF!</v>
      </c>
      <c r="G1804" s="561"/>
    </row>
    <row r="1805" customFormat="1" customHeight="1" spans="1:7">
      <c r="A1805" s="522"/>
      <c r="B1805" s="522" t="e">
        <f>总概算核!#REF!</f>
        <v>#REF!</v>
      </c>
      <c r="C1805" s="521"/>
      <c r="D1805" s="521"/>
      <c r="E1805" s="521"/>
      <c r="F1805" s="525" t="e">
        <f>总概算核!#REF!*10000</f>
        <v>#REF!</v>
      </c>
      <c r="G1805" s="561"/>
    </row>
    <row r="1806" s="492" customFormat="1" ht="22.15" customHeight="1" spans="1:7">
      <c r="A1806" s="539" t="s">
        <v>809</v>
      </c>
      <c r="B1806" s="507" t="s">
        <v>810</v>
      </c>
      <c r="C1806" s="539"/>
      <c r="D1806" s="539"/>
      <c r="E1806" s="539"/>
      <c r="F1806" s="508">
        <f>F1807+F1819+F1830+F1849</f>
        <v>288892472.211323</v>
      </c>
      <c r="G1806" s="539"/>
    </row>
    <row r="1807" ht="22.15" customHeight="1" spans="1:7">
      <c r="A1807" s="529" t="s">
        <v>57</v>
      </c>
      <c r="B1807" s="562" t="s">
        <v>811</v>
      </c>
      <c r="C1807" s="539"/>
      <c r="D1807" s="539"/>
      <c r="E1807" s="539"/>
      <c r="F1807" s="508">
        <f>SUM(F1808:F1818)</f>
        <v>203818362.211323</v>
      </c>
      <c r="G1807" s="509"/>
    </row>
    <row r="1808" ht="22.15" customHeight="1" spans="1:7">
      <c r="A1808" s="521">
        <v>1</v>
      </c>
      <c r="B1808" s="563" t="s">
        <v>811</v>
      </c>
      <c r="C1808" s="509" t="s">
        <v>531</v>
      </c>
      <c r="D1808" s="525">
        <v>531133</v>
      </c>
      <c r="E1808" s="564">
        <v>260</v>
      </c>
      <c r="F1808" s="510">
        <f>D1808*E1808</f>
        <v>138094580</v>
      </c>
      <c r="G1808" s="509"/>
    </row>
    <row r="1809" ht="22.15" customHeight="1" spans="1:7">
      <c r="A1809" s="521">
        <v>2</v>
      </c>
      <c r="B1809" s="563" t="s">
        <v>812</v>
      </c>
      <c r="C1809" s="565" t="s">
        <v>90</v>
      </c>
      <c r="D1809" s="525">
        <v>99925</v>
      </c>
      <c r="E1809" s="564">
        <v>45</v>
      </c>
      <c r="F1809" s="510">
        <f t="shared" ref="F1809:F1836" si="159">D1809*E1809</f>
        <v>4496625</v>
      </c>
      <c r="G1809" s="509"/>
    </row>
    <row r="1810" ht="22.15" customHeight="1" spans="1:7">
      <c r="A1810" s="521">
        <v>3</v>
      </c>
      <c r="B1810" s="563" t="s">
        <v>813</v>
      </c>
      <c r="C1810" s="509" t="s">
        <v>543</v>
      </c>
      <c r="D1810" s="525">
        <v>449967</v>
      </c>
      <c r="E1810" s="564">
        <v>25.7367240484774</v>
      </c>
      <c r="F1810" s="510">
        <f t="shared" si="159"/>
        <v>11580676.5099212</v>
      </c>
      <c r="G1810" s="509"/>
    </row>
    <row r="1811" ht="22.15" customHeight="1" spans="1:7">
      <c r="A1811" s="521">
        <v>4</v>
      </c>
      <c r="B1811" s="563" t="s">
        <v>814</v>
      </c>
      <c r="C1811" s="509" t="s">
        <v>543</v>
      </c>
      <c r="D1811" s="566">
        <v>44997</v>
      </c>
      <c r="E1811" s="564">
        <v>25.2882087529922</v>
      </c>
      <c r="F1811" s="510">
        <f t="shared" si="159"/>
        <v>1137893.52925839</v>
      </c>
      <c r="G1811" s="509"/>
    </row>
    <row r="1812" ht="22.15" customHeight="1" spans="1:7">
      <c r="A1812" s="521">
        <v>5</v>
      </c>
      <c r="B1812" s="563" t="s">
        <v>815</v>
      </c>
      <c r="C1812" s="509" t="s">
        <v>543</v>
      </c>
      <c r="D1812" s="525">
        <v>200469</v>
      </c>
      <c r="E1812" s="564">
        <v>25.7367240484774</v>
      </c>
      <c r="F1812" s="510">
        <f t="shared" si="159"/>
        <v>5159415.33327422</v>
      </c>
      <c r="G1812" s="509"/>
    </row>
    <row r="1813" ht="22.15" customHeight="1" spans="1:7">
      <c r="A1813" s="521">
        <v>6</v>
      </c>
      <c r="B1813" s="563" t="s">
        <v>816</v>
      </c>
      <c r="C1813" s="509" t="s">
        <v>543</v>
      </c>
      <c r="D1813" s="566">
        <v>192153</v>
      </c>
      <c r="E1813" s="564">
        <v>25.2882087529922</v>
      </c>
      <c r="F1813" s="510">
        <f t="shared" si="159"/>
        <v>4859205.17651371</v>
      </c>
      <c r="G1813" s="509"/>
    </row>
    <row r="1814" ht="22.15" customHeight="1" spans="1:7">
      <c r="A1814" s="521">
        <v>7</v>
      </c>
      <c r="B1814" s="563" t="s">
        <v>817</v>
      </c>
      <c r="C1814" s="509" t="s">
        <v>543</v>
      </c>
      <c r="D1814" s="525">
        <v>659921</v>
      </c>
      <c r="E1814" s="564">
        <v>25.7367240484774</v>
      </c>
      <c r="F1814" s="510">
        <f t="shared" si="159"/>
        <v>16984204.6707953</v>
      </c>
      <c r="G1814" s="509"/>
    </row>
    <row r="1815" ht="22.15" customHeight="1" spans="1:7">
      <c r="A1815" s="521">
        <v>8</v>
      </c>
      <c r="B1815" s="563" t="s">
        <v>818</v>
      </c>
      <c r="C1815" s="509" t="s">
        <v>543</v>
      </c>
      <c r="D1815" s="566">
        <v>725765</v>
      </c>
      <c r="E1815" s="564">
        <v>25.2882087529922</v>
      </c>
      <c r="F1815" s="510">
        <f t="shared" si="159"/>
        <v>18353296.8256154</v>
      </c>
      <c r="G1815" s="509"/>
    </row>
    <row r="1816" ht="22.15" customHeight="1" spans="1:7">
      <c r="A1816" s="521">
        <v>9</v>
      </c>
      <c r="B1816" s="563" t="s">
        <v>146</v>
      </c>
      <c r="C1816" s="509" t="s">
        <v>543</v>
      </c>
      <c r="D1816" s="525">
        <v>16427</v>
      </c>
      <c r="E1816" s="564">
        <v>25.7367240484774</v>
      </c>
      <c r="F1816" s="510">
        <f t="shared" si="159"/>
        <v>422777.165944338</v>
      </c>
      <c r="G1816" s="509"/>
    </row>
    <row r="1817" ht="22.15" customHeight="1" spans="1:7">
      <c r="A1817" s="521">
        <v>10</v>
      </c>
      <c r="B1817" s="563" t="s">
        <v>819</v>
      </c>
      <c r="C1817" s="509" t="s">
        <v>531</v>
      </c>
      <c r="D1817" s="567">
        <v>72602.4</v>
      </c>
      <c r="E1817" s="564">
        <v>20</v>
      </c>
      <c r="F1817" s="510">
        <f t="shared" si="159"/>
        <v>1452048</v>
      </c>
      <c r="G1817" s="509"/>
    </row>
    <row r="1818" ht="22.15" customHeight="1" spans="1:7">
      <c r="A1818" s="521">
        <v>11</v>
      </c>
      <c r="B1818" s="563" t="s">
        <v>820</v>
      </c>
      <c r="C1818" s="509" t="s">
        <v>543</v>
      </c>
      <c r="D1818" s="567">
        <v>3650.4</v>
      </c>
      <c r="E1818" s="564">
        <v>350</v>
      </c>
      <c r="F1818" s="510">
        <f t="shared" si="159"/>
        <v>1277640</v>
      </c>
      <c r="G1818" s="509"/>
    </row>
    <row r="1819" ht="22.15" customHeight="1" spans="1:7">
      <c r="A1819" s="529" t="s">
        <v>72</v>
      </c>
      <c r="B1819" s="530" t="s">
        <v>821</v>
      </c>
      <c r="C1819" s="539"/>
      <c r="D1819" s="539"/>
      <c r="E1819" s="539"/>
      <c r="F1819" s="508">
        <f>F1820+F1823+F1827</f>
        <v>51471000</v>
      </c>
      <c r="G1819" s="539"/>
    </row>
    <row r="1820" ht="22.15" customHeight="1" spans="1:7">
      <c r="A1820" s="521">
        <v>1</v>
      </c>
      <c r="B1820" s="522" t="s">
        <v>822</v>
      </c>
      <c r="C1820" s="509"/>
      <c r="D1820" s="509"/>
      <c r="E1820" s="509"/>
      <c r="F1820" s="510">
        <f>F1821+F1822</f>
        <v>17838000</v>
      </c>
      <c r="G1820" s="509"/>
    </row>
    <row r="1821" ht="22.15" customHeight="1" spans="1:7">
      <c r="A1821" s="521"/>
      <c r="B1821" s="522" t="s">
        <v>823</v>
      </c>
      <c r="C1821" s="509" t="s">
        <v>531</v>
      </c>
      <c r="D1821" s="525">
        <v>666</v>
      </c>
      <c r="E1821" s="525">
        <v>7000</v>
      </c>
      <c r="F1821" s="510">
        <f>D1821*E1821</f>
        <v>4662000</v>
      </c>
      <c r="G1821" s="509"/>
    </row>
    <row r="1822" ht="22.15" customHeight="1" spans="1:7">
      <c r="A1822" s="521"/>
      <c r="B1822" s="522" t="s">
        <v>824</v>
      </c>
      <c r="C1822" s="509" t="s">
        <v>531</v>
      </c>
      <c r="D1822" s="525">
        <v>1830</v>
      </c>
      <c r="E1822" s="525">
        <v>7200</v>
      </c>
      <c r="F1822" s="510">
        <f t="shared" si="159"/>
        <v>13176000</v>
      </c>
      <c r="G1822" s="509"/>
    </row>
    <row r="1823" ht="22.15" customHeight="1" spans="1:7">
      <c r="A1823" s="521">
        <v>2</v>
      </c>
      <c r="B1823" s="522" t="s">
        <v>825</v>
      </c>
      <c r="C1823" s="509"/>
      <c r="D1823" s="509"/>
      <c r="E1823" s="509"/>
      <c r="F1823" s="510">
        <f>F1824+F1825+F1826</f>
        <v>10359000</v>
      </c>
      <c r="G1823" s="509"/>
    </row>
    <row r="1824" ht="22.15" customHeight="1" spans="1:7">
      <c r="A1824" s="521"/>
      <c r="B1824" s="522" t="s">
        <v>823</v>
      </c>
      <c r="C1824" s="509" t="s">
        <v>531</v>
      </c>
      <c r="D1824" s="525">
        <v>900</v>
      </c>
      <c r="E1824" s="525">
        <v>7000</v>
      </c>
      <c r="F1824" s="510">
        <f t="shared" si="159"/>
        <v>6300000</v>
      </c>
      <c r="G1824" s="509"/>
    </row>
    <row r="1825" ht="22.15" customHeight="1" spans="1:7">
      <c r="A1825" s="521"/>
      <c r="B1825" s="522" t="s">
        <v>824</v>
      </c>
      <c r="C1825" s="509" t="s">
        <v>531</v>
      </c>
      <c r="D1825" s="525">
        <v>495</v>
      </c>
      <c r="E1825" s="525">
        <v>7200</v>
      </c>
      <c r="F1825" s="510">
        <f t="shared" si="159"/>
        <v>3564000</v>
      </c>
      <c r="G1825" s="509"/>
    </row>
    <row r="1826" ht="22.15" customHeight="1" spans="1:7">
      <c r="A1826" s="521"/>
      <c r="B1826" s="522" t="s">
        <v>826</v>
      </c>
      <c r="C1826" s="509" t="s">
        <v>531</v>
      </c>
      <c r="D1826" s="525">
        <v>165</v>
      </c>
      <c r="E1826" s="525">
        <v>3000</v>
      </c>
      <c r="F1826" s="510">
        <f t="shared" si="159"/>
        <v>495000</v>
      </c>
      <c r="G1826" s="509"/>
    </row>
    <row r="1827" ht="22.15" customHeight="1" spans="1:7">
      <c r="A1827" s="521">
        <v>3</v>
      </c>
      <c r="B1827" s="568" t="s">
        <v>827</v>
      </c>
      <c r="C1827" s="509"/>
      <c r="D1827" s="509"/>
      <c r="E1827" s="509"/>
      <c r="F1827" s="510">
        <f>F1828+F1829</f>
        <v>23274000</v>
      </c>
      <c r="G1827" s="509"/>
    </row>
    <row r="1828" ht="22.15" customHeight="1" spans="1:7">
      <c r="A1828" s="521"/>
      <c r="B1828" s="522" t="s">
        <v>824</v>
      </c>
      <c r="C1828" s="509" t="s">
        <v>531</v>
      </c>
      <c r="D1828" s="525">
        <v>2820</v>
      </c>
      <c r="E1828" s="525">
        <v>7200</v>
      </c>
      <c r="F1828" s="510">
        <f t="shared" si="159"/>
        <v>20304000</v>
      </c>
      <c r="G1828" s="509"/>
    </row>
    <row r="1829" ht="22.15" customHeight="1" spans="1:7">
      <c r="A1829" s="521"/>
      <c r="B1829" s="522" t="s">
        <v>826</v>
      </c>
      <c r="C1829" s="509" t="s">
        <v>531</v>
      </c>
      <c r="D1829" s="525">
        <v>990</v>
      </c>
      <c r="E1829" s="525">
        <v>3000</v>
      </c>
      <c r="F1829" s="510">
        <f t="shared" si="159"/>
        <v>2970000</v>
      </c>
      <c r="G1829" s="509"/>
    </row>
    <row r="1830" ht="22.15" customHeight="1" spans="1:7">
      <c r="A1830" s="529" t="s">
        <v>162</v>
      </c>
      <c r="B1830" s="530" t="s">
        <v>828</v>
      </c>
      <c r="C1830" s="539"/>
      <c r="D1830" s="539"/>
      <c r="E1830" s="539"/>
      <c r="F1830" s="508">
        <f>F1831+F1837+F1843</f>
        <v>19763000</v>
      </c>
      <c r="G1830" s="539"/>
    </row>
    <row r="1831" ht="22.15" customHeight="1" spans="1:7">
      <c r="A1831" s="521">
        <v>1</v>
      </c>
      <c r="B1831" s="522" t="s">
        <v>822</v>
      </c>
      <c r="C1831" s="509"/>
      <c r="D1831" s="509"/>
      <c r="E1831" s="509"/>
      <c r="F1831" s="510">
        <f>SUM(F1832:F1836)</f>
        <v>9640000</v>
      </c>
      <c r="G1831" s="509"/>
    </row>
    <row r="1832" ht="22.15" customHeight="1" spans="1:7">
      <c r="A1832" s="521"/>
      <c r="B1832" s="522" t="s">
        <v>829</v>
      </c>
      <c r="C1832" s="509" t="s">
        <v>90</v>
      </c>
      <c r="D1832" s="569">
        <v>520</v>
      </c>
      <c r="E1832" s="564">
        <v>4500</v>
      </c>
      <c r="F1832" s="510">
        <f t="shared" si="159"/>
        <v>2340000</v>
      </c>
      <c r="G1832" s="509"/>
    </row>
    <row r="1833" ht="22.15" customHeight="1" spans="1:7">
      <c r="A1833" s="521"/>
      <c r="B1833" s="522" t="s">
        <v>830</v>
      </c>
      <c r="C1833" s="509" t="s">
        <v>90</v>
      </c>
      <c r="D1833" s="569">
        <v>300</v>
      </c>
      <c r="E1833" s="564">
        <v>4800</v>
      </c>
      <c r="F1833" s="510">
        <f t="shared" si="159"/>
        <v>1440000</v>
      </c>
      <c r="G1833" s="509"/>
    </row>
    <row r="1834" ht="22.15" customHeight="1" spans="1:7">
      <c r="A1834" s="521"/>
      <c r="B1834" s="522" t="s">
        <v>831</v>
      </c>
      <c r="C1834" s="509" t="s">
        <v>90</v>
      </c>
      <c r="D1834" s="569">
        <v>600</v>
      </c>
      <c r="E1834" s="564">
        <v>5200</v>
      </c>
      <c r="F1834" s="510">
        <f t="shared" si="159"/>
        <v>3120000</v>
      </c>
      <c r="G1834" s="509"/>
    </row>
    <row r="1835" ht="22.15" customHeight="1" spans="1:7">
      <c r="A1835" s="521"/>
      <c r="B1835" s="522" t="s">
        <v>832</v>
      </c>
      <c r="C1835" s="509" t="s">
        <v>90</v>
      </c>
      <c r="D1835" s="569">
        <v>400</v>
      </c>
      <c r="E1835" s="564">
        <v>4300</v>
      </c>
      <c r="F1835" s="510">
        <f t="shared" si="159"/>
        <v>1720000</v>
      </c>
      <c r="G1835" s="509"/>
    </row>
    <row r="1836" customHeight="1" spans="1:7">
      <c r="A1836" s="521"/>
      <c r="B1836" s="522" t="s">
        <v>826</v>
      </c>
      <c r="C1836" s="509" t="s">
        <v>90</v>
      </c>
      <c r="D1836" s="569">
        <v>1020</v>
      </c>
      <c r="E1836" s="564">
        <v>1000</v>
      </c>
      <c r="F1836" s="510">
        <f t="shared" si="159"/>
        <v>1020000</v>
      </c>
      <c r="G1836" s="509"/>
    </row>
    <row r="1837" customHeight="1" spans="1:7">
      <c r="A1837" s="521">
        <v>2</v>
      </c>
      <c r="B1837" s="522" t="s">
        <v>825</v>
      </c>
      <c r="C1837" s="509"/>
      <c r="D1837" s="509"/>
      <c r="E1837" s="509"/>
      <c r="F1837" s="510">
        <f>SUM(F1838:F1842)</f>
        <v>8752000</v>
      </c>
      <c r="G1837" s="509"/>
    </row>
    <row r="1838" customHeight="1" spans="1:7">
      <c r="A1838" s="521"/>
      <c r="B1838" s="522" t="s">
        <v>829</v>
      </c>
      <c r="C1838" s="509" t="s">
        <v>90</v>
      </c>
      <c r="D1838" s="569">
        <v>460</v>
      </c>
      <c r="E1838" s="564">
        <v>4500</v>
      </c>
      <c r="F1838" s="510">
        <f t="shared" ref="F1838:F1855" si="160">D1838*E1838</f>
        <v>2070000</v>
      </c>
      <c r="G1838" s="509"/>
    </row>
    <row r="1839" customHeight="1" spans="1:7">
      <c r="A1839" s="521"/>
      <c r="B1839" s="522" t="s">
        <v>830</v>
      </c>
      <c r="C1839" s="509" t="s">
        <v>90</v>
      </c>
      <c r="D1839" s="569">
        <v>380</v>
      </c>
      <c r="E1839" s="564">
        <v>4800</v>
      </c>
      <c r="F1839" s="510">
        <f t="shared" si="160"/>
        <v>1824000</v>
      </c>
      <c r="G1839" s="509"/>
    </row>
    <row r="1840" customHeight="1" spans="1:7">
      <c r="A1840" s="521"/>
      <c r="B1840" s="522" t="s">
        <v>831</v>
      </c>
      <c r="C1840" s="509" t="s">
        <v>90</v>
      </c>
      <c r="D1840" s="569">
        <v>400</v>
      </c>
      <c r="E1840" s="564">
        <v>5200</v>
      </c>
      <c r="F1840" s="510">
        <f t="shared" si="160"/>
        <v>2080000</v>
      </c>
      <c r="G1840" s="509"/>
    </row>
    <row r="1841" customHeight="1" spans="1:7">
      <c r="A1841" s="521"/>
      <c r="B1841" s="522" t="s">
        <v>832</v>
      </c>
      <c r="C1841" s="509" t="s">
        <v>90</v>
      </c>
      <c r="D1841" s="569">
        <v>460</v>
      </c>
      <c r="E1841" s="564">
        <v>4300</v>
      </c>
      <c r="F1841" s="510">
        <f t="shared" si="160"/>
        <v>1978000</v>
      </c>
      <c r="G1841" s="509"/>
    </row>
    <row r="1842" customHeight="1" spans="1:7">
      <c r="A1842" s="521"/>
      <c r="B1842" s="522" t="s">
        <v>826</v>
      </c>
      <c r="C1842" s="509" t="s">
        <v>90</v>
      </c>
      <c r="D1842" s="569">
        <v>800</v>
      </c>
      <c r="E1842" s="564">
        <v>1000</v>
      </c>
      <c r="F1842" s="510">
        <f t="shared" si="160"/>
        <v>800000</v>
      </c>
      <c r="G1842" s="509"/>
    </row>
    <row r="1843" customHeight="1" spans="1:7">
      <c r="A1843" s="521">
        <v>3</v>
      </c>
      <c r="B1843" s="522" t="s">
        <v>833</v>
      </c>
      <c r="C1843" s="509"/>
      <c r="D1843" s="569"/>
      <c r="E1843" s="564"/>
      <c r="F1843" s="510">
        <f>SUM(F1844:F1848)</f>
        <v>1371000</v>
      </c>
      <c r="G1843" s="509"/>
    </row>
    <row r="1844" customHeight="1" spans="1:7">
      <c r="A1844" s="521"/>
      <c r="B1844" s="522" t="s">
        <v>829</v>
      </c>
      <c r="C1844" s="509" t="s">
        <v>90</v>
      </c>
      <c r="D1844" s="569">
        <v>60</v>
      </c>
      <c r="E1844" s="564">
        <v>4500</v>
      </c>
      <c r="F1844" s="510">
        <f t="shared" si="160"/>
        <v>270000</v>
      </c>
      <c r="G1844" s="509"/>
    </row>
    <row r="1845" customHeight="1" spans="1:7">
      <c r="A1845" s="521"/>
      <c r="B1845" s="522" t="s">
        <v>830</v>
      </c>
      <c r="C1845" s="509" t="s">
        <v>90</v>
      </c>
      <c r="D1845" s="569">
        <v>10</v>
      </c>
      <c r="E1845" s="564">
        <v>4800</v>
      </c>
      <c r="F1845" s="510">
        <f t="shared" si="160"/>
        <v>48000</v>
      </c>
      <c r="G1845" s="509"/>
    </row>
    <row r="1846" customHeight="1" spans="1:7">
      <c r="A1846" s="521"/>
      <c r="B1846" s="522" t="s">
        <v>831</v>
      </c>
      <c r="C1846" s="509" t="s">
        <v>90</v>
      </c>
      <c r="D1846" s="569">
        <v>70</v>
      </c>
      <c r="E1846" s="564">
        <v>5200</v>
      </c>
      <c r="F1846" s="510">
        <f t="shared" si="160"/>
        <v>364000</v>
      </c>
      <c r="G1846" s="509"/>
    </row>
    <row r="1847" customHeight="1" spans="1:7">
      <c r="A1847" s="521"/>
      <c r="B1847" s="522" t="s">
        <v>832</v>
      </c>
      <c r="C1847" s="509" t="s">
        <v>90</v>
      </c>
      <c r="D1847" s="569">
        <v>130</v>
      </c>
      <c r="E1847" s="564">
        <v>4300</v>
      </c>
      <c r="F1847" s="510">
        <f t="shared" si="160"/>
        <v>559000</v>
      </c>
      <c r="G1847" s="509"/>
    </row>
    <row r="1848" customHeight="1" spans="1:7">
      <c r="A1848" s="521"/>
      <c r="B1848" s="522" t="s">
        <v>826</v>
      </c>
      <c r="C1848" s="509" t="s">
        <v>90</v>
      </c>
      <c r="D1848" s="569">
        <v>130</v>
      </c>
      <c r="E1848" s="564">
        <v>1000</v>
      </c>
      <c r="F1848" s="510">
        <f t="shared" si="160"/>
        <v>130000</v>
      </c>
      <c r="G1848" s="509"/>
    </row>
    <row r="1849" customHeight="1" spans="1:7">
      <c r="A1849" s="529" t="s">
        <v>214</v>
      </c>
      <c r="B1849" s="530" t="s">
        <v>834</v>
      </c>
      <c r="C1849" s="539"/>
      <c r="D1849" s="539"/>
      <c r="E1849" s="539"/>
      <c r="F1849" s="508">
        <f>F1850+F1854+F1855+F1856+F1857</f>
        <v>13840110</v>
      </c>
      <c r="G1849" s="539"/>
    </row>
    <row r="1850" customHeight="1" spans="1:7">
      <c r="A1850" s="521">
        <v>1</v>
      </c>
      <c r="B1850" s="522" t="s">
        <v>835</v>
      </c>
      <c r="C1850" s="509"/>
      <c r="D1850" s="509"/>
      <c r="E1850" s="509"/>
      <c r="F1850" s="510">
        <f>SUM(F1851:F1853)</f>
        <v>376200</v>
      </c>
      <c r="G1850" s="509"/>
    </row>
    <row r="1851" customHeight="1" spans="1:7">
      <c r="A1851" s="521"/>
      <c r="B1851" s="522" t="s">
        <v>836</v>
      </c>
      <c r="C1851" s="570" t="s">
        <v>837</v>
      </c>
      <c r="D1851" s="569">
        <v>634</v>
      </c>
      <c r="E1851" s="564">
        <v>500</v>
      </c>
      <c r="F1851" s="510">
        <f t="shared" si="160"/>
        <v>317000</v>
      </c>
      <c r="G1851" s="509"/>
    </row>
    <row r="1852" customHeight="1" spans="1:7">
      <c r="A1852" s="521"/>
      <c r="B1852" s="522" t="s">
        <v>838</v>
      </c>
      <c r="C1852" s="570" t="s">
        <v>837</v>
      </c>
      <c r="D1852" s="569">
        <v>42</v>
      </c>
      <c r="E1852" s="564">
        <v>800</v>
      </c>
      <c r="F1852" s="510">
        <f t="shared" si="160"/>
        <v>33600</v>
      </c>
      <c r="G1852" s="509"/>
    </row>
    <row r="1853" customHeight="1" spans="1:7">
      <c r="A1853" s="521"/>
      <c r="B1853" s="522" t="s">
        <v>839</v>
      </c>
      <c r="C1853" s="570" t="s">
        <v>837</v>
      </c>
      <c r="D1853" s="569">
        <v>32</v>
      </c>
      <c r="E1853" s="564">
        <v>800</v>
      </c>
      <c r="F1853" s="510">
        <f t="shared" si="160"/>
        <v>25600</v>
      </c>
      <c r="G1853" s="509"/>
    </row>
    <row r="1854" customHeight="1" spans="1:7">
      <c r="A1854" s="521">
        <v>2</v>
      </c>
      <c r="B1854" s="522" t="s">
        <v>840</v>
      </c>
      <c r="C1854" s="509" t="s">
        <v>531</v>
      </c>
      <c r="D1854" s="564">
        <v>44648.5</v>
      </c>
      <c r="E1854" s="564">
        <v>60</v>
      </c>
      <c r="F1854" s="510">
        <f t="shared" si="160"/>
        <v>2678910</v>
      </c>
      <c r="G1854" s="509"/>
    </row>
    <row r="1855" customHeight="1" spans="1:7">
      <c r="A1855" s="521">
        <v>3</v>
      </c>
      <c r="B1855" s="522" t="s">
        <v>841</v>
      </c>
      <c r="C1855" s="509" t="s">
        <v>90</v>
      </c>
      <c r="D1855" s="564">
        <v>79750</v>
      </c>
      <c r="E1855" s="564">
        <v>60</v>
      </c>
      <c r="F1855" s="510">
        <f t="shared" si="160"/>
        <v>4785000</v>
      </c>
      <c r="G1855" s="509"/>
    </row>
    <row r="1856" customHeight="1" spans="1:7">
      <c r="A1856" s="521">
        <v>4</v>
      </c>
      <c r="B1856" s="522" t="s">
        <v>842</v>
      </c>
      <c r="C1856" s="509"/>
      <c r="D1856" s="509"/>
      <c r="E1856" s="509"/>
      <c r="F1856" s="510">
        <v>3000000</v>
      </c>
      <c r="G1856" s="509"/>
    </row>
    <row r="1857" customHeight="1" spans="1:7">
      <c r="A1857" s="521">
        <v>5</v>
      </c>
      <c r="B1857" s="522" t="s">
        <v>843</v>
      </c>
      <c r="C1857" s="509"/>
      <c r="D1857" s="509"/>
      <c r="E1857" s="509"/>
      <c r="F1857" s="510">
        <v>3000000</v>
      </c>
      <c r="G1857" s="509"/>
    </row>
    <row r="1858" customHeight="1" spans="1:7">
      <c r="A1858" s="571"/>
      <c r="B1858" s="572" t="s">
        <v>844</v>
      </c>
      <c r="C1858" s="573"/>
      <c r="D1858" s="573"/>
      <c r="E1858" s="573"/>
      <c r="F1858" s="574"/>
      <c r="G1858" s="573"/>
    </row>
    <row r="1859" customHeight="1" spans="1:7">
      <c r="A1859" s="521"/>
      <c r="B1859" s="517" t="s">
        <v>845</v>
      </c>
      <c r="C1859" s="502" t="s">
        <v>543</v>
      </c>
      <c r="D1859" s="502">
        <v>23.89</v>
      </c>
      <c r="E1859" s="550" t="e">
        <f>单价汇总表!#REF!/100</f>
        <v>#REF!</v>
      </c>
      <c r="F1859" s="510" t="e">
        <f>D1859*E1859</f>
        <v>#REF!</v>
      </c>
      <c r="G1859" s="509"/>
    </row>
    <row r="1860" customHeight="1" spans="1:7">
      <c r="A1860" s="521"/>
      <c r="B1860" s="517" t="s">
        <v>846</v>
      </c>
      <c r="C1860" s="502" t="s">
        <v>543</v>
      </c>
      <c r="D1860" s="502">
        <v>235.39</v>
      </c>
      <c r="E1860" s="550">
        <f>单价汇总表!D24/100</f>
        <v>43.4345944253631</v>
      </c>
      <c r="F1860" s="510">
        <f t="shared" ref="F1860:F1866" si="161">D1860*E1860</f>
        <v>10224.0691817862</v>
      </c>
      <c r="G1860" s="509"/>
    </row>
    <row r="1861" customHeight="1" spans="1:7">
      <c r="A1861" s="521"/>
      <c r="B1861" s="517" t="s">
        <v>847</v>
      </c>
      <c r="C1861" s="502" t="s">
        <v>543</v>
      </c>
      <c r="D1861" s="502">
        <v>277.8</v>
      </c>
      <c r="E1861" s="550">
        <f>单价汇总表!D23/100</f>
        <v>17.6728263166112</v>
      </c>
      <c r="F1861" s="510">
        <f t="shared" si="161"/>
        <v>4909.51115075458</v>
      </c>
      <c r="G1861" s="509"/>
    </row>
    <row r="1862" customHeight="1" spans="1:7">
      <c r="A1862" s="521"/>
      <c r="B1862" s="517" t="s">
        <v>848</v>
      </c>
      <c r="C1862" s="502" t="s">
        <v>543</v>
      </c>
      <c r="D1862" s="502">
        <v>8364</v>
      </c>
      <c r="E1862" s="550" t="e">
        <f>单价汇总表!#REF!/100</f>
        <v>#REF!</v>
      </c>
      <c r="F1862" s="510" t="e">
        <f t="shared" si="161"/>
        <v>#REF!</v>
      </c>
      <c r="G1862" s="509"/>
    </row>
    <row r="1863" customHeight="1" spans="1:7">
      <c r="A1863" s="521"/>
      <c r="B1863" s="517" t="s">
        <v>849</v>
      </c>
      <c r="C1863" s="502" t="s">
        <v>543</v>
      </c>
      <c r="D1863" s="502">
        <v>20.8</v>
      </c>
      <c r="E1863" s="550" t="e">
        <f>E1859</f>
        <v>#REF!</v>
      </c>
      <c r="F1863" s="510" t="e">
        <f t="shared" si="161"/>
        <v>#REF!</v>
      </c>
      <c r="G1863" s="509"/>
    </row>
    <row r="1864" customHeight="1" spans="1:7">
      <c r="A1864" s="521"/>
      <c r="B1864" s="517" t="s">
        <v>850</v>
      </c>
      <c r="C1864" s="502" t="s">
        <v>543</v>
      </c>
      <c r="D1864" s="502">
        <v>239.92</v>
      </c>
      <c r="E1864" s="550">
        <f>配合比!M16</f>
        <v>175.61748</v>
      </c>
      <c r="F1864" s="510">
        <f t="shared" si="161"/>
        <v>42134.1458016</v>
      </c>
      <c r="G1864" s="509"/>
    </row>
    <row r="1865" ht="33" customHeight="1" spans="1:7">
      <c r="A1865" s="521"/>
      <c r="B1865" s="517" t="s">
        <v>851</v>
      </c>
      <c r="C1865" s="502" t="s">
        <v>543</v>
      </c>
      <c r="D1865" s="502">
        <v>239.92</v>
      </c>
      <c r="E1865" s="550"/>
      <c r="F1865" s="510">
        <f t="shared" si="161"/>
        <v>0</v>
      </c>
      <c r="G1865" s="509"/>
    </row>
    <row r="1866" customHeight="1" spans="1:7">
      <c r="A1866" s="509"/>
      <c r="B1866" s="517" t="s">
        <v>852</v>
      </c>
      <c r="C1866" s="502" t="s">
        <v>543</v>
      </c>
      <c r="D1866" s="502">
        <v>20.27</v>
      </c>
      <c r="E1866" s="550" t="e">
        <f>单价汇总表!#REF!/100</f>
        <v>#REF!</v>
      </c>
      <c r="F1866" s="510" t="e">
        <f t="shared" si="161"/>
        <v>#REF!</v>
      </c>
      <c r="G1866" s="509"/>
    </row>
    <row r="1867" customHeight="1" spans="1:7">
      <c r="A1867" s="509"/>
      <c r="B1867" s="505" t="s">
        <v>278</v>
      </c>
      <c r="C1867" s="539"/>
      <c r="D1867" s="539"/>
      <c r="E1867" s="539"/>
      <c r="F1867" s="539" t="e">
        <f>F1127+F1687+F1690+F1802+F1806</f>
        <v>#REF!</v>
      </c>
      <c r="G1867" s="509"/>
    </row>
    <row r="1868" customHeight="1" spans="1:7">
      <c r="A1868" s="509"/>
      <c r="B1868" s="503"/>
      <c r="C1868" s="509"/>
      <c r="D1868" s="509"/>
      <c r="E1868" s="509"/>
      <c r="F1868" s="509"/>
      <c r="G1868" s="509"/>
    </row>
  </sheetData>
  <mergeCells count="2">
    <mergeCell ref="A1:G1"/>
    <mergeCell ref="A2:G2"/>
  </mergeCells>
  <pageMargins left="0.700694444444445" right="0.700694444444445" top="0.751388888888889" bottom="0.751388888888889" header="0.298611111111111" footer="0.298611111111111"/>
  <pageSetup paperSize="9" orientation="portrait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4"/>
  <sheetViews>
    <sheetView topLeftCell="A17" workbookViewId="0">
      <selection activeCell="D122" sqref="D122"/>
    </sheetView>
  </sheetViews>
  <sheetFormatPr defaultColWidth="9" defaultRowHeight="21.95" customHeight="1" outlineLevelCol="5"/>
  <cols>
    <col min="1" max="1" width="4.125" style="468" customWidth="1"/>
    <col min="2" max="2" width="28.25" style="468" customWidth="1"/>
    <col min="3" max="3" width="7" style="468" customWidth="1"/>
    <col min="4" max="4" width="11.125" style="468" customWidth="1"/>
    <col min="5" max="5" width="6.625" style="468" customWidth="1"/>
    <col min="6" max="6" width="11.375" style="468" customWidth="1"/>
    <col min="7" max="16384" width="9" style="468"/>
  </cols>
  <sheetData>
    <row r="1" customHeight="1" spans="1:6">
      <c r="A1" s="480" t="s">
        <v>853</v>
      </c>
      <c r="B1" s="480"/>
      <c r="C1" s="480"/>
      <c r="D1" s="480"/>
      <c r="E1" s="480"/>
      <c r="F1" s="480"/>
    </row>
    <row r="2" customHeight="1" spans="1:6">
      <c r="A2" s="481" t="s">
        <v>50</v>
      </c>
      <c r="B2" s="481" t="s">
        <v>854</v>
      </c>
      <c r="C2" s="481" t="s">
        <v>52</v>
      </c>
      <c r="D2" s="481" t="s">
        <v>53</v>
      </c>
      <c r="E2" s="481" t="s">
        <v>855</v>
      </c>
      <c r="F2" s="481" t="s">
        <v>856</v>
      </c>
    </row>
    <row r="3" customHeight="1" spans="1:6">
      <c r="A3" s="481"/>
      <c r="B3" s="482" t="s">
        <v>857</v>
      </c>
      <c r="C3" s="483"/>
      <c r="D3" s="483"/>
      <c r="E3" s="483"/>
      <c r="F3" s="484">
        <f>F4+F6</f>
        <v>6695.494452</v>
      </c>
    </row>
    <row r="4" customHeight="1" spans="1:6">
      <c r="A4" s="481" t="s">
        <v>57</v>
      </c>
      <c r="B4" s="485" t="s">
        <v>858</v>
      </c>
      <c r="C4" s="481"/>
      <c r="D4" s="481"/>
      <c r="E4" s="481"/>
      <c r="F4" s="486">
        <f t="shared" ref="F4:F6" si="0">F5</f>
        <v>3288.4893</v>
      </c>
    </row>
    <row r="5" customHeight="1" spans="1:6">
      <c r="A5" s="481"/>
      <c r="B5" s="485" t="s">
        <v>859</v>
      </c>
      <c r="C5" s="481" t="s">
        <v>860</v>
      </c>
      <c r="D5" s="481">
        <f>2525*9/10000</f>
        <v>2.2725</v>
      </c>
      <c r="E5" s="481">
        <f>E7</f>
        <v>1447.08</v>
      </c>
      <c r="F5" s="486">
        <f t="shared" ref="F5:F7" si="1">D5*E5</f>
        <v>3288.4893</v>
      </c>
    </row>
    <row r="6" customHeight="1" spans="1:6">
      <c r="A6" s="481" t="s">
        <v>72</v>
      </c>
      <c r="B6" s="485" t="s">
        <v>861</v>
      </c>
      <c r="C6" s="481"/>
      <c r="D6" s="481"/>
      <c r="E6" s="481"/>
      <c r="F6" s="486">
        <f t="shared" si="0"/>
        <v>3407.005152</v>
      </c>
    </row>
    <row r="7" customHeight="1" spans="1:6">
      <c r="A7" s="481"/>
      <c r="B7" s="485" t="s">
        <v>859</v>
      </c>
      <c r="C7" s="481" t="s">
        <v>860</v>
      </c>
      <c r="D7" s="487">
        <f>2616*9/10000</f>
        <v>2.3544</v>
      </c>
      <c r="E7" s="481">
        <f>723.54*2</f>
        <v>1447.08</v>
      </c>
      <c r="F7" s="486">
        <f t="shared" si="1"/>
        <v>3407.005152</v>
      </c>
    </row>
    <row r="8" customHeight="1" spans="1:6">
      <c r="A8" s="481"/>
      <c r="B8" s="482" t="s">
        <v>862</v>
      </c>
      <c r="C8" s="483"/>
      <c r="D8" s="483"/>
      <c r="E8" s="483"/>
      <c r="F8" s="484">
        <f>F9+F15</f>
        <v>5494.44375</v>
      </c>
    </row>
    <row r="9" customHeight="1" spans="1:6">
      <c r="A9" s="481">
        <v>1</v>
      </c>
      <c r="B9" s="485" t="s">
        <v>863</v>
      </c>
      <c r="C9" s="481"/>
      <c r="D9" s="481"/>
      <c r="E9" s="481"/>
      <c r="F9" s="486">
        <f>F10+F12</f>
        <v>2698.59375</v>
      </c>
    </row>
    <row r="10" customHeight="1" spans="1:6">
      <c r="A10" s="481">
        <v>1.1</v>
      </c>
      <c r="B10" s="485" t="s">
        <v>549</v>
      </c>
      <c r="C10" s="481"/>
      <c r="D10" s="481"/>
      <c r="E10" s="481"/>
      <c r="F10" s="486">
        <f t="shared" ref="F10:F18" si="2">F11</f>
        <v>1931.625</v>
      </c>
    </row>
    <row r="11" customHeight="1" spans="1:6">
      <c r="A11" s="481"/>
      <c r="B11" s="485" t="s">
        <v>864</v>
      </c>
      <c r="C11" s="481" t="s">
        <v>860</v>
      </c>
      <c r="D11" s="488">
        <f>D5</f>
        <v>2.2725</v>
      </c>
      <c r="E11" s="481">
        <v>850</v>
      </c>
      <c r="F11" s="486">
        <f>D11*E11</f>
        <v>1931.625</v>
      </c>
    </row>
    <row r="12" customHeight="1" spans="1:6">
      <c r="A12" s="481">
        <v>1.2</v>
      </c>
      <c r="B12" s="485" t="s">
        <v>865</v>
      </c>
      <c r="C12" s="481"/>
      <c r="D12" s="481"/>
      <c r="E12" s="481"/>
      <c r="F12" s="486">
        <f t="shared" si="2"/>
        <v>766.96875</v>
      </c>
    </row>
    <row r="13" customHeight="1" spans="1:6">
      <c r="A13" s="481"/>
      <c r="B13" s="485" t="s">
        <v>553</v>
      </c>
      <c r="C13" s="481" t="s">
        <v>184</v>
      </c>
      <c r="D13" s="488">
        <f>D11/2*15</f>
        <v>17.04375</v>
      </c>
      <c r="E13" s="481">
        <v>45</v>
      </c>
      <c r="F13" s="486">
        <f>E13*D13</f>
        <v>766.96875</v>
      </c>
    </row>
    <row r="14" customHeight="1" spans="1:6">
      <c r="A14" s="481"/>
      <c r="B14" s="485" t="s">
        <v>554</v>
      </c>
      <c r="C14" s="481" t="s">
        <v>184</v>
      </c>
      <c r="D14" s="488">
        <f>D11/2*7</f>
        <v>7.95375</v>
      </c>
      <c r="E14" s="481">
        <v>60</v>
      </c>
      <c r="F14" s="486">
        <f>E14*D14</f>
        <v>477.225</v>
      </c>
    </row>
    <row r="15" customHeight="1" spans="1:6">
      <c r="A15" s="481">
        <v>2</v>
      </c>
      <c r="B15" s="485" t="s">
        <v>861</v>
      </c>
      <c r="C15" s="481"/>
      <c r="D15" s="481"/>
      <c r="E15" s="481"/>
      <c r="F15" s="486">
        <f>F16+F18</f>
        <v>2795.85</v>
      </c>
    </row>
    <row r="16" customHeight="1" spans="1:6">
      <c r="A16" s="481">
        <v>2.1</v>
      </c>
      <c r="B16" s="485" t="s">
        <v>549</v>
      </c>
      <c r="C16" s="481"/>
      <c r="D16" s="481"/>
      <c r="E16" s="481"/>
      <c r="F16" s="486">
        <f>F17</f>
        <v>2001.24</v>
      </c>
    </row>
    <row r="17" customHeight="1" spans="1:6">
      <c r="A17" s="481"/>
      <c r="B17" s="485" t="s">
        <v>864</v>
      </c>
      <c r="C17" s="481" t="s">
        <v>860</v>
      </c>
      <c r="D17" s="487">
        <f>D7</f>
        <v>2.3544</v>
      </c>
      <c r="E17" s="481">
        <v>850</v>
      </c>
      <c r="F17" s="486">
        <f>D17*E17</f>
        <v>2001.24</v>
      </c>
    </row>
    <row r="18" customHeight="1" spans="1:6">
      <c r="A18" s="481">
        <v>2.2</v>
      </c>
      <c r="B18" s="485" t="s">
        <v>866</v>
      </c>
      <c r="C18" s="481"/>
      <c r="D18" s="481"/>
      <c r="E18" s="481"/>
      <c r="F18" s="486">
        <f t="shared" si="2"/>
        <v>794.61</v>
      </c>
    </row>
    <row r="19" customHeight="1" spans="1:6">
      <c r="A19" s="481"/>
      <c r="B19" s="485" t="s">
        <v>553</v>
      </c>
      <c r="C19" s="481" t="s">
        <v>184</v>
      </c>
      <c r="D19" s="488">
        <f>D17/2*15</f>
        <v>17.658</v>
      </c>
      <c r="E19" s="481">
        <v>45</v>
      </c>
      <c r="F19" s="486">
        <f>E19*D19</f>
        <v>794.61</v>
      </c>
    </row>
    <row r="20" customHeight="1" spans="1:6">
      <c r="A20" s="481"/>
      <c r="B20" s="485" t="s">
        <v>554</v>
      </c>
      <c r="C20" s="481" t="s">
        <v>184</v>
      </c>
      <c r="D20" s="488">
        <f>D17/2*7</f>
        <v>8.2404</v>
      </c>
      <c r="E20" s="481">
        <v>60</v>
      </c>
      <c r="F20" s="486">
        <f>E20*D20</f>
        <v>494.424</v>
      </c>
    </row>
    <row r="21" customHeight="1" spans="1:6">
      <c r="A21" s="481"/>
      <c r="B21" s="482" t="s">
        <v>867</v>
      </c>
      <c r="C21" s="483"/>
      <c r="D21" s="483"/>
      <c r="E21" s="483"/>
      <c r="F21" s="484">
        <f>F22</f>
        <v>243.79876404</v>
      </c>
    </row>
    <row r="22" customHeight="1" spans="1:6">
      <c r="A22" s="481">
        <v>1</v>
      </c>
      <c r="B22" s="485" t="s">
        <v>868</v>
      </c>
      <c r="C22" s="481" t="s">
        <v>423</v>
      </c>
      <c r="D22" s="487">
        <f>F3+F8</f>
        <v>12189.938202</v>
      </c>
      <c r="E22" s="481">
        <v>2</v>
      </c>
      <c r="F22" s="486">
        <f>E22/100*D22</f>
        <v>243.79876404</v>
      </c>
    </row>
    <row r="23" customHeight="1" spans="1:6">
      <c r="A23" s="483"/>
      <c r="B23" s="482" t="s">
        <v>869</v>
      </c>
      <c r="C23" s="483"/>
      <c r="D23" s="483"/>
      <c r="E23" s="483"/>
      <c r="F23" s="484">
        <f>F21+F8+F3</f>
        <v>12433.73696604</v>
      </c>
    </row>
    <row r="24" customHeight="1" spans="1:6">
      <c r="A24" s="481"/>
      <c r="B24" s="482" t="s">
        <v>870</v>
      </c>
      <c r="C24" s="483"/>
      <c r="D24" s="483"/>
      <c r="E24" s="483"/>
      <c r="F24" s="484">
        <f>F25+F26+F27+F28+F29</f>
        <v>110248.674739321</v>
      </c>
    </row>
    <row r="25" customHeight="1" spans="1:6">
      <c r="A25" s="481">
        <v>1</v>
      </c>
      <c r="B25" s="485" t="s">
        <v>871</v>
      </c>
      <c r="C25" s="481" t="s">
        <v>423</v>
      </c>
      <c r="D25" s="481"/>
      <c r="E25" s="481">
        <v>2</v>
      </c>
      <c r="F25" s="486">
        <f>F23*2/100</f>
        <v>248.6747393208</v>
      </c>
    </row>
    <row r="26" customHeight="1" spans="1:6">
      <c r="A26" s="481">
        <v>2</v>
      </c>
      <c r="B26" s="485" t="s">
        <v>872</v>
      </c>
      <c r="C26" s="481"/>
      <c r="D26" s="481"/>
      <c r="E26" s="481">
        <v>0</v>
      </c>
      <c r="F26" s="486">
        <f>E26</f>
        <v>0</v>
      </c>
    </row>
    <row r="27" customHeight="1" spans="1:6">
      <c r="A27" s="481">
        <v>3</v>
      </c>
      <c r="B27" s="485" t="s">
        <v>873</v>
      </c>
      <c r="C27" s="481"/>
      <c r="D27" s="481"/>
      <c r="E27" s="481">
        <v>30000</v>
      </c>
      <c r="F27" s="486">
        <f>E27</f>
        <v>30000</v>
      </c>
    </row>
    <row r="28" customHeight="1" spans="1:6">
      <c r="A28" s="481">
        <v>4</v>
      </c>
      <c r="B28" s="485" t="s">
        <v>874</v>
      </c>
      <c r="C28" s="481"/>
      <c r="D28" s="481"/>
      <c r="E28" s="481">
        <v>50000</v>
      </c>
      <c r="F28" s="486">
        <f>E28</f>
        <v>50000</v>
      </c>
    </row>
    <row r="29" customHeight="1" spans="1:6">
      <c r="A29" s="481">
        <v>5</v>
      </c>
      <c r="B29" s="485" t="s">
        <v>875</v>
      </c>
      <c r="C29" s="481"/>
      <c r="D29" s="481"/>
      <c r="E29" s="481">
        <v>30000</v>
      </c>
      <c r="F29" s="481">
        <f>E29</f>
        <v>30000</v>
      </c>
    </row>
    <row r="30" customHeight="1" spans="1:6">
      <c r="A30" s="483"/>
      <c r="B30" s="482" t="s">
        <v>876</v>
      </c>
      <c r="C30" s="483"/>
      <c r="D30" s="483"/>
      <c r="E30" s="483"/>
      <c r="F30" s="484">
        <f>F24+F23</f>
        <v>122682.411705361</v>
      </c>
    </row>
    <row r="31" customHeight="1" spans="1:6">
      <c r="A31" s="483"/>
      <c r="B31" s="482" t="s">
        <v>877</v>
      </c>
      <c r="C31" s="483"/>
      <c r="D31" s="483"/>
      <c r="E31" s="483"/>
      <c r="F31" s="489">
        <f>F32+F33</f>
        <v>3680.47235116082</v>
      </c>
    </row>
    <row r="32" customHeight="1" spans="1:6">
      <c r="A32" s="481" t="s">
        <v>57</v>
      </c>
      <c r="B32" s="485" t="s">
        <v>878</v>
      </c>
      <c r="C32" s="481" t="s">
        <v>423</v>
      </c>
      <c r="D32" s="481"/>
      <c r="E32" s="481">
        <v>3</v>
      </c>
      <c r="F32" s="486">
        <f>F30*3/100</f>
        <v>3680.47235116082</v>
      </c>
    </row>
    <row r="33" customHeight="1" spans="1:6">
      <c r="A33" s="481" t="s">
        <v>72</v>
      </c>
      <c r="B33" s="485" t="s">
        <v>879</v>
      </c>
      <c r="C33" s="481"/>
      <c r="D33" s="481"/>
      <c r="E33" s="481"/>
      <c r="F33" s="487">
        <v>0</v>
      </c>
    </row>
    <row r="34" customHeight="1" spans="1:6">
      <c r="A34" s="481"/>
      <c r="B34" s="482" t="s">
        <v>352</v>
      </c>
      <c r="C34" s="483"/>
      <c r="D34" s="483"/>
      <c r="E34" s="483"/>
      <c r="F34" s="484">
        <f>F30+F31</f>
        <v>126362.884056522</v>
      </c>
    </row>
  </sheetData>
  <mergeCells count="1">
    <mergeCell ref="A1:F1"/>
  </mergeCells>
  <pageMargins left="0.7" right="0.7" top="0.75" bottom="0.75" header="0.3" footer="0.3"/>
  <pageSetup paperSize="9" orientation="portrait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7"/>
  <sheetViews>
    <sheetView topLeftCell="A26" workbookViewId="0">
      <selection activeCell="D122" sqref="D122"/>
    </sheetView>
  </sheetViews>
  <sheetFormatPr defaultColWidth="9" defaultRowHeight="13.5" outlineLevelCol="6"/>
  <cols>
    <col min="1" max="1" width="9" style="468"/>
    <col min="2" max="2" width="29.875" style="468" customWidth="1"/>
    <col min="3" max="3" width="6.375" style="468" customWidth="1"/>
    <col min="4" max="6" width="9" style="468"/>
    <col min="7" max="7" width="10.5" style="468" customWidth="1"/>
    <col min="8" max="16384" width="9" style="468"/>
  </cols>
  <sheetData>
    <row r="1" ht="27" customHeight="1" spans="1:7">
      <c r="A1" s="469" t="s">
        <v>880</v>
      </c>
      <c r="B1" s="469"/>
      <c r="C1" s="469"/>
      <c r="D1" s="469"/>
      <c r="E1" s="469"/>
      <c r="F1" s="469"/>
      <c r="G1" s="469"/>
    </row>
    <row r="2" ht="20.1" customHeight="1" spans="1:7">
      <c r="A2" s="470" t="s">
        <v>354</v>
      </c>
      <c r="B2" s="470" t="s">
        <v>51</v>
      </c>
      <c r="C2" s="471" t="s">
        <v>52</v>
      </c>
      <c r="D2" s="471" t="s">
        <v>53</v>
      </c>
      <c r="E2" s="471" t="s">
        <v>54</v>
      </c>
      <c r="F2" s="471" t="s">
        <v>881</v>
      </c>
      <c r="G2" s="471" t="s">
        <v>56</v>
      </c>
    </row>
    <row r="3" ht="20.1" customHeight="1" spans="1:7">
      <c r="A3" s="472" t="s">
        <v>882</v>
      </c>
      <c r="B3" s="472"/>
      <c r="C3" s="471"/>
      <c r="D3" s="471"/>
      <c r="E3" s="471"/>
      <c r="F3" s="471">
        <f>SUM(F4:F5)</f>
        <v>0.29</v>
      </c>
      <c r="G3" s="471"/>
    </row>
    <row r="4" ht="20.1" customHeight="1" spans="1:7">
      <c r="A4" s="470">
        <v>1</v>
      </c>
      <c r="B4" s="470" t="s">
        <v>883</v>
      </c>
      <c r="C4" s="471" t="s">
        <v>884</v>
      </c>
      <c r="D4" s="471">
        <v>4</v>
      </c>
      <c r="E4" s="471">
        <v>500</v>
      </c>
      <c r="F4" s="471">
        <f>E4*D4/10000</f>
        <v>0.2</v>
      </c>
      <c r="G4" s="471"/>
    </row>
    <row r="5" ht="20.1" customHeight="1" spans="1:7">
      <c r="A5" s="470">
        <v>2</v>
      </c>
      <c r="B5" s="470" t="s">
        <v>885</v>
      </c>
      <c r="C5" s="471" t="s">
        <v>884</v>
      </c>
      <c r="D5" s="471">
        <v>3</v>
      </c>
      <c r="E5" s="471">
        <v>300</v>
      </c>
      <c r="F5" s="471">
        <f>E5*D5/10000</f>
        <v>0.09</v>
      </c>
      <c r="G5" s="471"/>
    </row>
    <row r="6" ht="20.1" customHeight="1" spans="1:7">
      <c r="A6" s="472" t="s">
        <v>886</v>
      </c>
      <c r="B6" s="472"/>
      <c r="C6" s="471"/>
      <c r="D6" s="471"/>
      <c r="E6" s="471"/>
      <c r="F6" s="473">
        <f>F7+F10+F13+F15+F18</f>
        <v>2.805</v>
      </c>
      <c r="G6" s="471"/>
    </row>
    <row r="7" ht="20.1" customHeight="1" spans="1:7">
      <c r="A7" s="470">
        <v>1</v>
      </c>
      <c r="B7" s="470" t="s">
        <v>887</v>
      </c>
      <c r="C7" s="471"/>
      <c r="D7" s="471"/>
      <c r="E7" s="471"/>
      <c r="F7" s="471">
        <f>SUM(F8:F9)</f>
        <v>0.7</v>
      </c>
      <c r="G7" s="471"/>
    </row>
    <row r="8" ht="20.1" customHeight="1" spans="1:7">
      <c r="A8" s="470">
        <v>1.1</v>
      </c>
      <c r="B8" s="470" t="s">
        <v>888</v>
      </c>
      <c r="C8" s="471" t="s">
        <v>889</v>
      </c>
      <c r="D8" s="471">
        <v>1</v>
      </c>
      <c r="E8" s="471">
        <v>5000</v>
      </c>
      <c r="F8" s="471">
        <f>E8*D8/10000</f>
        <v>0.5</v>
      </c>
      <c r="G8" s="471"/>
    </row>
    <row r="9" ht="20.1" customHeight="1" spans="1:7">
      <c r="A9" s="470">
        <v>1.2</v>
      </c>
      <c r="B9" s="470" t="s">
        <v>890</v>
      </c>
      <c r="C9" s="471" t="s">
        <v>889</v>
      </c>
      <c r="D9" s="471">
        <v>1</v>
      </c>
      <c r="E9" s="471">
        <v>2000</v>
      </c>
      <c r="F9" s="471">
        <f>E9*D9/10000</f>
        <v>0.2</v>
      </c>
      <c r="G9" s="471"/>
    </row>
    <row r="10" ht="20.1" customHeight="1" spans="1:7">
      <c r="A10" s="470">
        <v>2</v>
      </c>
      <c r="B10" s="470" t="s">
        <v>891</v>
      </c>
      <c r="C10" s="471"/>
      <c r="D10" s="471"/>
      <c r="E10" s="471"/>
      <c r="F10" s="471">
        <f>SUM(F11:F12)</f>
        <v>0</v>
      </c>
      <c r="G10" s="471"/>
    </row>
    <row r="11" ht="20.1" customHeight="1" spans="1:7">
      <c r="A11" s="470">
        <v>2.1</v>
      </c>
      <c r="B11" s="470" t="s">
        <v>892</v>
      </c>
      <c r="C11" s="471"/>
      <c r="D11" s="471"/>
      <c r="E11" s="471"/>
      <c r="F11" s="471"/>
      <c r="G11" s="471" t="s">
        <v>893</v>
      </c>
    </row>
    <row r="12" ht="20.1" customHeight="1" spans="1:7">
      <c r="A12" s="470">
        <v>2.2</v>
      </c>
      <c r="B12" s="470" t="s">
        <v>894</v>
      </c>
      <c r="C12" s="471"/>
      <c r="D12" s="471"/>
      <c r="E12" s="471"/>
      <c r="F12" s="471"/>
      <c r="G12" s="471" t="s">
        <v>893</v>
      </c>
    </row>
    <row r="13" ht="20.1" customHeight="1" spans="1:7">
      <c r="A13" s="470">
        <v>3</v>
      </c>
      <c r="B13" s="470" t="s">
        <v>895</v>
      </c>
      <c r="C13" s="471"/>
      <c r="D13" s="471"/>
      <c r="E13" s="471"/>
      <c r="F13" s="471">
        <f>SUM(F14)</f>
        <v>0.15</v>
      </c>
      <c r="G13" s="471"/>
    </row>
    <row r="14" ht="20.1" customHeight="1" spans="1:7">
      <c r="A14" s="470">
        <v>3.1</v>
      </c>
      <c r="B14" s="470" t="s">
        <v>896</v>
      </c>
      <c r="C14" s="471" t="s">
        <v>267</v>
      </c>
      <c r="D14" s="471">
        <v>3</v>
      </c>
      <c r="E14" s="471">
        <v>500</v>
      </c>
      <c r="F14" s="471">
        <f>E14*D14/10000</f>
        <v>0.15</v>
      </c>
      <c r="G14" s="471"/>
    </row>
    <row r="15" ht="20.1" customHeight="1" spans="1:7">
      <c r="A15" s="470">
        <v>4</v>
      </c>
      <c r="B15" s="470" t="s">
        <v>897</v>
      </c>
      <c r="C15" s="471"/>
      <c r="D15" s="471"/>
      <c r="E15" s="471"/>
      <c r="F15" s="473">
        <f>SUM(F16:F17)</f>
        <v>0.485</v>
      </c>
      <c r="G15" s="471"/>
    </row>
    <row r="16" ht="20.1" customHeight="1" spans="1:7">
      <c r="A16" s="470">
        <v>4.1</v>
      </c>
      <c r="B16" s="470" t="s">
        <v>898</v>
      </c>
      <c r="C16" s="471" t="s">
        <v>267</v>
      </c>
      <c r="D16" s="471">
        <v>5</v>
      </c>
      <c r="E16" s="471">
        <v>250</v>
      </c>
      <c r="F16" s="473">
        <f>E16*D16/10000</f>
        <v>0.125</v>
      </c>
      <c r="G16" s="471"/>
    </row>
    <row r="17" ht="20.1" customHeight="1" spans="1:7">
      <c r="A17" s="470">
        <v>4.2</v>
      </c>
      <c r="B17" s="470" t="s">
        <v>899</v>
      </c>
      <c r="C17" s="471" t="s">
        <v>889</v>
      </c>
      <c r="D17" s="471">
        <v>3</v>
      </c>
      <c r="E17" s="471">
        <v>1200</v>
      </c>
      <c r="F17" s="471">
        <f>E17*D17/10000</f>
        <v>0.36</v>
      </c>
      <c r="G17" s="471"/>
    </row>
    <row r="18" ht="20.1" customHeight="1" spans="1:7">
      <c r="A18" s="470">
        <v>5</v>
      </c>
      <c r="B18" s="470" t="s">
        <v>900</v>
      </c>
      <c r="C18" s="471"/>
      <c r="D18" s="471"/>
      <c r="E18" s="471"/>
      <c r="F18" s="471">
        <f>SUM(F19:F21)</f>
        <v>1.47</v>
      </c>
      <c r="G18" s="471"/>
    </row>
    <row r="19" ht="20.1" customHeight="1" spans="1:7">
      <c r="A19" s="470">
        <v>5.1</v>
      </c>
      <c r="B19" s="470" t="s">
        <v>901</v>
      </c>
      <c r="C19" s="474" t="s">
        <v>902</v>
      </c>
      <c r="D19" s="471">
        <v>4500</v>
      </c>
      <c r="E19" s="471">
        <v>2</v>
      </c>
      <c r="F19" s="471">
        <f>E19*D19/10000</f>
        <v>0.9</v>
      </c>
      <c r="G19" s="471"/>
    </row>
    <row r="20" ht="20.1" customHeight="1" spans="1:7">
      <c r="A20" s="470">
        <v>5.2</v>
      </c>
      <c r="B20" s="470" t="s">
        <v>903</v>
      </c>
      <c r="C20" s="471" t="s">
        <v>904</v>
      </c>
      <c r="D20" s="471">
        <v>30</v>
      </c>
      <c r="E20" s="471">
        <v>150</v>
      </c>
      <c r="F20" s="471">
        <f>E20*D20/10000</f>
        <v>0.45</v>
      </c>
      <c r="G20" s="471"/>
    </row>
    <row r="21" ht="20.1" customHeight="1" spans="1:7">
      <c r="A21" s="470">
        <v>5.3</v>
      </c>
      <c r="B21" s="470" t="s">
        <v>905</v>
      </c>
      <c r="C21" s="471" t="s">
        <v>889</v>
      </c>
      <c r="D21" s="471">
        <v>1</v>
      </c>
      <c r="E21" s="471">
        <v>1200</v>
      </c>
      <c r="F21" s="471">
        <f>E21*D21/10000</f>
        <v>0.12</v>
      </c>
      <c r="G21" s="471"/>
    </row>
    <row r="22" ht="20.1" customHeight="1" spans="1:7">
      <c r="A22" s="472" t="s">
        <v>906</v>
      </c>
      <c r="B22" s="472"/>
      <c r="C22" s="474"/>
      <c r="D22" s="474"/>
      <c r="E22" s="474"/>
      <c r="F22" s="475">
        <f>F6+F3</f>
        <v>3.095</v>
      </c>
      <c r="G22" s="471"/>
    </row>
    <row r="23" ht="20.1" customHeight="1" spans="1:7">
      <c r="A23" s="472" t="s">
        <v>907</v>
      </c>
      <c r="B23" s="472"/>
      <c r="C23" s="474"/>
      <c r="D23" s="474"/>
      <c r="E23" s="474"/>
      <c r="F23" s="475">
        <f>F24+F28+F29+F32</f>
        <v>2.386875</v>
      </c>
      <c r="G23" s="471"/>
    </row>
    <row r="24" ht="20.1" customHeight="1" spans="1:7">
      <c r="A24" s="470">
        <v>1</v>
      </c>
      <c r="B24" s="470" t="s">
        <v>336</v>
      </c>
      <c r="C24" s="471"/>
      <c r="D24" s="471"/>
      <c r="E24" s="471"/>
      <c r="F24" s="473">
        <f>F25+F26+F27</f>
        <v>0.170225</v>
      </c>
      <c r="G24" s="471"/>
    </row>
    <row r="25" ht="20.1" customHeight="1" spans="1:7">
      <c r="A25" s="470"/>
      <c r="B25" s="470" t="s">
        <v>908</v>
      </c>
      <c r="C25" s="476">
        <v>0.03</v>
      </c>
      <c r="D25" s="471"/>
      <c r="E25" s="471"/>
      <c r="F25" s="473">
        <f>F22*C25</f>
        <v>0.09285</v>
      </c>
      <c r="G25" s="471"/>
    </row>
    <row r="26" ht="20.1" customHeight="1" spans="1:7">
      <c r="A26" s="470"/>
      <c r="B26" s="470" t="s">
        <v>909</v>
      </c>
      <c r="C26" s="476">
        <v>0.005</v>
      </c>
      <c r="D26" s="471"/>
      <c r="E26" s="471"/>
      <c r="F26" s="473">
        <f>F22*C26</f>
        <v>0.015475</v>
      </c>
      <c r="G26" s="471"/>
    </row>
    <row r="27" ht="20.1" customHeight="1" spans="1:7">
      <c r="A27" s="470"/>
      <c r="B27" s="470" t="s">
        <v>910</v>
      </c>
      <c r="C27" s="476">
        <v>0.02</v>
      </c>
      <c r="D27" s="471"/>
      <c r="E27" s="471"/>
      <c r="F27" s="473">
        <f>F22*C27</f>
        <v>0.0619</v>
      </c>
      <c r="G27" s="471"/>
    </row>
    <row r="28" ht="20.1" customHeight="1" spans="1:7">
      <c r="A28" s="470">
        <v>2</v>
      </c>
      <c r="B28" s="470" t="s">
        <v>911</v>
      </c>
      <c r="C28" s="476">
        <v>0.03</v>
      </c>
      <c r="D28" s="471"/>
      <c r="E28" s="471"/>
      <c r="F28" s="473">
        <f>F22*C28</f>
        <v>0.09285</v>
      </c>
      <c r="G28" s="471"/>
    </row>
    <row r="29" ht="20.1" customHeight="1" spans="1:7">
      <c r="A29" s="470">
        <v>3</v>
      </c>
      <c r="B29" s="470" t="s">
        <v>912</v>
      </c>
      <c r="C29" s="471"/>
      <c r="D29" s="471"/>
      <c r="E29" s="471"/>
      <c r="F29" s="473">
        <f>F30+F31</f>
        <v>2.108325</v>
      </c>
      <c r="G29" s="471"/>
    </row>
    <row r="30" ht="20.1" customHeight="1" spans="1:7">
      <c r="A30" s="470">
        <v>3.1</v>
      </c>
      <c r="B30" s="470" t="s">
        <v>913</v>
      </c>
      <c r="C30" s="471"/>
      <c r="D30" s="471"/>
      <c r="E30" s="471"/>
      <c r="F30" s="473">
        <v>2</v>
      </c>
      <c r="G30" s="471"/>
    </row>
    <row r="31" ht="20.1" customHeight="1" spans="1:7">
      <c r="A31" s="470">
        <v>3.2</v>
      </c>
      <c r="B31" s="470" t="s">
        <v>914</v>
      </c>
      <c r="C31" s="476">
        <v>0.035</v>
      </c>
      <c r="D31" s="471"/>
      <c r="E31" s="471"/>
      <c r="F31" s="473">
        <f>C31*F22</f>
        <v>0.108325</v>
      </c>
      <c r="G31" s="471"/>
    </row>
    <row r="32" ht="20.1" customHeight="1" spans="1:7">
      <c r="A32" s="470">
        <v>4</v>
      </c>
      <c r="B32" s="470" t="s">
        <v>915</v>
      </c>
      <c r="C32" s="476">
        <v>0.005</v>
      </c>
      <c r="D32" s="471"/>
      <c r="E32" s="471"/>
      <c r="F32" s="473">
        <f>C32*F22</f>
        <v>0.015475</v>
      </c>
      <c r="G32" s="471"/>
    </row>
    <row r="33" ht="20.1" customHeight="1" spans="1:7">
      <c r="A33" s="472" t="s">
        <v>916</v>
      </c>
      <c r="B33" s="472"/>
      <c r="C33" s="474"/>
      <c r="D33" s="474"/>
      <c r="E33" s="474"/>
      <c r="F33" s="475">
        <f>F23+F22</f>
        <v>5.481875</v>
      </c>
      <c r="G33" s="471"/>
    </row>
    <row r="34" ht="20.1" customHeight="1" spans="1:7">
      <c r="A34" s="472" t="s">
        <v>917</v>
      </c>
      <c r="B34" s="472"/>
      <c r="C34" s="477">
        <v>0.05</v>
      </c>
      <c r="D34" s="474"/>
      <c r="E34" s="474"/>
      <c r="F34" s="473">
        <f>C34*F33</f>
        <v>0.27409375</v>
      </c>
      <c r="G34" s="471"/>
    </row>
    <row r="35" ht="20.1" customHeight="1" spans="1:7">
      <c r="A35" s="470" t="s">
        <v>918</v>
      </c>
      <c r="B35" s="470"/>
      <c r="C35" s="471" t="s">
        <v>919</v>
      </c>
      <c r="D35" s="471"/>
      <c r="E35" s="471"/>
      <c r="F35" s="478">
        <f>F34+F33</f>
        <v>5.75596875</v>
      </c>
      <c r="G35" s="479"/>
    </row>
    <row r="36" ht="20.1" customHeight="1"/>
    <row r="37" ht="20.1" customHeight="1"/>
  </sheetData>
  <mergeCells count="8">
    <mergeCell ref="A1:G1"/>
    <mergeCell ref="A3:B3"/>
    <mergeCell ref="A6:B6"/>
    <mergeCell ref="A22:B22"/>
    <mergeCell ref="A23:B23"/>
    <mergeCell ref="A33:B33"/>
    <mergeCell ref="A34:B34"/>
    <mergeCell ref="A35:B35"/>
  </mergeCells>
  <pageMargins left="0.7" right="0.7" top="0.75" bottom="0.75" header="0.3" footer="0.3"/>
  <pageSetup paperSize="9" orientation="portrait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9"/>
  <sheetViews>
    <sheetView workbookViewId="0">
      <selection activeCell="D7" sqref="D7"/>
    </sheetView>
  </sheetViews>
  <sheetFormatPr defaultColWidth="9" defaultRowHeight="16.5" customHeight="1" outlineLevelCol="3"/>
  <cols>
    <col min="1" max="1" width="9" style="462" customWidth="1"/>
    <col min="2" max="2" width="36.5" style="462" customWidth="1"/>
    <col min="3" max="3" width="12.875" style="462" customWidth="1"/>
    <col min="4" max="4" width="20.7" style="462" customWidth="1"/>
    <col min="5" max="5" width="9" style="462"/>
    <col min="6" max="6" width="10.5" style="462" customWidth="1"/>
    <col min="7" max="16384" width="9" style="462"/>
  </cols>
  <sheetData>
    <row r="1" customHeight="1" spans="1:4">
      <c r="A1" s="463" t="s">
        <v>920</v>
      </c>
      <c r="B1" s="463"/>
      <c r="C1" s="463"/>
      <c r="D1" s="463"/>
    </row>
    <row r="2" customHeight="1" spans="1:4">
      <c r="A2" s="464"/>
      <c r="B2" s="464"/>
      <c r="C2" s="464"/>
      <c r="D2" s="464"/>
    </row>
    <row r="3" customHeight="1" spans="1:4">
      <c r="A3" s="206" t="s">
        <v>50</v>
      </c>
      <c r="B3" s="206" t="s">
        <v>921</v>
      </c>
      <c r="C3" s="206" t="s">
        <v>922</v>
      </c>
      <c r="D3" s="465" t="s">
        <v>54</v>
      </c>
    </row>
    <row r="4" customHeight="1" spans="1:4">
      <c r="A4" s="206"/>
      <c r="B4" s="206"/>
      <c r="C4" s="206"/>
      <c r="D4" s="466"/>
    </row>
    <row r="5" ht="25" customHeight="1" spans="1:4">
      <c r="A5" s="206">
        <v>1</v>
      </c>
      <c r="B5" s="234" t="s">
        <v>923</v>
      </c>
      <c r="C5" s="206" t="s">
        <v>924</v>
      </c>
      <c r="D5" s="467">
        <f>建筑工程单价分析表!F21</f>
        <v>864.528187625339</v>
      </c>
    </row>
    <row r="6" ht="25" customHeight="1" spans="1:4">
      <c r="A6" s="206">
        <v>2</v>
      </c>
      <c r="B6" s="234" t="s">
        <v>925</v>
      </c>
      <c r="C6" s="206" t="s">
        <v>924</v>
      </c>
      <c r="D6" s="207">
        <f>建筑工程单价分析表!F43</f>
        <v>285.666121708847</v>
      </c>
    </row>
    <row r="7" ht="25" customHeight="1" spans="1:4">
      <c r="A7" s="206">
        <v>3</v>
      </c>
      <c r="B7" s="234" t="s">
        <v>926</v>
      </c>
      <c r="C7" s="206" t="s">
        <v>924</v>
      </c>
      <c r="D7" s="207">
        <f>建筑工程单价分析表!F68</f>
        <v>295.339092441839</v>
      </c>
    </row>
    <row r="8" ht="25" customHeight="1" spans="1:4">
      <c r="A8" s="206">
        <v>4</v>
      </c>
      <c r="B8" s="234" t="s">
        <v>927</v>
      </c>
      <c r="C8" s="206" t="s">
        <v>924</v>
      </c>
      <c r="D8" s="207">
        <f>建筑工程单价分析表!F106</f>
        <v>1233.09153919751</v>
      </c>
    </row>
    <row r="9" ht="25" customHeight="1" spans="1:4">
      <c r="A9" s="206">
        <v>5</v>
      </c>
      <c r="B9" s="234" t="str">
        <f>建筑工程单价分析表!A108</f>
        <v>1m3挖掘机装石渣汽车运输1km 工程</v>
      </c>
      <c r="C9" s="206" t="s">
        <v>924</v>
      </c>
      <c r="D9" s="207">
        <f>建筑工程单价分析表!F129</f>
        <v>2663.21919205244</v>
      </c>
    </row>
    <row r="10" ht="25" customHeight="1" spans="1:4">
      <c r="A10" s="206">
        <v>6</v>
      </c>
      <c r="B10" s="234" t="s">
        <v>928</v>
      </c>
      <c r="C10" s="206" t="s">
        <v>924</v>
      </c>
      <c r="D10" s="207">
        <f>建筑工程单价分析表!F157</f>
        <v>631.435138821432</v>
      </c>
    </row>
    <row r="11" ht="25" customHeight="1" spans="1:4">
      <c r="A11" s="206">
        <v>7</v>
      </c>
      <c r="B11" s="234" t="s">
        <v>929</v>
      </c>
      <c r="C11" s="206" t="s">
        <v>924</v>
      </c>
      <c r="D11" s="207">
        <f>建筑工程单价分析表!F177</f>
        <v>2172.95909758467</v>
      </c>
    </row>
    <row r="12" ht="25" customHeight="1" spans="1:4">
      <c r="A12" s="206">
        <v>8</v>
      </c>
      <c r="B12" s="234" t="s">
        <v>930</v>
      </c>
      <c r="C12" s="206" t="s">
        <v>924</v>
      </c>
      <c r="D12" s="207">
        <f>建筑工程单价分析表!F246</f>
        <v>50542.9795898414</v>
      </c>
    </row>
    <row r="13" ht="25" customHeight="1" spans="1:4">
      <c r="A13" s="206">
        <v>9</v>
      </c>
      <c r="B13" s="234" t="s">
        <v>931</v>
      </c>
      <c r="C13" s="206" t="s">
        <v>924</v>
      </c>
      <c r="D13" s="207">
        <f>建筑工程单价分析表!F209</f>
        <v>59521.4434120762</v>
      </c>
    </row>
    <row r="14" ht="25" customHeight="1" spans="1:4">
      <c r="A14" s="206">
        <v>10</v>
      </c>
      <c r="B14" s="234" t="s">
        <v>68</v>
      </c>
      <c r="C14" s="206" t="s">
        <v>69</v>
      </c>
      <c r="D14" s="207">
        <f>建筑工程单价分析表!F607</f>
        <v>6220.99382408393</v>
      </c>
    </row>
    <row r="15" ht="25" customHeight="1" spans="1:4">
      <c r="A15" s="206">
        <v>11</v>
      </c>
      <c r="B15" s="234" t="s">
        <v>447</v>
      </c>
      <c r="C15" s="206" t="s">
        <v>932</v>
      </c>
      <c r="D15" s="207">
        <f>建筑工程单价分析表!F713</f>
        <v>18231.6016658612</v>
      </c>
    </row>
    <row r="16" ht="25" customHeight="1" spans="1:4">
      <c r="A16" s="206">
        <v>12</v>
      </c>
      <c r="B16" s="234" t="s">
        <v>396</v>
      </c>
      <c r="C16" s="206" t="s">
        <v>932</v>
      </c>
      <c r="D16" s="207">
        <f>建筑工程单价分析表!F750</f>
        <v>20032.8972549866</v>
      </c>
    </row>
    <row r="17" ht="25" customHeight="1" spans="1:4">
      <c r="A17" s="206">
        <v>13</v>
      </c>
      <c r="B17" s="234" t="s">
        <v>933</v>
      </c>
      <c r="C17" s="206" t="s">
        <v>932</v>
      </c>
      <c r="D17" s="207">
        <f>建筑工程单价分析表!F983</f>
        <v>3810.34712217639</v>
      </c>
    </row>
    <row r="18" ht="25" customHeight="1" spans="1:4">
      <c r="A18" s="206">
        <v>14</v>
      </c>
      <c r="B18" s="234" t="s">
        <v>934</v>
      </c>
      <c r="C18" s="206" t="s">
        <v>924</v>
      </c>
      <c r="D18" s="207">
        <f>建筑工程单价分析表!F1046</f>
        <v>65398.545308841</v>
      </c>
    </row>
    <row r="19" ht="25" customHeight="1" spans="1:4">
      <c r="A19" s="206">
        <v>15</v>
      </c>
      <c r="B19" s="234" t="s">
        <v>935</v>
      </c>
      <c r="C19" s="206" t="s">
        <v>924</v>
      </c>
      <c r="D19" s="207">
        <f>建筑工程单价分析表!F380</f>
        <v>49188.1744284307</v>
      </c>
    </row>
    <row r="20" ht="25" customHeight="1" spans="1:4">
      <c r="A20" s="206">
        <v>16</v>
      </c>
      <c r="B20" s="234" t="s">
        <v>936</v>
      </c>
      <c r="C20" s="206" t="s">
        <v>924</v>
      </c>
      <c r="D20" s="207">
        <f>建筑工程单价分析表!F427</f>
        <v>53245.5329189905</v>
      </c>
    </row>
    <row r="21" ht="25" customHeight="1" spans="1:4">
      <c r="A21" s="206">
        <v>17</v>
      </c>
      <c r="B21" s="234" t="s">
        <v>937</v>
      </c>
      <c r="C21" s="206" t="s">
        <v>924</v>
      </c>
      <c r="D21" s="207">
        <f>建筑工程单价分析表!F474</f>
        <v>56424.9291609108</v>
      </c>
    </row>
    <row r="22" ht="25" customHeight="1" spans="1:4">
      <c r="A22" s="206">
        <v>18</v>
      </c>
      <c r="B22" s="234" t="s">
        <v>938</v>
      </c>
      <c r="C22" s="206" t="s">
        <v>924</v>
      </c>
      <c r="D22" s="207">
        <f>建筑工程单价分析表!F561</f>
        <v>92136.9262661247</v>
      </c>
    </row>
    <row r="23" ht="25" customHeight="1" spans="1:4">
      <c r="A23" s="206">
        <v>19</v>
      </c>
      <c r="B23" s="234" t="s">
        <v>939</v>
      </c>
      <c r="C23" s="206" t="s">
        <v>924</v>
      </c>
      <c r="D23" s="207">
        <f>建筑工程单价分析表!F778</f>
        <v>1767.28263166112</v>
      </c>
    </row>
    <row r="24" ht="25" customHeight="1" spans="1:4">
      <c r="A24" s="206">
        <v>20</v>
      </c>
      <c r="B24" s="234" t="s">
        <v>940</v>
      </c>
      <c r="C24" s="206" t="s">
        <v>924</v>
      </c>
      <c r="D24" s="207">
        <f>建筑工程单价分析表!F800</f>
        <v>4343.45944253631</v>
      </c>
    </row>
    <row r="25" ht="25" customHeight="1" spans="1:4">
      <c r="A25" s="206">
        <v>21</v>
      </c>
      <c r="B25" s="222" t="s">
        <v>941</v>
      </c>
      <c r="C25" s="206" t="s">
        <v>924</v>
      </c>
      <c r="D25" s="207">
        <f>建筑工程单价分析表!F909</f>
        <v>85669.695131964</v>
      </c>
    </row>
    <row r="26" ht="25" customHeight="1" spans="1:4">
      <c r="A26" s="206">
        <v>22</v>
      </c>
      <c r="B26" s="222" t="s">
        <v>942</v>
      </c>
      <c r="C26" s="206" t="s">
        <v>924</v>
      </c>
      <c r="D26" s="207">
        <f>建筑工程单价分析表!F823</f>
        <v>7588.26439413242</v>
      </c>
    </row>
    <row r="27" ht="25" customHeight="1" spans="1:4">
      <c r="A27" s="206">
        <v>23</v>
      </c>
      <c r="B27" s="222" t="s">
        <v>943</v>
      </c>
      <c r="C27" s="206" t="s">
        <v>924</v>
      </c>
      <c r="D27" s="207">
        <f>建筑工程单价分析表!F950</f>
        <v>44119.8668645449</v>
      </c>
    </row>
    <row r="28" ht="25" customHeight="1" spans="1:4">
      <c r="A28" s="206"/>
      <c r="B28" s="222"/>
      <c r="C28" s="206"/>
      <c r="D28" s="207"/>
    </row>
    <row r="29" ht="25" customHeight="1"/>
  </sheetData>
  <mergeCells count="5">
    <mergeCell ref="A3:A4"/>
    <mergeCell ref="B3:B4"/>
    <mergeCell ref="C3:C4"/>
    <mergeCell ref="D3:D4"/>
    <mergeCell ref="A1:D2"/>
  </mergeCells>
  <pageMargins left="0.747916666666667" right="0.747916666666667" top="0.984027777777778" bottom="0.984027777777778" header="0.511805555555556" footer="0.511805555555556"/>
  <pageSetup paperSize="9" orientation="portrait"/>
  <headerFooter alignWithMargins="0" scaleWithDoc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3"/>
  <sheetViews>
    <sheetView workbookViewId="0">
      <selection activeCell="D122" sqref="D122"/>
    </sheetView>
  </sheetViews>
  <sheetFormatPr defaultColWidth="9" defaultRowHeight="16.5" customHeight="1" outlineLevelCol="3"/>
  <cols>
    <col min="1" max="1" width="9" style="289" customWidth="1"/>
    <col min="2" max="2" width="38.125" style="289" customWidth="1"/>
    <col min="3" max="3" width="12.875" style="289" customWidth="1"/>
    <col min="4" max="4" width="14.75" style="289" customWidth="1"/>
    <col min="5" max="5" width="9" style="289"/>
    <col min="6" max="6" width="10.5" style="289" customWidth="1"/>
    <col min="7" max="16384" width="9" style="289"/>
  </cols>
  <sheetData>
    <row r="1" customHeight="1" spans="1:4">
      <c r="A1" s="357" t="s">
        <v>920</v>
      </c>
      <c r="B1" s="357"/>
      <c r="C1" s="357"/>
      <c r="D1" s="357"/>
    </row>
    <row r="2" customHeight="1" spans="1:4">
      <c r="A2" s="457"/>
      <c r="B2" s="457"/>
      <c r="C2" s="457"/>
      <c r="D2" s="457"/>
    </row>
    <row r="3" customHeight="1" spans="1:4">
      <c r="A3" s="360" t="s">
        <v>50</v>
      </c>
      <c r="B3" s="360" t="s">
        <v>921</v>
      </c>
      <c r="C3" s="360" t="s">
        <v>922</v>
      </c>
      <c r="D3" s="458" t="s">
        <v>54</v>
      </c>
    </row>
    <row r="4" ht="3.95" customHeight="1" spans="1:4">
      <c r="A4" s="360"/>
      <c r="B4" s="360"/>
      <c r="C4" s="360"/>
      <c r="D4" s="459"/>
    </row>
    <row r="5" ht="15.95" customHeight="1" spans="1:4">
      <c r="A5" s="360">
        <v>1</v>
      </c>
      <c r="B5" s="460" t="str">
        <f>绿化定额!A2</f>
        <v>栽植水生植物（芦苇）</v>
      </c>
      <c r="C5" s="360" t="s">
        <v>175</v>
      </c>
      <c r="D5" s="461">
        <f>ROUND(绿化定额!F21/10,2)</f>
        <v>0.24</v>
      </c>
    </row>
    <row r="6" ht="15.95" customHeight="1" spans="1:4">
      <c r="A6" s="360">
        <v>2</v>
      </c>
      <c r="B6" s="460" t="str">
        <f>绿化定额!A23</f>
        <v>栽植水生植物（菖蒲）</v>
      </c>
      <c r="C6" s="360" t="s">
        <v>175</v>
      </c>
      <c r="D6" s="461">
        <f>ROUND(绿化定额!F42/10,2)</f>
        <v>0.24</v>
      </c>
    </row>
    <row r="7" ht="15.95" customHeight="1" spans="1:4">
      <c r="A7" s="360">
        <v>3</v>
      </c>
      <c r="B7" s="460" t="str">
        <f>绿化定额!A44</f>
        <v>栽植水生植物（千屈菜）</v>
      </c>
      <c r="C7" s="360" t="s">
        <v>175</v>
      </c>
      <c r="D7" s="461">
        <f>ROUND(绿化定额!F63/10,2)</f>
        <v>0.24</v>
      </c>
    </row>
    <row r="8" ht="15.95" customHeight="1" spans="1:4">
      <c r="A8" s="360">
        <v>4</v>
      </c>
      <c r="B8" s="460" t="str">
        <f>绿化定额!A65</f>
        <v>栽植水生植物（鸢尾）</v>
      </c>
      <c r="C8" s="360" t="s">
        <v>175</v>
      </c>
      <c r="D8" s="461">
        <f>ROUND(绿化定额!F84/10,2)</f>
        <v>0.24</v>
      </c>
    </row>
    <row r="9" ht="15.95" customHeight="1" spans="1:4">
      <c r="A9" s="360">
        <v>5</v>
      </c>
      <c r="B9" s="460" t="str">
        <f>绿化定额!A86</f>
        <v>栽植水生植物（水葱）</v>
      </c>
      <c r="C9" s="360" t="s">
        <v>175</v>
      </c>
      <c r="D9" s="461">
        <f>ROUND(绿化定额!F105/10,2)</f>
        <v>0.24</v>
      </c>
    </row>
    <row r="10" ht="15.95" customHeight="1" spans="1:4">
      <c r="A10" s="360">
        <v>6</v>
      </c>
      <c r="B10" s="460" t="str">
        <f>绿化定额!A107</f>
        <v>栽植水生植物（香蒲）</v>
      </c>
      <c r="C10" s="360" t="s">
        <v>175</v>
      </c>
      <c r="D10" s="461">
        <f>ROUND(绿化定额!F126/10,2)</f>
        <v>0.24</v>
      </c>
    </row>
    <row r="11" ht="15.95" customHeight="1" spans="1:4">
      <c r="A11" s="360">
        <v>7</v>
      </c>
      <c r="B11" s="460" t="str">
        <f>绿化定额!A128</f>
        <v>栽植挺水植物（荷花4株/m2）</v>
      </c>
      <c r="C11" s="360" t="s">
        <v>175</v>
      </c>
      <c r="D11" s="461">
        <f>ROUND(绿化定额!F147/10,2)</f>
        <v>0.6</v>
      </c>
    </row>
    <row r="12" ht="15.95" customHeight="1" spans="1:4">
      <c r="A12" s="360">
        <v>8</v>
      </c>
      <c r="B12" s="460" t="str">
        <f>绿化定额!A149</f>
        <v>栽植挺水植物（睡莲）</v>
      </c>
      <c r="C12" s="360" t="s">
        <v>175</v>
      </c>
      <c r="D12" s="461">
        <f>ROUND(绿化定额!F168/10,2)</f>
        <v>0.6</v>
      </c>
    </row>
    <row r="13" ht="15.95" customHeight="1" spans="1:4">
      <c r="A13" s="360">
        <v>9</v>
      </c>
      <c r="B13" s="460" t="str">
        <f>绿化定额!A170</f>
        <v>栽植浮叶植物（荇菜）</v>
      </c>
      <c r="C13" s="360" t="s">
        <v>175</v>
      </c>
      <c r="D13" s="461">
        <f>ROUND(绿化定额!F189/10,2)</f>
        <v>0.74</v>
      </c>
    </row>
    <row r="14" ht="15.95" customHeight="1" spans="1:4">
      <c r="A14" s="360">
        <v>10</v>
      </c>
      <c r="B14" s="460" t="str">
        <f>绿化定额!A191</f>
        <v>栽植沉水植物（竹叶眼子菜）</v>
      </c>
      <c r="C14" s="360" t="s">
        <v>175</v>
      </c>
      <c r="D14" s="461">
        <f>ROUND(绿化定额!F210/10,2)</f>
        <v>0.75</v>
      </c>
    </row>
    <row r="15" ht="15.95" customHeight="1" spans="1:4">
      <c r="A15" s="360">
        <v>11</v>
      </c>
      <c r="B15" s="460" t="str">
        <f>绿化定额!A212</f>
        <v>栽植沉水植物（苦草）</v>
      </c>
      <c r="C15" s="360" t="s">
        <v>175</v>
      </c>
      <c r="D15" s="461">
        <f>ROUND(绿化定额!F231/10,2)</f>
        <v>0.75</v>
      </c>
    </row>
    <row r="16" ht="15.95" customHeight="1" spans="1:4">
      <c r="A16" s="360">
        <v>12</v>
      </c>
      <c r="B16" s="460" t="str">
        <f>绿化定额!A233</f>
        <v>水生植物养护（荷花、睡莲）</v>
      </c>
      <c r="C16" s="360" t="s">
        <v>175</v>
      </c>
      <c r="D16" s="365">
        <f>ROUND(绿化定额!F253,2)</f>
        <v>0.16</v>
      </c>
    </row>
    <row r="17" ht="15.95" hidden="1" customHeight="1" spans="1:4">
      <c r="A17" s="360">
        <v>13</v>
      </c>
      <c r="B17" s="460" t="str">
        <f>绿化定额!A255</f>
        <v>栽植带土球乔木（桧柏 H=250-300cm）</v>
      </c>
      <c r="C17" s="360" t="s">
        <v>175</v>
      </c>
      <c r="D17" s="365">
        <f>ROUND(绿化定额!F275/10,2)</f>
        <v>14.78</v>
      </c>
    </row>
    <row r="18" ht="15.95" hidden="1" customHeight="1" spans="1:4">
      <c r="A18" s="360">
        <v>14</v>
      </c>
      <c r="B18" s="460" t="str">
        <f>绿化定额!A277</f>
        <v>栽植带土球乔木（国槐 D≥6cm）</v>
      </c>
      <c r="C18" s="360" t="s">
        <v>175</v>
      </c>
      <c r="D18" s="365">
        <f>ROUND(绿化定额!F297/10,2)</f>
        <v>39.67</v>
      </c>
    </row>
    <row r="19" ht="15.95" hidden="1" customHeight="1" spans="1:4">
      <c r="A19" s="360">
        <v>15</v>
      </c>
      <c r="B19" s="460" t="str">
        <f>绿化定额!A299</f>
        <v>栽植带土球乔木（河北杨 D≥10cm）</v>
      </c>
      <c r="C19" s="360" t="s">
        <v>175</v>
      </c>
      <c r="D19" s="365">
        <f>ROUND(绿化定额!F319/10,2)</f>
        <v>65.37</v>
      </c>
    </row>
    <row r="20" ht="15.95" hidden="1" customHeight="1" spans="1:4">
      <c r="A20" s="360">
        <v>16</v>
      </c>
      <c r="B20" s="460" t="str">
        <f>绿化定额!A321</f>
        <v>栽植带土球乔木（垂柳 D≥8cm）</v>
      </c>
      <c r="C20" s="360" t="s">
        <v>175</v>
      </c>
      <c r="D20" s="365">
        <f>ROUND(绿化定额!F341/10,2)</f>
        <v>25.65</v>
      </c>
    </row>
    <row r="21" ht="15.95" hidden="1" customHeight="1" spans="1:4">
      <c r="A21" s="360">
        <v>17</v>
      </c>
      <c r="B21" s="460" t="str">
        <f>绿化定额!A343</f>
        <v>栽植带土球乔木（山桃地径5-6cm）</v>
      </c>
      <c r="C21" s="360" t="s">
        <v>175</v>
      </c>
      <c r="D21" s="365">
        <f>ROUND(绿化定额!F363/10,2)</f>
        <v>5.79</v>
      </c>
    </row>
    <row r="22" ht="15.95" hidden="1" customHeight="1" spans="1:4">
      <c r="A22" s="360">
        <v>18</v>
      </c>
      <c r="B22" s="460" t="str">
        <f>绿化定额!A365</f>
        <v>栽植带土球乔木（紫叶李地径d≥8cm）</v>
      </c>
      <c r="C22" s="360" t="s">
        <v>175</v>
      </c>
      <c r="D22" s="365">
        <f>ROUND(绿化定额!F385/10,2)</f>
        <v>25.65</v>
      </c>
    </row>
    <row r="23" ht="15.95" hidden="1" customHeight="1" spans="1:4">
      <c r="A23" s="360">
        <v>19</v>
      </c>
      <c r="B23" s="460" t="str">
        <f>绿化定额!A387</f>
        <v>栽植带土球乔木（八棱海棠 d≥8cm）</v>
      </c>
      <c r="C23" s="360" t="s">
        <v>175</v>
      </c>
      <c r="D23" s="365">
        <f>ROUND(绿化定额!F407/10,2)</f>
        <v>25.65</v>
      </c>
    </row>
    <row r="24" ht="15.95" hidden="1" customHeight="1" spans="1:4">
      <c r="A24" s="360">
        <v>20</v>
      </c>
      <c r="B24" s="460" t="str">
        <f>绿化定额!A409</f>
        <v>栽植带土球乔木（金叶榆地径d=3-4cm）</v>
      </c>
      <c r="C24" s="360" t="s">
        <v>175</v>
      </c>
      <c r="D24" s="365">
        <f>ROUND(绿化定额!F429/10,2)</f>
        <v>5.79</v>
      </c>
    </row>
    <row r="25" ht="15.95" hidden="1" customHeight="1" spans="1:4">
      <c r="A25" s="360">
        <v>21</v>
      </c>
      <c r="B25" s="460" t="str">
        <f>绿化定额!A431</f>
        <v>栽植带土球乔木（暴马丁香地径d=3-4cm）</v>
      </c>
      <c r="C25" s="360" t="s">
        <v>175</v>
      </c>
      <c r="D25" s="365">
        <f>ROUND(绿化定额!F451/10,2)</f>
        <v>5.79</v>
      </c>
    </row>
    <row r="26" ht="15.95" hidden="1" customHeight="1" spans="1:4">
      <c r="A26" s="360">
        <v>22</v>
      </c>
      <c r="B26" s="460" t="str">
        <f>绿化定额!A453</f>
        <v>栽植单株带土球灌木（桧柏球 冠幅80-100cm）</v>
      </c>
      <c r="C26" s="360" t="s">
        <v>175</v>
      </c>
      <c r="D26" s="365">
        <f>ROUND(绿化定额!F473/10,2)</f>
        <v>6.88</v>
      </c>
    </row>
    <row r="27" ht="15.95" hidden="1" customHeight="1" spans="1:4">
      <c r="A27" s="360">
        <v>23</v>
      </c>
      <c r="B27" s="460" t="str">
        <f>绿化定额!A475</f>
        <v>栽植带土球乔木（重瓣榆叶梅地径d=3-4cm）</v>
      </c>
      <c r="C27" s="360" t="s">
        <v>175</v>
      </c>
      <c r="D27" s="365">
        <f>ROUND(绿化定额!F495/10,2)</f>
        <v>5.79</v>
      </c>
    </row>
    <row r="28" ht="15.95" hidden="1" customHeight="1" spans="1:4">
      <c r="A28" s="360">
        <v>24</v>
      </c>
      <c r="B28" s="460" t="str">
        <f>绿化定额!A497</f>
        <v>栽植单株带土球灌木（金银木冠幅1-1.2m）</v>
      </c>
      <c r="C28" s="360" t="s">
        <v>175</v>
      </c>
      <c r="D28" s="365">
        <f>ROUND(绿化定额!F517/10,2)</f>
        <v>14.56</v>
      </c>
    </row>
    <row r="29" ht="15.95" hidden="1" customHeight="1" spans="1:4">
      <c r="A29" s="360">
        <v>25</v>
      </c>
      <c r="B29" s="460" t="str">
        <f>绿化定额!A519</f>
        <v>栽植球、块根、宿根花卉（千屈菜）</v>
      </c>
      <c r="C29" s="360" t="s">
        <v>175</v>
      </c>
      <c r="D29" s="365">
        <f>ROUND(绿化定额!F539,2)</f>
        <v>0.21</v>
      </c>
    </row>
    <row r="30" ht="15.95" hidden="1" customHeight="1" spans="1:4">
      <c r="A30" s="360">
        <v>26</v>
      </c>
      <c r="B30" s="460" t="str">
        <f>绿化定额!A541</f>
        <v>栽植球、块根、宿根花卉（黄花鸢尾）</v>
      </c>
      <c r="C30" s="360" t="s">
        <v>175</v>
      </c>
      <c r="D30" s="365">
        <f>ROUND(绿化定额!F561,2)</f>
        <v>0.21</v>
      </c>
    </row>
    <row r="31" ht="15.95" hidden="1" customHeight="1" spans="1:4">
      <c r="A31" s="360">
        <v>27</v>
      </c>
      <c r="B31" s="460" t="str">
        <f>绿化定额!A563</f>
        <v>栽植成片灌木（红花多枝怪柳）</v>
      </c>
      <c r="C31" s="360" t="s">
        <v>175</v>
      </c>
      <c r="D31" s="365">
        <f>ROUND(绿化定额!F583,2)</f>
        <v>0.3</v>
      </c>
    </row>
    <row r="32" ht="15.95" hidden="1" customHeight="1" spans="1:4">
      <c r="A32" s="360">
        <v>28</v>
      </c>
      <c r="B32" s="460" t="str">
        <f>绿化定额!A585</f>
        <v>栽植球、块根、宿根花卉（三七景天）</v>
      </c>
      <c r="C32" s="360" t="s">
        <v>175</v>
      </c>
      <c r="D32" s="365">
        <f>ROUND(绿化定额!F605,2)</f>
        <v>0.21</v>
      </c>
    </row>
    <row r="33" ht="15.95" hidden="1" customHeight="1" spans="1:4">
      <c r="A33" s="360">
        <v>29</v>
      </c>
      <c r="B33" s="460" t="str">
        <f>绿化定额!A607</f>
        <v>栽植成片灌木（紫穗槐）</v>
      </c>
      <c r="C33" s="360" t="s">
        <v>175</v>
      </c>
      <c r="D33" s="365">
        <f>ROUND(绿化定额!F627,2)</f>
        <v>0.48</v>
      </c>
    </row>
    <row r="34" ht="15.95" hidden="1" customHeight="1" spans="1:4">
      <c r="A34" s="360">
        <v>30</v>
      </c>
      <c r="B34" s="460" t="str">
        <f>绿化定额!A629</f>
        <v>栽植球、块根、宿根花卉（红花罗布麻）</v>
      </c>
      <c r="C34" s="360" t="s">
        <v>175</v>
      </c>
      <c r="D34" s="365">
        <f>ROUND(绿化定额!F649,2)</f>
        <v>0.29</v>
      </c>
    </row>
    <row r="35" ht="15.95" hidden="1" customHeight="1" spans="1:4">
      <c r="A35" s="360">
        <v>31</v>
      </c>
      <c r="B35" s="460" t="str">
        <f>绿化定额!A651</f>
        <v>栽植球、块根、宿根花卉（马蔺）</v>
      </c>
      <c r="C35" s="360" t="s">
        <v>175</v>
      </c>
      <c r="D35" s="365">
        <f>ROUND(绿化定额!F671,2)</f>
        <v>0.21</v>
      </c>
    </row>
    <row r="36" ht="15.95" hidden="1" customHeight="1" spans="1:4">
      <c r="A36" s="360">
        <v>32</v>
      </c>
      <c r="B36" s="460" t="str">
        <f>绿化定额!A717</f>
        <v>落叶乔木养护（胸径≤6cm/干径≤8cm）</v>
      </c>
      <c r="C36" s="360" t="s">
        <v>175</v>
      </c>
      <c r="D36" s="365">
        <f>ROUND(绿化定额!F738/10,2)</f>
        <v>2.85</v>
      </c>
    </row>
    <row r="37" ht="15.95" hidden="1" customHeight="1" spans="1:4">
      <c r="A37" s="360">
        <v>33</v>
      </c>
      <c r="B37" s="460" t="str">
        <f>绿化定额!A740</f>
        <v>落叶乔木养护（胸径≤10cm/干径≤12cm）</v>
      </c>
      <c r="C37" s="360" t="s">
        <v>175</v>
      </c>
      <c r="D37" s="365">
        <f>ROUND(绿化定额!F761/10,2)</f>
        <v>3.35</v>
      </c>
    </row>
    <row r="38" ht="15.95" hidden="1" customHeight="1" spans="1:4">
      <c r="A38" s="360">
        <v>34</v>
      </c>
      <c r="B38" s="460" t="str">
        <f>绿化定额!A763</f>
        <v>常绿乔木养护（胸径≤6cm/干径≤8cm）</v>
      </c>
      <c r="C38" s="360" t="s">
        <v>175</v>
      </c>
      <c r="D38" s="365">
        <f>ROUND(绿化定额!F784/10,2)</f>
        <v>2.63</v>
      </c>
    </row>
    <row r="39" ht="15.95" hidden="1" customHeight="1" spans="1:4">
      <c r="A39" s="360">
        <v>35</v>
      </c>
      <c r="B39" s="460" t="str">
        <f>绿化定额!A786</f>
        <v>单株落叶灌木养护（冠径(cm) ≤100）</v>
      </c>
      <c r="C39" s="360" t="s">
        <v>175</v>
      </c>
      <c r="D39" s="365">
        <f>ROUND(绿化定额!F807/10,2)</f>
        <v>0.98</v>
      </c>
    </row>
    <row r="40" ht="15.95" hidden="1" customHeight="1" spans="1:4">
      <c r="A40" s="360">
        <v>36</v>
      </c>
      <c r="B40" s="460" t="str">
        <f>绿化定额!A809</f>
        <v>片植灌木养护（密度(株/m2) ≤25）</v>
      </c>
      <c r="C40" s="360" t="s">
        <v>175</v>
      </c>
      <c r="D40" s="365">
        <f>ROUND(绿化定额!F831,2)</f>
        <v>0.08</v>
      </c>
    </row>
    <row r="41" ht="15.95" hidden="1" customHeight="1" spans="1:4">
      <c r="A41" s="360">
        <v>37</v>
      </c>
      <c r="B41" s="460" t="str">
        <f>绿化定额!A833</f>
        <v>露地花卉及地被植物养护（球根、块根、宿根类）</v>
      </c>
      <c r="C41" s="360" t="s">
        <v>175</v>
      </c>
      <c r="D41" s="365">
        <f>ROUND(绿化定额!F855,2)</f>
        <v>0.1</v>
      </c>
    </row>
    <row r="42" ht="15.95" hidden="1" customHeight="1" spans="1:4">
      <c r="A42" s="360">
        <v>38</v>
      </c>
      <c r="B42" s="460" t="str">
        <f>绿化定额!A673</f>
        <v>栽植单株带土球灌木（珍珠梅）</v>
      </c>
      <c r="C42" s="360" t="s">
        <v>175</v>
      </c>
      <c r="D42" s="360">
        <f>ROUND(绿化定额!F693/10,2)</f>
        <v>3.97</v>
      </c>
    </row>
    <row r="43" ht="15.95" hidden="1" customHeight="1" spans="1:4">
      <c r="A43" s="360">
        <v>39</v>
      </c>
      <c r="B43" s="460" t="str">
        <f>绿化定额!A695</f>
        <v>栽植单株带土球灌木（丁香）</v>
      </c>
      <c r="C43" s="360" t="s">
        <v>175</v>
      </c>
      <c r="D43" s="360">
        <f>ROUND(绿化定额!F715/10,2)</f>
        <v>3.97</v>
      </c>
    </row>
  </sheetData>
  <mergeCells count="5">
    <mergeCell ref="A3:A4"/>
    <mergeCell ref="B3:B4"/>
    <mergeCell ref="C3:C4"/>
    <mergeCell ref="D3:D4"/>
    <mergeCell ref="A1:D2"/>
  </mergeCells>
  <pageMargins left="0.747916666666667" right="0.747916666666667" top="0.984027777777778" bottom="0.984027777777778" header="0.510416666666667" footer="0.510416666666667"/>
  <pageSetup paperSize="9" orientation="portrait"/>
  <headerFooter alignWithMargins="0" scaleWithDoc="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N855"/>
  <sheetViews>
    <sheetView workbookViewId="0">
      <selection activeCell="D122" sqref="D122"/>
    </sheetView>
  </sheetViews>
  <sheetFormatPr defaultColWidth="9" defaultRowHeight="18" customHeight="1"/>
  <cols>
    <col min="1" max="1" width="9.375" style="243" customWidth="1"/>
    <col min="2" max="2" width="22" style="243" customWidth="1"/>
    <col min="3" max="3" width="9.75" style="109" customWidth="1"/>
    <col min="4" max="4" width="10.125" style="109" customWidth="1"/>
    <col min="5" max="5" width="10.5" style="109" customWidth="1"/>
    <col min="6" max="6" width="12.125" style="109" customWidth="1"/>
    <col min="7" max="16370" width="9" style="109"/>
  </cols>
  <sheetData>
    <row r="1" s="307" customFormat="1" customHeight="1" spans="1:14">
      <c r="A1" s="175" t="s">
        <v>944</v>
      </c>
      <c r="B1" s="176"/>
      <c r="C1" s="176"/>
      <c r="D1" s="176"/>
      <c r="E1" s="176"/>
      <c r="F1" s="176"/>
      <c r="I1" s="451" t="s">
        <v>945</v>
      </c>
      <c r="J1" s="451"/>
      <c r="K1" s="451"/>
      <c r="L1" s="451"/>
      <c r="M1" s="451"/>
      <c r="N1" s="451"/>
    </row>
    <row r="2" s="307" customFormat="1" customHeight="1" spans="1:14">
      <c r="A2" s="205" t="s">
        <v>946</v>
      </c>
      <c r="B2" s="205"/>
      <c r="C2" s="205"/>
      <c r="D2" s="205"/>
      <c r="E2" s="205"/>
      <c r="F2" s="205"/>
      <c r="I2" s="57" t="s">
        <v>947</v>
      </c>
      <c r="J2" s="59"/>
      <c r="K2" s="57"/>
      <c r="L2" s="59"/>
      <c r="M2" s="57" t="s">
        <v>948</v>
      </c>
      <c r="N2" s="59"/>
    </row>
    <row r="3" s="307" customFormat="1" customHeight="1" spans="1:14">
      <c r="A3" s="191" t="s">
        <v>949</v>
      </c>
      <c r="B3" s="191"/>
      <c r="C3" s="168"/>
      <c r="D3" s="168"/>
      <c r="E3" s="191" t="s">
        <v>950</v>
      </c>
      <c r="F3" s="191"/>
      <c r="I3" s="61" t="s">
        <v>951</v>
      </c>
      <c r="J3" s="78"/>
      <c r="K3" s="78"/>
      <c r="L3" s="78"/>
      <c r="M3" s="78"/>
      <c r="N3" s="78"/>
    </row>
    <row r="4" s="307" customFormat="1" customHeight="1" spans="1:14">
      <c r="A4" s="117" t="s">
        <v>952</v>
      </c>
      <c r="B4" s="192"/>
      <c r="C4" s="201"/>
      <c r="D4" s="201"/>
      <c r="E4" s="201"/>
      <c r="F4" s="202"/>
      <c r="I4" s="61" t="s">
        <v>50</v>
      </c>
      <c r="J4" s="57" t="s">
        <v>953</v>
      </c>
      <c r="K4" s="57" t="s">
        <v>52</v>
      </c>
      <c r="L4" s="57" t="s">
        <v>53</v>
      </c>
      <c r="M4" s="57" t="s">
        <v>954</v>
      </c>
      <c r="N4" s="57" t="s">
        <v>955</v>
      </c>
    </row>
    <row r="5" s="307" customFormat="1" customHeight="1" spans="1:14">
      <c r="A5" s="57" t="s">
        <v>354</v>
      </c>
      <c r="B5" s="57" t="s">
        <v>956</v>
      </c>
      <c r="C5" s="57" t="s">
        <v>52</v>
      </c>
      <c r="D5" s="57" t="s">
        <v>855</v>
      </c>
      <c r="E5" s="57" t="s">
        <v>53</v>
      </c>
      <c r="F5" s="57" t="s">
        <v>306</v>
      </c>
      <c r="I5" s="61" t="s">
        <v>57</v>
      </c>
      <c r="J5" s="57" t="s">
        <v>957</v>
      </c>
      <c r="K5" s="252" t="s">
        <v>958</v>
      </c>
      <c r="L5" s="252"/>
      <c r="M5" s="252"/>
      <c r="N5" s="252">
        <f>N6+N11</f>
        <v>25.1245995</v>
      </c>
    </row>
    <row r="6" s="307" customFormat="1" customHeight="1" spans="1:14">
      <c r="A6" s="57" t="s">
        <v>959</v>
      </c>
      <c r="B6" s="57" t="s">
        <v>960</v>
      </c>
      <c r="C6" s="57"/>
      <c r="D6" s="57"/>
      <c r="E6" s="57"/>
      <c r="F6" s="84">
        <f>F7+F15</f>
        <v>1.86149952</v>
      </c>
      <c r="I6" s="78" t="s">
        <v>961</v>
      </c>
      <c r="J6" s="57" t="s">
        <v>962</v>
      </c>
      <c r="K6" s="252"/>
      <c r="L6" s="252"/>
      <c r="M6" s="252"/>
      <c r="N6" s="252">
        <f>N7+N9</f>
        <v>24.7533</v>
      </c>
    </row>
    <row r="7" s="307" customFormat="1" customHeight="1" spans="1:14">
      <c r="A7" s="57" t="s">
        <v>59</v>
      </c>
      <c r="B7" s="57" t="s">
        <v>957</v>
      </c>
      <c r="C7" s="57"/>
      <c r="D7" s="57"/>
      <c r="E7" s="57"/>
      <c r="F7" s="84">
        <f>F8+F11+F13</f>
        <v>1.77624</v>
      </c>
      <c r="I7" s="78">
        <v>1</v>
      </c>
      <c r="J7" s="57" t="s">
        <v>963</v>
      </c>
      <c r="K7" s="452"/>
      <c r="L7" s="452"/>
      <c r="M7" s="452"/>
      <c r="N7" s="252">
        <f>N8</f>
        <v>22.503</v>
      </c>
    </row>
    <row r="8" s="307" customFormat="1" customHeight="1" spans="1:14">
      <c r="A8" s="57">
        <v>1</v>
      </c>
      <c r="B8" s="57" t="s">
        <v>964</v>
      </c>
      <c r="C8" s="57" t="s">
        <v>965</v>
      </c>
      <c r="D8" s="113"/>
      <c r="E8" s="92">
        <f>SUM(E9:E10)</f>
        <v>0.24</v>
      </c>
      <c r="F8" s="113">
        <f>SUM(F9:F10)</f>
        <v>1.77624</v>
      </c>
      <c r="I8" s="78"/>
      <c r="J8" s="57" t="s">
        <v>964</v>
      </c>
      <c r="K8" s="57" t="s">
        <v>965</v>
      </c>
      <c r="L8" s="252">
        <v>3.9</v>
      </c>
      <c r="M8" s="252">
        <v>5.77</v>
      </c>
      <c r="N8" s="252">
        <f>L8*M8</f>
        <v>22.503</v>
      </c>
    </row>
    <row r="9" s="307" customFormat="1" customHeight="1" spans="1:14">
      <c r="A9" s="57"/>
      <c r="B9" s="57" t="s">
        <v>966</v>
      </c>
      <c r="C9" s="57" t="s">
        <v>965</v>
      </c>
      <c r="D9" s="113">
        <v>8.1</v>
      </c>
      <c r="E9" s="124">
        <f>0.021*8</f>
        <v>0.168</v>
      </c>
      <c r="F9" s="113">
        <f>D9*E9</f>
        <v>1.3608</v>
      </c>
      <c r="I9" s="78">
        <v>2</v>
      </c>
      <c r="J9" s="57" t="s">
        <v>967</v>
      </c>
      <c r="K9" s="59"/>
      <c r="L9" s="252"/>
      <c r="M9" s="252"/>
      <c r="N9" s="252">
        <f>SUM(N10:N10)</f>
        <v>2.2503</v>
      </c>
    </row>
    <row r="10" s="307" customFormat="1" customHeight="1" spans="1:14">
      <c r="A10" s="57"/>
      <c r="B10" s="57" t="s">
        <v>968</v>
      </c>
      <c r="C10" s="57" t="s">
        <v>965</v>
      </c>
      <c r="D10" s="113">
        <v>5.77</v>
      </c>
      <c r="E10" s="124">
        <f>0.009*8</f>
        <v>0.072</v>
      </c>
      <c r="F10" s="113">
        <f>D10*E10</f>
        <v>0.41544</v>
      </c>
      <c r="I10" s="453"/>
      <c r="J10" s="57" t="s">
        <v>969</v>
      </c>
      <c r="K10" s="252" t="s">
        <v>423</v>
      </c>
      <c r="L10" s="252">
        <v>10</v>
      </c>
      <c r="M10" s="252">
        <f>N7</f>
        <v>22.503</v>
      </c>
      <c r="N10" s="252">
        <f t="shared" ref="N10:N14" si="0">M10*L10/100</f>
        <v>2.2503</v>
      </c>
    </row>
    <row r="11" s="307" customFormat="1" customHeight="1" spans="1:14">
      <c r="A11" s="57">
        <v>2</v>
      </c>
      <c r="B11" s="57" t="s">
        <v>967</v>
      </c>
      <c r="C11" s="57"/>
      <c r="D11" s="113"/>
      <c r="E11" s="124"/>
      <c r="F11" s="113">
        <f>F12</f>
        <v>0</v>
      </c>
      <c r="I11" s="78" t="s">
        <v>970</v>
      </c>
      <c r="J11" s="57" t="s">
        <v>971</v>
      </c>
      <c r="K11" s="252" t="s">
        <v>423</v>
      </c>
      <c r="L11" s="252">
        <v>1.5</v>
      </c>
      <c r="M11" s="252">
        <f>N6</f>
        <v>24.7533</v>
      </c>
      <c r="N11" s="252">
        <f t="shared" si="0"/>
        <v>0.3712995</v>
      </c>
    </row>
    <row r="12" s="307" customFormat="1" customHeight="1" spans="1:14">
      <c r="A12" s="57"/>
      <c r="B12" s="57" t="s">
        <v>972</v>
      </c>
      <c r="C12" s="57" t="s">
        <v>182</v>
      </c>
      <c r="D12" s="113"/>
      <c r="E12" s="124">
        <v>10.5</v>
      </c>
      <c r="F12" s="113">
        <f>D12*E12</f>
        <v>0</v>
      </c>
      <c r="I12" s="61" t="s">
        <v>72</v>
      </c>
      <c r="J12" s="57" t="s">
        <v>973</v>
      </c>
      <c r="K12" s="252" t="s">
        <v>423</v>
      </c>
      <c r="L12" s="252">
        <v>5.5</v>
      </c>
      <c r="M12" s="252">
        <f>N5</f>
        <v>25.1245995</v>
      </c>
      <c r="N12" s="252">
        <f t="shared" si="0"/>
        <v>1.3818529725</v>
      </c>
    </row>
    <row r="13" s="307" customFormat="1" customHeight="1" spans="1:14">
      <c r="A13" s="57">
        <v>3</v>
      </c>
      <c r="B13" s="57" t="s">
        <v>974</v>
      </c>
      <c r="C13" s="57"/>
      <c r="D13" s="57"/>
      <c r="E13" s="57"/>
      <c r="F13" s="113">
        <v>0</v>
      </c>
      <c r="I13" s="61" t="s">
        <v>162</v>
      </c>
      <c r="J13" s="57" t="s">
        <v>975</v>
      </c>
      <c r="K13" s="252" t="s">
        <v>423</v>
      </c>
      <c r="L13" s="252">
        <v>2</v>
      </c>
      <c r="M13" s="252">
        <f>N5+N12</f>
        <v>26.5064524725</v>
      </c>
      <c r="N13" s="252">
        <f t="shared" si="0"/>
        <v>0.53012904945</v>
      </c>
    </row>
    <row r="14" s="307" customFormat="1" customHeight="1" spans="1:14">
      <c r="A14" s="57"/>
      <c r="B14" s="57"/>
      <c r="C14" s="59"/>
      <c r="D14" s="84"/>
      <c r="E14" s="57"/>
      <c r="F14" s="113"/>
      <c r="I14" s="61" t="s">
        <v>214</v>
      </c>
      <c r="J14" s="57" t="s">
        <v>976</v>
      </c>
      <c r="K14" s="252" t="s">
        <v>423</v>
      </c>
      <c r="L14" s="252">
        <v>9</v>
      </c>
      <c r="M14" s="252">
        <f>N5+N12+N13</f>
        <v>27.03658152195</v>
      </c>
      <c r="N14" s="252">
        <f t="shared" si="0"/>
        <v>2.4332923369755</v>
      </c>
    </row>
    <row r="15" s="307" customFormat="1" customHeight="1" spans="1:14">
      <c r="A15" s="57" t="s">
        <v>70</v>
      </c>
      <c r="B15" s="57" t="s">
        <v>977</v>
      </c>
      <c r="C15" s="194">
        <f>取费表!$C$12</f>
        <v>0.048</v>
      </c>
      <c r="D15" s="58"/>
      <c r="E15" s="84">
        <f>F7</f>
        <v>1.77624</v>
      </c>
      <c r="F15" s="113">
        <f t="shared" ref="F15:F19" si="1">E15*C15</f>
        <v>0.08525952</v>
      </c>
      <c r="I15" s="61" t="s">
        <v>327</v>
      </c>
      <c r="J15" s="57" t="s">
        <v>278</v>
      </c>
      <c r="K15" s="59"/>
      <c r="L15" s="252"/>
      <c r="M15" s="252"/>
      <c r="N15" s="252">
        <f>N5+N12+N13+N14</f>
        <v>29.4698738589255</v>
      </c>
    </row>
    <row r="16" s="307" customFormat="1" customHeight="1" spans="1:14">
      <c r="A16" s="57"/>
      <c r="B16" s="57"/>
      <c r="C16" s="194"/>
      <c r="D16" s="58"/>
      <c r="E16" s="84"/>
      <c r="F16" s="113"/>
      <c r="I16" s="57" t="s">
        <v>978</v>
      </c>
      <c r="J16" s="59"/>
      <c r="K16" s="59"/>
      <c r="L16" s="252"/>
      <c r="M16" s="252">
        <f>N15</f>
        <v>29.4698738589255</v>
      </c>
      <c r="N16" s="252">
        <f>M16</f>
        <v>29.4698738589255</v>
      </c>
    </row>
    <row r="17" s="307" customFormat="1" customHeight="1" spans="1:14">
      <c r="A17" s="57" t="s">
        <v>979</v>
      </c>
      <c r="B17" s="57" t="s">
        <v>973</v>
      </c>
      <c r="C17" s="194">
        <f>取费表!$E$12</f>
        <v>0.0725</v>
      </c>
      <c r="D17" s="58"/>
      <c r="E17" s="84">
        <f>F6</f>
        <v>1.86149952</v>
      </c>
      <c r="F17" s="113">
        <f t="shared" si="1"/>
        <v>0.1349587152</v>
      </c>
      <c r="I17" s="454"/>
      <c r="J17" s="454"/>
      <c r="K17" s="454"/>
      <c r="L17" s="454"/>
      <c r="M17" s="454"/>
      <c r="N17" s="454"/>
    </row>
    <row r="18" s="307" customFormat="1" customHeight="1" spans="1:14">
      <c r="A18" s="57" t="s">
        <v>162</v>
      </c>
      <c r="B18" s="57" t="s">
        <v>980</v>
      </c>
      <c r="C18" s="194">
        <f>取费表!$F$12</f>
        <v>0.05</v>
      </c>
      <c r="D18" s="58"/>
      <c r="E18" s="84">
        <f>F17+F6</f>
        <v>1.9964582352</v>
      </c>
      <c r="F18" s="113">
        <f t="shared" si="1"/>
        <v>0.09982291176</v>
      </c>
      <c r="I18" s="455" t="s">
        <v>981</v>
      </c>
      <c r="J18" s="455"/>
      <c r="K18" s="455"/>
      <c r="L18" s="455"/>
      <c r="M18" s="455"/>
      <c r="N18" s="455"/>
    </row>
    <row r="19" s="307" customFormat="1" customHeight="1" spans="1:14">
      <c r="A19" s="57" t="s">
        <v>214</v>
      </c>
      <c r="B19" s="57" t="s">
        <v>976</v>
      </c>
      <c r="C19" s="195">
        <f>取费表!$G$12</f>
        <v>0.09</v>
      </c>
      <c r="D19" s="58"/>
      <c r="E19" s="84">
        <f>F18+F17+F6</f>
        <v>2.09628114696</v>
      </c>
      <c r="F19" s="113">
        <f t="shared" si="1"/>
        <v>0.1886653032264</v>
      </c>
      <c r="I19" s="57" t="s">
        <v>982</v>
      </c>
      <c r="J19" s="59"/>
      <c r="K19" s="57"/>
      <c r="L19" s="59"/>
      <c r="M19" s="57" t="s">
        <v>983</v>
      </c>
      <c r="N19" s="59"/>
    </row>
    <row r="20" s="307" customFormat="1" customHeight="1" spans="1:14">
      <c r="A20" s="57"/>
      <c r="B20" s="57" t="s">
        <v>984</v>
      </c>
      <c r="C20" s="195"/>
      <c r="D20" s="58"/>
      <c r="E20" s="84"/>
      <c r="F20" s="113">
        <f>(F6+F17+F18+F19)*取费表!$H$12</f>
        <v>0.068548393505592</v>
      </c>
      <c r="I20" s="61" t="s">
        <v>951</v>
      </c>
      <c r="J20" s="78"/>
      <c r="K20" s="78"/>
      <c r="L20" s="78"/>
      <c r="M20" s="78"/>
      <c r="N20" s="78"/>
    </row>
    <row r="21" s="307" customFormat="1" customHeight="1" spans="1:14">
      <c r="A21" s="57"/>
      <c r="B21" s="57" t="s">
        <v>278</v>
      </c>
      <c r="C21" s="58"/>
      <c r="D21" s="58"/>
      <c r="E21" s="57"/>
      <c r="F21" s="113">
        <f>F6+F17+F18+F19+F20</f>
        <v>2.35349484369199</v>
      </c>
      <c r="I21" s="61" t="s">
        <v>50</v>
      </c>
      <c r="J21" s="57" t="s">
        <v>953</v>
      </c>
      <c r="K21" s="57" t="s">
        <v>52</v>
      </c>
      <c r="L21" s="57" t="s">
        <v>53</v>
      </c>
      <c r="M21" s="57" t="s">
        <v>954</v>
      </c>
      <c r="N21" s="57" t="s">
        <v>955</v>
      </c>
    </row>
    <row r="22" s="307" customFormat="1" customHeight="1" spans="1:14">
      <c r="A22" s="175" t="s">
        <v>944</v>
      </c>
      <c r="B22" s="176"/>
      <c r="C22" s="176"/>
      <c r="D22" s="176"/>
      <c r="E22" s="176"/>
      <c r="F22" s="176"/>
      <c r="I22" s="61" t="s">
        <v>57</v>
      </c>
      <c r="J22" s="57" t="s">
        <v>957</v>
      </c>
      <c r="K22" s="252" t="s">
        <v>958</v>
      </c>
      <c r="L22" s="252"/>
      <c r="M22" s="252"/>
      <c r="N22" s="252">
        <f>N23+N31</f>
        <v>503.5794</v>
      </c>
    </row>
    <row r="23" s="307" customFormat="1" customHeight="1" spans="1:14">
      <c r="A23" s="205" t="s">
        <v>985</v>
      </c>
      <c r="B23" s="205"/>
      <c r="C23" s="205"/>
      <c r="D23" s="205"/>
      <c r="E23" s="205"/>
      <c r="F23" s="205"/>
      <c r="I23" s="78" t="s">
        <v>961</v>
      </c>
      <c r="J23" s="57" t="s">
        <v>962</v>
      </c>
      <c r="K23" s="252"/>
      <c r="L23" s="252"/>
      <c r="M23" s="252"/>
      <c r="N23" s="252">
        <f>N24+N26+N29</f>
        <v>503.5794</v>
      </c>
    </row>
    <row r="24" s="307" customFormat="1" customHeight="1" spans="1:14">
      <c r="A24" s="191" t="s">
        <v>949</v>
      </c>
      <c r="B24" s="191"/>
      <c r="C24" s="168"/>
      <c r="D24" s="168"/>
      <c r="E24" s="191" t="s">
        <v>950</v>
      </c>
      <c r="F24" s="191"/>
      <c r="I24" s="78">
        <v>1</v>
      </c>
      <c r="J24" s="57" t="s">
        <v>963</v>
      </c>
      <c r="K24" s="452"/>
      <c r="L24" s="452"/>
      <c r="M24" s="452"/>
      <c r="N24" s="252">
        <f>N25</f>
        <v>173.1</v>
      </c>
    </row>
    <row r="25" s="307" customFormat="1" customHeight="1" spans="1:14">
      <c r="A25" s="117" t="s">
        <v>952</v>
      </c>
      <c r="B25" s="192"/>
      <c r="C25" s="201"/>
      <c r="D25" s="201"/>
      <c r="E25" s="201"/>
      <c r="F25" s="202"/>
      <c r="I25" s="78"/>
      <c r="J25" s="57" t="s">
        <v>964</v>
      </c>
      <c r="K25" s="57" t="s">
        <v>965</v>
      </c>
      <c r="L25" s="252">
        <v>30</v>
      </c>
      <c r="M25" s="252">
        <v>5.77</v>
      </c>
      <c r="N25" s="252">
        <f t="shared" ref="N25:N30" si="2">L25*M25</f>
        <v>173.1</v>
      </c>
    </row>
    <row r="26" s="307" customFormat="1" customHeight="1" spans="1:14">
      <c r="A26" s="57" t="s">
        <v>354</v>
      </c>
      <c r="B26" s="57" t="s">
        <v>956</v>
      </c>
      <c r="C26" s="57" t="s">
        <v>52</v>
      </c>
      <c r="D26" s="57" t="s">
        <v>855</v>
      </c>
      <c r="E26" s="57" t="s">
        <v>53</v>
      </c>
      <c r="F26" s="57" t="s">
        <v>306</v>
      </c>
      <c r="I26" s="78">
        <v>2</v>
      </c>
      <c r="J26" s="57" t="s">
        <v>967</v>
      </c>
      <c r="K26" s="59"/>
      <c r="L26" s="252"/>
      <c r="M26" s="252"/>
      <c r="N26" s="252">
        <f>SUM(N27:N28)</f>
        <v>90.8094</v>
      </c>
    </row>
    <row r="27" s="307" customFormat="1" customHeight="1" spans="1:14">
      <c r="A27" s="57" t="s">
        <v>959</v>
      </c>
      <c r="B27" s="57" t="s">
        <v>960</v>
      </c>
      <c r="C27" s="57"/>
      <c r="D27" s="57"/>
      <c r="E27" s="57"/>
      <c r="F27" s="84">
        <f>F28+F36</f>
        <v>1.86149952</v>
      </c>
      <c r="I27" s="78"/>
      <c r="J27" s="57" t="s">
        <v>986</v>
      </c>
      <c r="K27" s="59" t="s">
        <v>62</v>
      </c>
      <c r="L27" s="252">
        <v>0</v>
      </c>
      <c r="M27" s="252">
        <v>300</v>
      </c>
      <c r="N27" s="252">
        <f t="shared" si="2"/>
        <v>0</v>
      </c>
    </row>
    <row r="28" s="307" customFormat="1" customHeight="1" spans="1:14">
      <c r="A28" s="57" t="s">
        <v>59</v>
      </c>
      <c r="B28" s="57" t="s">
        <v>957</v>
      </c>
      <c r="C28" s="57"/>
      <c r="D28" s="57"/>
      <c r="E28" s="57"/>
      <c r="F28" s="84">
        <f>F29+F32+F34</f>
        <v>1.77624</v>
      </c>
      <c r="I28" s="453"/>
      <c r="J28" s="57" t="s">
        <v>969</v>
      </c>
      <c r="K28" s="252" t="s">
        <v>423</v>
      </c>
      <c r="L28" s="252">
        <v>22</v>
      </c>
      <c r="M28" s="252">
        <f>N24+N29</f>
        <v>412.77</v>
      </c>
      <c r="N28" s="252">
        <f>M28*L28/100</f>
        <v>90.8094</v>
      </c>
    </row>
    <row r="29" s="307" customFormat="1" customHeight="1" spans="1:14">
      <c r="A29" s="57">
        <v>1</v>
      </c>
      <c r="B29" s="57" t="s">
        <v>964</v>
      </c>
      <c r="C29" s="57" t="s">
        <v>965</v>
      </c>
      <c r="D29" s="113"/>
      <c r="E29" s="92">
        <f>SUM(E30:E31)</f>
        <v>0.24</v>
      </c>
      <c r="F29" s="113">
        <f>SUM(F30:F31)</f>
        <v>1.77624</v>
      </c>
      <c r="I29" s="453">
        <v>3</v>
      </c>
      <c r="J29" s="57" t="s">
        <v>974</v>
      </c>
      <c r="K29" s="252"/>
      <c r="L29" s="252"/>
      <c r="M29" s="252"/>
      <c r="N29" s="252">
        <f>N30</f>
        <v>239.67</v>
      </c>
    </row>
    <row r="30" s="307" customFormat="1" customHeight="1" spans="1:14">
      <c r="A30" s="57"/>
      <c r="B30" s="57" t="s">
        <v>966</v>
      </c>
      <c r="C30" s="57" t="s">
        <v>965</v>
      </c>
      <c r="D30" s="113">
        <f>D9</f>
        <v>8.1</v>
      </c>
      <c r="E30" s="124">
        <f>0.021*8</f>
        <v>0.168</v>
      </c>
      <c r="F30" s="113">
        <f t="shared" ref="F30:F33" si="3">D30*E30</f>
        <v>1.3608</v>
      </c>
      <c r="I30" s="453"/>
      <c r="J30" s="57" t="s">
        <v>987</v>
      </c>
      <c r="K30" s="84" t="s">
        <v>988</v>
      </c>
      <c r="L30" s="252">
        <v>3</v>
      </c>
      <c r="M30" s="252">
        <v>79.89</v>
      </c>
      <c r="N30" s="252">
        <f t="shared" si="2"/>
        <v>239.67</v>
      </c>
    </row>
    <row r="31" s="307" customFormat="1" customHeight="1" spans="1:14">
      <c r="A31" s="57"/>
      <c r="B31" s="57" t="s">
        <v>968</v>
      </c>
      <c r="C31" s="57" t="s">
        <v>965</v>
      </c>
      <c r="D31" s="113">
        <f>D10</f>
        <v>5.77</v>
      </c>
      <c r="E31" s="124">
        <f>0.009*8</f>
        <v>0.072</v>
      </c>
      <c r="F31" s="113">
        <f t="shared" si="3"/>
        <v>0.41544</v>
      </c>
      <c r="I31" s="78" t="s">
        <v>970</v>
      </c>
      <c r="J31" s="57" t="s">
        <v>971</v>
      </c>
      <c r="K31" s="252" t="s">
        <v>423</v>
      </c>
      <c r="L31" s="252"/>
      <c r="M31" s="252">
        <f>N23</f>
        <v>503.5794</v>
      </c>
      <c r="N31" s="252">
        <f t="shared" ref="N31:N34" si="4">M31*L31/100</f>
        <v>0</v>
      </c>
    </row>
    <row r="32" s="307" customFormat="1" customHeight="1" spans="1:14">
      <c r="A32" s="57">
        <v>2</v>
      </c>
      <c r="B32" s="57" t="s">
        <v>967</v>
      </c>
      <c r="C32" s="57"/>
      <c r="D32" s="113"/>
      <c r="E32" s="124"/>
      <c r="F32" s="113">
        <f>F33</f>
        <v>0</v>
      </c>
      <c r="I32" s="61" t="s">
        <v>72</v>
      </c>
      <c r="J32" s="57" t="s">
        <v>973</v>
      </c>
      <c r="K32" s="252" t="s">
        <v>423</v>
      </c>
      <c r="L32" s="252">
        <f t="shared" ref="L32:L34" si="5">E29</f>
        <v>0.24</v>
      </c>
      <c r="M32" s="252">
        <f>N22</f>
        <v>503.5794</v>
      </c>
      <c r="N32" s="252">
        <f t="shared" si="4"/>
        <v>1.20859056</v>
      </c>
    </row>
    <row r="33" s="307" customFormat="1" customHeight="1" spans="1:14">
      <c r="A33" s="57"/>
      <c r="B33" s="57" t="s">
        <v>989</v>
      </c>
      <c r="C33" s="57" t="s">
        <v>182</v>
      </c>
      <c r="D33" s="113"/>
      <c r="E33" s="124">
        <v>10.5</v>
      </c>
      <c r="F33" s="113">
        <f t="shared" si="3"/>
        <v>0</v>
      </c>
      <c r="I33" s="61" t="s">
        <v>162</v>
      </c>
      <c r="J33" s="57" t="s">
        <v>975</v>
      </c>
      <c r="K33" s="252" t="s">
        <v>423</v>
      </c>
      <c r="L33" s="252">
        <f t="shared" si="5"/>
        <v>0.168</v>
      </c>
      <c r="M33" s="252">
        <f>N22+N32</f>
        <v>504.78799056</v>
      </c>
      <c r="N33" s="252">
        <f t="shared" si="4"/>
        <v>0.8480438241408</v>
      </c>
    </row>
    <row r="34" s="307" customFormat="1" customHeight="1" spans="1:14">
      <c r="A34" s="57">
        <v>3</v>
      </c>
      <c r="B34" s="57" t="s">
        <v>974</v>
      </c>
      <c r="C34" s="57"/>
      <c r="D34" s="57"/>
      <c r="E34" s="57"/>
      <c r="F34" s="113">
        <v>0</v>
      </c>
      <c r="I34" s="61" t="s">
        <v>214</v>
      </c>
      <c r="J34" s="57" t="s">
        <v>976</v>
      </c>
      <c r="K34" s="252" t="s">
        <v>423</v>
      </c>
      <c r="L34" s="252">
        <f t="shared" si="5"/>
        <v>0.072</v>
      </c>
      <c r="M34" s="252">
        <f>N22+N32+N33</f>
        <v>505.636034384141</v>
      </c>
      <c r="N34" s="252">
        <f t="shared" si="4"/>
        <v>0.364057944756581</v>
      </c>
    </row>
    <row r="35" s="307" customFormat="1" customHeight="1" spans="1:14">
      <c r="A35" s="57"/>
      <c r="B35" s="57"/>
      <c r="C35" s="59"/>
      <c r="D35" s="84"/>
      <c r="E35" s="57"/>
      <c r="F35" s="113"/>
      <c r="I35" s="61" t="s">
        <v>327</v>
      </c>
      <c r="J35" s="57" t="s">
        <v>278</v>
      </c>
      <c r="K35" s="59"/>
      <c r="L35" s="252"/>
      <c r="M35" s="252"/>
      <c r="N35" s="252">
        <f>N22+N32+N33+N34</f>
        <v>506.000092328897</v>
      </c>
    </row>
    <row r="36" s="307" customFormat="1" customHeight="1" spans="1:14">
      <c r="A36" s="57" t="s">
        <v>70</v>
      </c>
      <c r="B36" s="57" t="s">
        <v>977</v>
      </c>
      <c r="C36" s="194">
        <f>取费表!$C$12</f>
        <v>0.048</v>
      </c>
      <c r="D36" s="58"/>
      <c r="E36" s="84">
        <f>F28</f>
        <v>1.77624</v>
      </c>
      <c r="F36" s="113">
        <f t="shared" ref="F36:F40" si="6">E36*C36</f>
        <v>0.08525952</v>
      </c>
      <c r="I36" s="454"/>
      <c r="J36" s="454"/>
      <c r="K36" s="454"/>
      <c r="L36" s="454"/>
      <c r="M36" s="454"/>
      <c r="N36" s="454"/>
    </row>
    <row r="37" s="307" customFormat="1" customHeight="1" spans="1:14">
      <c r="A37" s="57"/>
      <c r="B37" s="57"/>
      <c r="C37" s="194"/>
      <c r="D37" s="58"/>
      <c r="E37" s="84"/>
      <c r="F37" s="113"/>
      <c r="I37" s="454"/>
      <c r="J37" s="456"/>
      <c r="K37" s="454"/>
      <c r="L37" s="454"/>
      <c r="M37" s="454"/>
      <c r="N37" s="454"/>
    </row>
    <row r="38" s="307" customFormat="1" customHeight="1" spans="1:14">
      <c r="A38" s="57" t="s">
        <v>979</v>
      </c>
      <c r="B38" s="57" t="s">
        <v>973</v>
      </c>
      <c r="C38" s="194">
        <f>取费表!$E$12</f>
        <v>0.0725</v>
      </c>
      <c r="D38" s="58"/>
      <c r="E38" s="84">
        <f>F27</f>
        <v>1.86149952</v>
      </c>
      <c r="F38" s="113">
        <f t="shared" si="6"/>
        <v>0.1349587152</v>
      </c>
      <c r="I38" s="454"/>
      <c r="J38" s="454"/>
      <c r="K38" s="454"/>
      <c r="L38" s="454"/>
      <c r="M38" s="454"/>
      <c r="N38" s="454"/>
    </row>
    <row r="39" s="307" customFormat="1" customHeight="1" spans="1:14">
      <c r="A39" s="57" t="s">
        <v>162</v>
      </c>
      <c r="B39" s="57" t="s">
        <v>980</v>
      </c>
      <c r="C39" s="194">
        <f>取费表!$F$12</f>
        <v>0.05</v>
      </c>
      <c r="D39" s="58"/>
      <c r="E39" s="84">
        <f>F38+F27</f>
        <v>1.9964582352</v>
      </c>
      <c r="F39" s="113">
        <f t="shared" si="6"/>
        <v>0.09982291176</v>
      </c>
      <c r="I39" s="455" t="s">
        <v>990</v>
      </c>
      <c r="J39" s="455"/>
      <c r="K39" s="455"/>
      <c r="L39" s="455"/>
      <c r="M39" s="455"/>
      <c r="N39" s="455"/>
    </row>
    <row r="40" s="307" customFormat="1" customHeight="1" spans="1:14">
      <c r="A40" s="57" t="s">
        <v>214</v>
      </c>
      <c r="B40" s="57" t="s">
        <v>976</v>
      </c>
      <c r="C40" s="195">
        <f>取费表!$G$12</f>
        <v>0.09</v>
      </c>
      <c r="D40" s="58"/>
      <c r="E40" s="84">
        <f>F39+F38+F27</f>
        <v>2.09628114696</v>
      </c>
      <c r="F40" s="113">
        <f t="shared" si="6"/>
        <v>0.1886653032264</v>
      </c>
      <c r="I40" s="57" t="s">
        <v>982</v>
      </c>
      <c r="J40" s="59"/>
      <c r="K40" s="57"/>
      <c r="L40" s="59"/>
      <c r="M40" s="57" t="s">
        <v>983</v>
      </c>
      <c r="N40" s="59"/>
    </row>
    <row r="41" s="307" customFormat="1" customHeight="1" spans="1:14">
      <c r="A41" s="57"/>
      <c r="B41" s="57" t="s">
        <v>984</v>
      </c>
      <c r="C41" s="195"/>
      <c r="D41" s="58"/>
      <c r="E41" s="84"/>
      <c r="F41" s="113">
        <f>(F27+F38+F39+F40)*取费表!$H$12</f>
        <v>0.068548393505592</v>
      </c>
      <c r="I41" s="61" t="s">
        <v>951</v>
      </c>
      <c r="J41" s="78"/>
      <c r="K41" s="78"/>
      <c r="L41" s="78"/>
      <c r="M41" s="78"/>
      <c r="N41" s="78"/>
    </row>
    <row r="42" s="307" customFormat="1" customHeight="1" spans="1:14">
      <c r="A42" s="57"/>
      <c r="B42" s="57" t="s">
        <v>278</v>
      </c>
      <c r="C42" s="58"/>
      <c r="D42" s="58"/>
      <c r="E42" s="57"/>
      <c r="F42" s="113">
        <f>F27+F38+F39+F40+F41</f>
        <v>2.35349484369199</v>
      </c>
      <c r="I42" s="61" t="s">
        <v>50</v>
      </c>
      <c r="J42" s="57" t="s">
        <v>953</v>
      </c>
      <c r="K42" s="57" t="s">
        <v>52</v>
      </c>
      <c r="L42" s="57" t="s">
        <v>53</v>
      </c>
      <c r="M42" s="57" t="s">
        <v>954</v>
      </c>
      <c r="N42" s="57" t="s">
        <v>955</v>
      </c>
    </row>
    <row r="43" s="307" customFormat="1" customHeight="1" spans="1:14">
      <c r="A43" s="175" t="s">
        <v>944</v>
      </c>
      <c r="B43" s="176"/>
      <c r="C43" s="176"/>
      <c r="D43" s="176"/>
      <c r="E43" s="176"/>
      <c r="F43" s="176"/>
      <c r="I43" s="61" t="s">
        <v>57</v>
      </c>
      <c r="J43" s="57" t="s">
        <v>957</v>
      </c>
      <c r="K43" s="252" t="s">
        <v>958</v>
      </c>
      <c r="L43" s="252"/>
      <c r="M43" s="252"/>
      <c r="N43" s="252" t="e">
        <f>N44+N52</f>
        <v>#REF!</v>
      </c>
    </row>
    <row r="44" s="307" customFormat="1" customHeight="1" spans="1:14">
      <c r="A44" s="205" t="s">
        <v>991</v>
      </c>
      <c r="B44" s="205"/>
      <c r="C44" s="205"/>
      <c r="D44" s="205"/>
      <c r="E44" s="205"/>
      <c r="F44" s="205"/>
      <c r="I44" s="78" t="s">
        <v>961</v>
      </c>
      <c r="J44" s="57" t="s">
        <v>962</v>
      </c>
      <c r="K44" s="252"/>
      <c r="L44" s="252"/>
      <c r="M44" s="252"/>
      <c r="N44" s="252" t="e">
        <f>N45+N47+N50</f>
        <v>#REF!</v>
      </c>
    </row>
    <row r="45" s="307" customFormat="1" customHeight="1" spans="1:14">
      <c r="A45" s="191" t="s">
        <v>949</v>
      </c>
      <c r="B45" s="191"/>
      <c r="C45" s="168"/>
      <c r="D45" s="168"/>
      <c r="E45" s="191" t="s">
        <v>950</v>
      </c>
      <c r="F45" s="191"/>
      <c r="I45" s="78">
        <v>1</v>
      </c>
      <c r="J45" s="57" t="s">
        <v>963</v>
      </c>
      <c r="K45" s="452"/>
      <c r="L45" s="452"/>
      <c r="M45" s="452"/>
      <c r="N45" s="252">
        <f>N46</f>
        <v>1482.89</v>
      </c>
    </row>
    <row r="46" s="307" customFormat="1" customHeight="1" spans="1:14">
      <c r="A46" s="117" t="s">
        <v>952</v>
      </c>
      <c r="B46" s="192"/>
      <c r="C46" s="201"/>
      <c r="D46" s="201"/>
      <c r="E46" s="201"/>
      <c r="F46" s="202"/>
      <c r="I46" s="78"/>
      <c r="J46" s="57" t="s">
        <v>964</v>
      </c>
      <c r="K46" s="57" t="s">
        <v>965</v>
      </c>
      <c r="L46" s="252">
        <v>257</v>
      </c>
      <c r="M46" s="252">
        <v>5.77</v>
      </c>
      <c r="N46" s="252">
        <f t="shared" ref="N46:N51" si="7">L46*M46</f>
        <v>1482.89</v>
      </c>
    </row>
    <row r="47" s="307" customFormat="1" customHeight="1" spans="1:14">
      <c r="A47" s="57" t="s">
        <v>354</v>
      </c>
      <c r="B47" s="57" t="s">
        <v>956</v>
      </c>
      <c r="C47" s="57" t="s">
        <v>52</v>
      </c>
      <c r="D47" s="57" t="s">
        <v>855</v>
      </c>
      <c r="E47" s="57" t="s">
        <v>53</v>
      </c>
      <c r="F47" s="57" t="s">
        <v>306</v>
      </c>
      <c r="I47" s="78">
        <v>2</v>
      </c>
      <c r="J47" s="57" t="s">
        <v>967</v>
      </c>
      <c r="K47" s="59"/>
      <c r="L47" s="252"/>
      <c r="M47" s="252"/>
      <c r="N47" s="252" t="e">
        <f>SUM(N48:N49)</f>
        <v>#REF!</v>
      </c>
    </row>
    <row r="48" s="307" customFormat="1" customHeight="1" spans="1:14">
      <c r="A48" s="57" t="s">
        <v>959</v>
      </c>
      <c r="B48" s="57" t="s">
        <v>960</v>
      </c>
      <c r="C48" s="57"/>
      <c r="D48" s="57"/>
      <c r="E48" s="57"/>
      <c r="F48" s="84">
        <f>F49+F57</f>
        <v>1.86149952</v>
      </c>
      <c r="I48" s="78"/>
      <c r="J48" s="57" t="s">
        <v>986</v>
      </c>
      <c r="K48" s="59" t="s">
        <v>62</v>
      </c>
      <c r="L48" s="252">
        <v>0</v>
      </c>
      <c r="M48" s="252">
        <v>300</v>
      </c>
      <c r="N48" s="252">
        <f t="shared" si="7"/>
        <v>0</v>
      </c>
    </row>
    <row r="49" s="307" customFormat="1" customHeight="1" spans="1:14">
      <c r="A49" s="57" t="s">
        <v>59</v>
      </c>
      <c r="B49" s="57" t="s">
        <v>957</v>
      </c>
      <c r="C49" s="57"/>
      <c r="D49" s="57"/>
      <c r="E49" s="57"/>
      <c r="F49" s="84">
        <f>F50+F53+F55</f>
        <v>1.77624</v>
      </c>
      <c r="I49" s="453"/>
      <c r="J49" s="57" t="s">
        <v>969</v>
      </c>
      <c r="K49" s="252" t="s">
        <v>423</v>
      </c>
      <c r="L49" s="252">
        <v>2</v>
      </c>
      <c r="M49" s="252" t="e">
        <f>N45+N50</f>
        <v>#REF!</v>
      </c>
      <c r="N49" s="252" t="e">
        <f t="shared" ref="N49:N55" si="8">M49*L49/100</f>
        <v>#REF!</v>
      </c>
    </row>
    <row r="50" s="307" customFormat="1" customHeight="1" spans="1:14">
      <c r="A50" s="57">
        <v>1</v>
      </c>
      <c r="B50" s="57" t="s">
        <v>964</v>
      </c>
      <c r="C50" s="57" t="s">
        <v>965</v>
      </c>
      <c r="D50" s="113"/>
      <c r="E50" s="92">
        <f>SUM(E51:E52)</f>
        <v>0.24</v>
      </c>
      <c r="F50" s="113">
        <f>SUM(F51:F52)</f>
        <v>1.77624</v>
      </c>
      <c r="I50" s="453">
        <v>3</v>
      </c>
      <c r="J50" s="57" t="s">
        <v>974</v>
      </c>
      <c r="K50" s="252"/>
      <c r="L50" s="252"/>
      <c r="M50" s="252"/>
      <c r="N50" s="252" t="e">
        <f>N51</f>
        <v>#REF!</v>
      </c>
    </row>
    <row r="51" s="307" customFormat="1" customHeight="1" spans="1:14">
      <c r="A51" s="57"/>
      <c r="B51" s="57" t="s">
        <v>966</v>
      </c>
      <c r="C51" s="57" t="s">
        <v>965</v>
      </c>
      <c r="D51" s="113">
        <v>8.1</v>
      </c>
      <c r="E51" s="124">
        <f>0.021*8</f>
        <v>0.168</v>
      </c>
      <c r="F51" s="113">
        <f t="shared" ref="F51:F54" si="9">D51*E51</f>
        <v>1.3608</v>
      </c>
      <c r="I51" s="453"/>
      <c r="J51" s="57" t="s">
        <v>987</v>
      </c>
      <c r="K51" s="84" t="s">
        <v>988</v>
      </c>
      <c r="L51" s="252"/>
      <c r="M51" s="252" t="e">
        <f>'[2022.3.15（总表）利通区花水沟小流域综合治理项目.xlsx]台时费汇总'!#REF!</f>
        <v>#REF!</v>
      </c>
      <c r="N51" s="252" t="e">
        <f t="shared" si="7"/>
        <v>#REF!</v>
      </c>
    </row>
    <row r="52" s="307" customFormat="1" customHeight="1" spans="1:14">
      <c r="A52" s="57"/>
      <c r="B52" s="57" t="s">
        <v>968</v>
      </c>
      <c r="C52" s="57" t="s">
        <v>965</v>
      </c>
      <c r="D52" s="113">
        <v>5.77</v>
      </c>
      <c r="E52" s="124">
        <f>0.009*8</f>
        <v>0.072</v>
      </c>
      <c r="F52" s="113">
        <f t="shared" si="9"/>
        <v>0.41544</v>
      </c>
      <c r="I52" s="78" t="s">
        <v>970</v>
      </c>
      <c r="J52" s="57" t="s">
        <v>971</v>
      </c>
      <c r="K52" s="252" t="s">
        <v>423</v>
      </c>
      <c r="L52" s="252">
        <f t="shared" ref="L52:L55" si="10">E49</f>
        <v>0</v>
      </c>
      <c r="M52" s="252" t="e">
        <f>N44</f>
        <v>#REF!</v>
      </c>
      <c r="N52" s="252" t="e">
        <f t="shared" si="8"/>
        <v>#REF!</v>
      </c>
    </row>
    <row r="53" s="307" customFormat="1" customHeight="1" spans="1:14">
      <c r="A53" s="57">
        <v>2</v>
      </c>
      <c r="B53" s="57" t="s">
        <v>967</v>
      </c>
      <c r="C53" s="57"/>
      <c r="D53" s="113"/>
      <c r="E53" s="124"/>
      <c r="F53" s="113">
        <f>F54</f>
        <v>0</v>
      </c>
      <c r="I53" s="61" t="s">
        <v>72</v>
      </c>
      <c r="J53" s="57" t="s">
        <v>973</v>
      </c>
      <c r="K53" s="252" t="s">
        <v>423</v>
      </c>
      <c r="L53" s="252">
        <f t="shared" si="10"/>
        <v>0.24</v>
      </c>
      <c r="M53" s="252" t="e">
        <f>N43</f>
        <v>#REF!</v>
      </c>
      <c r="N53" s="252" t="e">
        <f t="shared" si="8"/>
        <v>#REF!</v>
      </c>
    </row>
    <row r="54" s="307" customFormat="1" customHeight="1" spans="1:14">
      <c r="A54" s="57"/>
      <c r="B54" s="57" t="s">
        <v>992</v>
      </c>
      <c r="C54" s="57" t="s">
        <v>182</v>
      </c>
      <c r="D54" s="113"/>
      <c r="E54" s="124">
        <v>10.5</v>
      </c>
      <c r="F54" s="113">
        <f t="shared" si="9"/>
        <v>0</v>
      </c>
      <c r="I54" s="61" t="s">
        <v>162</v>
      </c>
      <c r="J54" s="57" t="s">
        <v>975</v>
      </c>
      <c r="K54" s="252" t="s">
        <v>423</v>
      </c>
      <c r="L54" s="252">
        <f t="shared" si="10"/>
        <v>0.168</v>
      </c>
      <c r="M54" s="252" t="e">
        <f>N43+N53</f>
        <v>#REF!</v>
      </c>
      <c r="N54" s="252" t="e">
        <f t="shared" si="8"/>
        <v>#REF!</v>
      </c>
    </row>
    <row r="55" s="307" customFormat="1" customHeight="1" spans="1:14">
      <c r="A55" s="57">
        <v>3</v>
      </c>
      <c r="B55" s="57" t="s">
        <v>974</v>
      </c>
      <c r="C55" s="57"/>
      <c r="D55" s="57"/>
      <c r="E55" s="57"/>
      <c r="F55" s="113">
        <v>0</v>
      </c>
      <c r="I55" s="61" t="s">
        <v>214</v>
      </c>
      <c r="J55" s="57" t="s">
        <v>976</v>
      </c>
      <c r="K55" s="252" t="s">
        <v>423</v>
      </c>
      <c r="L55" s="252">
        <f t="shared" si="10"/>
        <v>0.072</v>
      </c>
      <c r="M55" s="252" t="e">
        <f>N43+N53+N54</f>
        <v>#REF!</v>
      </c>
      <c r="N55" s="252" t="e">
        <f t="shared" si="8"/>
        <v>#REF!</v>
      </c>
    </row>
    <row r="56" s="307" customFormat="1" customHeight="1" spans="1:14">
      <c r="A56" s="57"/>
      <c r="B56" s="57"/>
      <c r="C56" s="59"/>
      <c r="D56" s="84"/>
      <c r="E56" s="57"/>
      <c r="F56" s="113"/>
      <c r="I56" s="61" t="s">
        <v>327</v>
      </c>
      <c r="J56" s="57" t="s">
        <v>278</v>
      </c>
      <c r="K56" s="59"/>
      <c r="L56" s="252" t="e">
        <f>'[2022.3.15（总表）利通区花水沟小流域综合治理项目.xlsx]人工、费率表'!#REF!</f>
        <v>#REF!</v>
      </c>
      <c r="M56" s="252"/>
      <c r="N56" s="252" t="e">
        <f>N43+N53+N54+N55</f>
        <v>#REF!</v>
      </c>
    </row>
    <row r="57" s="307" customFormat="1" customHeight="1" spans="1:6">
      <c r="A57" s="57" t="s">
        <v>70</v>
      </c>
      <c r="B57" s="57" t="s">
        <v>977</v>
      </c>
      <c r="C57" s="194">
        <f>取费表!$C$12</f>
        <v>0.048</v>
      </c>
      <c r="D57" s="58"/>
      <c r="E57" s="84">
        <f>F49</f>
        <v>1.77624</v>
      </c>
      <c r="F57" s="113">
        <f t="shared" ref="F57:F61" si="11">E57*C57</f>
        <v>0.08525952</v>
      </c>
    </row>
    <row r="58" s="307" customFormat="1" customHeight="1" spans="1:6">
      <c r="A58" s="57"/>
      <c r="B58" s="57"/>
      <c r="C58" s="194"/>
      <c r="D58" s="58"/>
      <c r="E58" s="84"/>
      <c r="F58" s="113"/>
    </row>
    <row r="59" s="307" customFormat="1" customHeight="1" spans="1:6">
      <c r="A59" s="57" t="s">
        <v>979</v>
      </c>
      <c r="B59" s="57" t="s">
        <v>973</v>
      </c>
      <c r="C59" s="194">
        <f>取费表!$E$12</f>
        <v>0.0725</v>
      </c>
      <c r="D59" s="58"/>
      <c r="E59" s="84">
        <f>F48</f>
        <v>1.86149952</v>
      </c>
      <c r="F59" s="113">
        <f t="shared" si="11"/>
        <v>0.1349587152</v>
      </c>
    </row>
    <row r="60" s="307" customFormat="1" customHeight="1" spans="1:6">
      <c r="A60" s="57" t="s">
        <v>162</v>
      </c>
      <c r="B60" s="57" t="s">
        <v>980</v>
      </c>
      <c r="C60" s="194">
        <f>取费表!$F$12</f>
        <v>0.05</v>
      </c>
      <c r="D60" s="58"/>
      <c r="E60" s="84">
        <f>F59+F48</f>
        <v>1.9964582352</v>
      </c>
      <c r="F60" s="113">
        <f t="shared" si="11"/>
        <v>0.09982291176</v>
      </c>
    </row>
    <row r="61" s="307" customFormat="1" customHeight="1" spans="1:6">
      <c r="A61" s="57" t="s">
        <v>214</v>
      </c>
      <c r="B61" s="57" t="s">
        <v>976</v>
      </c>
      <c r="C61" s="195">
        <f>取费表!$G$12</f>
        <v>0.09</v>
      </c>
      <c r="D61" s="58"/>
      <c r="E61" s="84">
        <f>F60+F59+F48</f>
        <v>2.09628114696</v>
      </c>
      <c r="F61" s="113">
        <f t="shared" si="11"/>
        <v>0.1886653032264</v>
      </c>
    </row>
    <row r="62" s="307" customFormat="1" customHeight="1" spans="1:6">
      <c r="A62" s="57"/>
      <c r="B62" s="57" t="s">
        <v>984</v>
      </c>
      <c r="C62" s="195"/>
      <c r="D62" s="58"/>
      <c r="E62" s="84"/>
      <c r="F62" s="113">
        <f>(F48+F59+F60+F61)*取费表!$H$12</f>
        <v>0.068548393505592</v>
      </c>
    </row>
    <row r="63" s="307" customFormat="1" customHeight="1" spans="1:6">
      <c r="A63" s="57"/>
      <c r="B63" s="57" t="s">
        <v>278</v>
      </c>
      <c r="C63" s="58"/>
      <c r="D63" s="58"/>
      <c r="E63" s="57"/>
      <c r="F63" s="113">
        <f>F48+F59+F60+F61+F62</f>
        <v>2.35349484369199</v>
      </c>
    </row>
    <row r="64" s="307" customFormat="1" customHeight="1" spans="1:6">
      <c r="A64" s="175" t="s">
        <v>944</v>
      </c>
      <c r="B64" s="176"/>
      <c r="C64" s="176"/>
      <c r="D64" s="176"/>
      <c r="E64" s="176"/>
      <c r="F64" s="176"/>
    </row>
    <row r="65" s="307" customFormat="1" customHeight="1" spans="1:6">
      <c r="A65" s="205" t="s">
        <v>993</v>
      </c>
      <c r="B65" s="205"/>
      <c r="C65" s="205"/>
      <c r="D65" s="205"/>
      <c r="E65" s="205"/>
      <c r="F65" s="205"/>
    </row>
    <row r="66" s="307" customFormat="1" customHeight="1" spans="1:6">
      <c r="A66" s="191" t="s">
        <v>949</v>
      </c>
      <c r="B66" s="191"/>
      <c r="C66" s="168"/>
      <c r="D66" s="168"/>
      <c r="E66" s="191" t="s">
        <v>950</v>
      </c>
      <c r="F66" s="191"/>
    </row>
    <row r="67" s="307" customFormat="1" customHeight="1" spans="1:6">
      <c r="A67" s="117" t="s">
        <v>952</v>
      </c>
      <c r="B67" s="192"/>
      <c r="C67" s="201"/>
      <c r="D67" s="201"/>
      <c r="E67" s="201"/>
      <c r="F67" s="202"/>
    </row>
    <row r="68" s="307" customFormat="1" customHeight="1" spans="1:6">
      <c r="A68" s="57" t="s">
        <v>354</v>
      </c>
      <c r="B68" s="57" t="s">
        <v>956</v>
      </c>
      <c r="C68" s="57" t="s">
        <v>52</v>
      </c>
      <c r="D68" s="57" t="s">
        <v>855</v>
      </c>
      <c r="E68" s="57" t="s">
        <v>53</v>
      </c>
      <c r="F68" s="57" t="s">
        <v>306</v>
      </c>
    </row>
    <row r="69" s="307" customFormat="1" customHeight="1" spans="1:6">
      <c r="A69" s="57" t="s">
        <v>959</v>
      </c>
      <c r="B69" s="57" t="s">
        <v>960</v>
      </c>
      <c r="C69" s="57"/>
      <c r="D69" s="57"/>
      <c r="E69" s="57"/>
      <c r="F69" s="84">
        <f>F70+F78</f>
        <v>1.86149952</v>
      </c>
    </row>
    <row r="70" s="307" customFormat="1" customHeight="1" spans="1:6">
      <c r="A70" s="57" t="s">
        <v>59</v>
      </c>
      <c r="B70" s="57" t="s">
        <v>957</v>
      </c>
      <c r="C70" s="57"/>
      <c r="D70" s="57"/>
      <c r="E70" s="57"/>
      <c r="F70" s="84">
        <f>F71+F74+F76</f>
        <v>1.77624</v>
      </c>
    </row>
    <row r="71" s="307" customFormat="1" customHeight="1" spans="1:6">
      <c r="A71" s="57">
        <v>1</v>
      </c>
      <c r="B71" s="57" t="s">
        <v>964</v>
      </c>
      <c r="C71" s="57" t="s">
        <v>965</v>
      </c>
      <c r="D71" s="113"/>
      <c r="E71" s="92">
        <f>SUM(E72:E73)</f>
        <v>0.24</v>
      </c>
      <c r="F71" s="113">
        <f>SUM(F72:F73)</f>
        <v>1.77624</v>
      </c>
    </row>
    <row r="72" s="307" customFormat="1" customHeight="1" spans="1:6">
      <c r="A72" s="57"/>
      <c r="B72" s="57" t="s">
        <v>966</v>
      </c>
      <c r="C72" s="57" t="s">
        <v>965</v>
      </c>
      <c r="D72" s="113">
        <v>8.1</v>
      </c>
      <c r="E72" s="124">
        <f>0.021*8</f>
        <v>0.168</v>
      </c>
      <c r="F72" s="113">
        <f t="shared" ref="F72:F75" si="12">D72*E72</f>
        <v>1.3608</v>
      </c>
    </row>
    <row r="73" s="307" customFormat="1" customHeight="1" spans="1:6">
      <c r="A73" s="57"/>
      <c r="B73" s="57" t="s">
        <v>968</v>
      </c>
      <c r="C73" s="57" t="s">
        <v>965</v>
      </c>
      <c r="D73" s="113">
        <v>5.77</v>
      </c>
      <c r="E73" s="124">
        <f>0.009*8</f>
        <v>0.072</v>
      </c>
      <c r="F73" s="113">
        <f t="shared" si="12"/>
        <v>0.41544</v>
      </c>
    </row>
    <row r="74" s="307" customFormat="1" customHeight="1" spans="1:6">
      <c r="A74" s="57">
        <v>2</v>
      </c>
      <c r="B74" s="57" t="s">
        <v>967</v>
      </c>
      <c r="C74" s="57"/>
      <c r="D74" s="113"/>
      <c r="E74" s="124"/>
      <c r="F74" s="113">
        <f>F75</f>
        <v>0</v>
      </c>
    </row>
    <row r="75" s="307" customFormat="1" customHeight="1" spans="1:6">
      <c r="A75" s="57"/>
      <c r="B75" s="57" t="s">
        <v>994</v>
      </c>
      <c r="C75" s="57" t="s">
        <v>182</v>
      </c>
      <c r="D75" s="113"/>
      <c r="E75" s="124">
        <v>10.5</v>
      </c>
      <c r="F75" s="113">
        <f t="shared" si="12"/>
        <v>0</v>
      </c>
    </row>
    <row r="76" s="307" customFormat="1" customHeight="1" spans="1:6">
      <c r="A76" s="57">
        <v>3</v>
      </c>
      <c r="B76" s="57" t="s">
        <v>974</v>
      </c>
      <c r="C76" s="57"/>
      <c r="D76" s="57"/>
      <c r="E76" s="57"/>
      <c r="F76" s="113">
        <v>0</v>
      </c>
    </row>
    <row r="77" s="307" customFormat="1" customHeight="1" spans="1:6">
      <c r="A77" s="57"/>
      <c r="B77" s="57"/>
      <c r="C77" s="59"/>
      <c r="D77" s="84"/>
      <c r="E77" s="57"/>
      <c r="F77" s="113"/>
    </row>
    <row r="78" s="307" customFormat="1" customHeight="1" spans="1:6">
      <c r="A78" s="57" t="s">
        <v>70</v>
      </c>
      <c r="B78" s="57" t="s">
        <v>977</v>
      </c>
      <c r="C78" s="194">
        <f>取费表!$C$12</f>
        <v>0.048</v>
      </c>
      <c r="D78" s="58"/>
      <c r="E78" s="84">
        <f>F70</f>
        <v>1.77624</v>
      </c>
      <c r="F78" s="113">
        <f t="shared" ref="F78:F82" si="13">E78*C78</f>
        <v>0.08525952</v>
      </c>
    </row>
    <row r="79" s="307" customFormat="1" customHeight="1" spans="1:6">
      <c r="A79" s="57"/>
      <c r="B79" s="57"/>
      <c r="C79" s="194"/>
      <c r="D79" s="58"/>
      <c r="E79" s="84"/>
      <c r="F79" s="113"/>
    </row>
    <row r="80" s="307" customFormat="1" customHeight="1" spans="1:6">
      <c r="A80" s="57" t="s">
        <v>979</v>
      </c>
      <c r="B80" s="57" t="s">
        <v>973</v>
      </c>
      <c r="C80" s="194">
        <f>取费表!$E$12</f>
        <v>0.0725</v>
      </c>
      <c r="D80" s="58"/>
      <c r="E80" s="84">
        <f>F69</f>
        <v>1.86149952</v>
      </c>
      <c r="F80" s="113">
        <f t="shared" si="13"/>
        <v>0.1349587152</v>
      </c>
    </row>
    <row r="81" s="307" customFormat="1" customHeight="1" spans="1:6">
      <c r="A81" s="57" t="s">
        <v>162</v>
      </c>
      <c r="B81" s="57" t="s">
        <v>980</v>
      </c>
      <c r="C81" s="194">
        <f>取费表!$F$12</f>
        <v>0.05</v>
      </c>
      <c r="D81" s="58"/>
      <c r="E81" s="84">
        <f>F80+F69</f>
        <v>1.9964582352</v>
      </c>
      <c r="F81" s="113">
        <f t="shared" si="13"/>
        <v>0.09982291176</v>
      </c>
    </row>
    <row r="82" s="307" customFormat="1" customHeight="1" spans="1:6">
      <c r="A82" s="57" t="s">
        <v>214</v>
      </c>
      <c r="B82" s="57" t="s">
        <v>976</v>
      </c>
      <c r="C82" s="195">
        <f>取费表!$G$12</f>
        <v>0.09</v>
      </c>
      <c r="D82" s="58"/>
      <c r="E82" s="84">
        <f>F81+F80+F69</f>
        <v>2.09628114696</v>
      </c>
      <c r="F82" s="113">
        <f t="shared" si="13"/>
        <v>0.1886653032264</v>
      </c>
    </row>
    <row r="83" s="307" customFormat="1" customHeight="1" spans="1:6">
      <c r="A83" s="57"/>
      <c r="B83" s="57" t="s">
        <v>984</v>
      </c>
      <c r="C83" s="195"/>
      <c r="D83" s="58"/>
      <c r="E83" s="84"/>
      <c r="F83" s="113">
        <f>(F69+F80+F81+F82)*取费表!$H$12</f>
        <v>0.068548393505592</v>
      </c>
    </row>
    <row r="84" s="307" customFormat="1" customHeight="1" spans="1:6">
      <c r="A84" s="57"/>
      <c r="B84" s="57" t="s">
        <v>278</v>
      </c>
      <c r="C84" s="58"/>
      <c r="D84" s="58"/>
      <c r="E84" s="57"/>
      <c r="F84" s="113">
        <f>F69+F80+F81+F82+F83</f>
        <v>2.35349484369199</v>
      </c>
    </row>
    <row r="85" s="307" customFormat="1" customHeight="1" spans="1:6">
      <c r="A85" s="175" t="s">
        <v>944</v>
      </c>
      <c r="B85" s="176"/>
      <c r="C85" s="176"/>
      <c r="D85" s="176"/>
      <c r="E85" s="176"/>
      <c r="F85" s="176"/>
    </row>
    <row r="86" s="307" customFormat="1" customHeight="1" spans="1:6">
      <c r="A86" s="205" t="s">
        <v>995</v>
      </c>
      <c r="B86" s="205"/>
      <c r="C86" s="205"/>
      <c r="D86" s="205"/>
      <c r="E86" s="205"/>
      <c r="F86" s="205"/>
    </row>
    <row r="87" s="307" customFormat="1" customHeight="1" spans="1:6">
      <c r="A87" s="191" t="s">
        <v>949</v>
      </c>
      <c r="B87" s="191"/>
      <c r="C87" s="168"/>
      <c r="D87" s="168"/>
      <c r="E87" s="191" t="s">
        <v>950</v>
      </c>
      <c r="F87" s="191"/>
    </row>
    <row r="88" s="307" customFormat="1" customHeight="1" spans="1:6">
      <c r="A88" s="117" t="s">
        <v>952</v>
      </c>
      <c r="B88" s="192"/>
      <c r="C88" s="201"/>
      <c r="D88" s="201"/>
      <c r="E88" s="201"/>
      <c r="F88" s="202"/>
    </row>
    <row r="89" s="307" customFormat="1" customHeight="1" spans="1:6">
      <c r="A89" s="57" t="s">
        <v>354</v>
      </c>
      <c r="B89" s="57" t="s">
        <v>956</v>
      </c>
      <c r="C89" s="57" t="s">
        <v>52</v>
      </c>
      <c r="D89" s="57" t="s">
        <v>855</v>
      </c>
      <c r="E89" s="57" t="s">
        <v>53</v>
      </c>
      <c r="F89" s="57" t="s">
        <v>306</v>
      </c>
    </row>
    <row r="90" s="307" customFormat="1" customHeight="1" spans="1:6">
      <c r="A90" s="57" t="s">
        <v>959</v>
      </c>
      <c r="B90" s="57" t="s">
        <v>960</v>
      </c>
      <c r="C90" s="57"/>
      <c r="D90" s="57"/>
      <c r="E90" s="57"/>
      <c r="F90" s="84">
        <f>F91+F99</f>
        <v>1.86149952</v>
      </c>
    </row>
    <row r="91" s="307" customFormat="1" customHeight="1" spans="1:6">
      <c r="A91" s="57" t="s">
        <v>59</v>
      </c>
      <c r="B91" s="57" t="s">
        <v>957</v>
      </c>
      <c r="C91" s="57"/>
      <c r="D91" s="57"/>
      <c r="E91" s="57"/>
      <c r="F91" s="84">
        <f>F92+F95+F97</f>
        <v>1.77624</v>
      </c>
    </row>
    <row r="92" s="307" customFormat="1" customHeight="1" spans="1:6">
      <c r="A92" s="57">
        <v>1</v>
      </c>
      <c r="B92" s="57" t="s">
        <v>964</v>
      </c>
      <c r="C92" s="57" t="s">
        <v>965</v>
      </c>
      <c r="D92" s="113"/>
      <c r="E92" s="92">
        <f>SUM(E93:E94)</f>
        <v>0.24</v>
      </c>
      <c r="F92" s="113">
        <f>SUM(F93:F94)</f>
        <v>1.77624</v>
      </c>
    </row>
    <row r="93" s="307" customFormat="1" customHeight="1" spans="1:6">
      <c r="A93" s="57"/>
      <c r="B93" s="57" t="s">
        <v>966</v>
      </c>
      <c r="C93" s="57" t="s">
        <v>965</v>
      </c>
      <c r="D93" s="113">
        <v>8.1</v>
      </c>
      <c r="E93" s="124">
        <f>0.021*8</f>
        <v>0.168</v>
      </c>
      <c r="F93" s="113">
        <f t="shared" ref="F93:F96" si="14">D93*E93</f>
        <v>1.3608</v>
      </c>
    </row>
    <row r="94" s="307" customFormat="1" customHeight="1" spans="1:6">
      <c r="A94" s="57"/>
      <c r="B94" s="57" t="s">
        <v>968</v>
      </c>
      <c r="C94" s="57" t="s">
        <v>965</v>
      </c>
      <c r="D94" s="113">
        <v>5.77</v>
      </c>
      <c r="E94" s="124">
        <f>0.009*8</f>
        <v>0.072</v>
      </c>
      <c r="F94" s="113">
        <f t="shared" si="14"/>
        <v>0.41544</v>
      </c>
    </row>
    <row r="95" s="307" customFormat="1" customHeight="1" spans="1:6">
      <c r="A95" s="57">
        <v>2</v>
      </c>
      <c r="B95" s="57" t="s">
        <v>967</v>
      </c>
      <c r="C95" s="57"/>
      <c r="D95" s="113"/>
      <c r="E95" s="124"/>
      <c r="F95" s="113">
        <f>F96</f>
        <v>0</v>
      </c>
    </row>
    <row r="96" s="307" customFormat="1" customHeight="1" spans="1:6">
      <c r="A96" s="57"/>
      <c r="B96" s="57" t="s">
        <v>996</v>
      </c>
      <c r="C96" s="57" t="s">
        <v>182</v>
      </c>
      <c r="D96" s="113"/>
      <c r="E96" s="124">
        <v>10.5</v>
      </c>
      <c r="F96" s="113">
        <f t="shared" si="14"/>
        <v>0</v>
      </c>
    </row>
    <row r="97" s="307" customFormat="1" customHeight="1" spans="1:6">
      <c r="A97" s="57">
        <v>3</v>
      </c>
      <c r="B97" s="57" t="s">
        <v>974</v>
      </c>
      <c r="C97" s="57"/>
      <c r="D97" s="57"/>
      <c r="E97" s="57"/>
      <c r="F97" s="113">
        <v>0</v>
      </c>
    </row>
    <row r="98" s="307" customFormat="1" customHeight="1" spans="1:6">
      <c r="A98" s="57"/>
      <c r="B98" s="57"/>
      <c r="C98" s="59"/>
      <c r="D98" s="84"/>
      <c r="E98" s="57"/>
      <c r="F98" s="113"/>
    </row>
    <row r="99" s="307" customFormat="1" customHeight="1" spans="1:6">
      <c r="A99" s="57" t="s">
        <v>70</v>
      </c>
      <c r="B99" s="57" t="s">
        <v>977</v>
      </c>
      <c r="C99" s="194">
        <f>取费表!$C$12</f>
        <v>0.048</v>
      </c>
      <c r="D99" s="58"/>
      <c r="E99" s="84">
        <f>F91</f>
        <v>1.77624</v>
      </c>
      <c r="F99" s="113">
        <f t="shared" ref="F99:F103" si="15">E99*C99</f>
        <v>0.08525952</v>
      </c>
    </row>
    <row r="100" s="307" customFormat="1" customHeight="1" spans="1:6">
      <c r="A100" s="57"/>
      <c r="B100" s="57"/>
      <c r="C100" s="194"/>
      <c r="D100" s="58"/>
      <c r="E100" s="84"/>
      <c r="F100" s="113"/>
    </row>
    <row r="101" s="307" customFormat="1" customHeight="1" spans="1:6">
      <c r="A101" s="57" t="s">
        <v>979</v>
      </c>
      <c r="B101" s="57" t="s">
        <v>973</v>
      </c>
      <c r="C101" s="194">
        <f>取费表!$E$12</f>
        <v>0.0725</v>
      </c>
      <c r="D101" s="58"/>
      <c r="E101" s="84">
        <f>F90</f>
        <v>1.86149952</v>
      </c>
      <c r="F101" s="113">
        <f t="shared" si="15"/>
        <v>0.1349587152</v>
      </c>
    </row>
    <row r="102" s="307" customFormat="1" customHeight="1" spans="1:6">
      <c r="A102" s="57" t="s">
        <v>162</v>
      </c>
      <c r="B102" s="57" t="s">
        <v>980</v>
      </c>
      <c r="C102" s="194">
        <f>取费表!$F$12</f>
        <v>0.05</v>
      </c>
      <c r="D102" s="58"/>
      <c r="E102" s="84">
        <f>F101+F90</f>
        <v>1.9964582352</v>
      </c>
      <c r="F102" s="113">
        <f t="shared" si="15"/>
        <v>0.09982291176</v>
      </c>
    </row>
    <row r="103" s="307" customFormat="1" customHeight="1" spans="1:6">
      <c r="A103" s="57" t="s">
        <v>214</v>
      </c>
      <c r="B103" s="57" t="s">
        <v>976</v>
      </c>
      <c r="C103" s="195">
        <f>取费表!$G$12</f>
        <v>0.09</v>
      </c>
      <c r="D103" s="58"/>
      <c r="E103" s="84">
        <f>F102+F101+F90</f>
        <v>2.09628114696</v>
      </c>
      <c r="F103" s="113">
        <f t="shared" si="15"/>
        <v>0.1886653032264</v>
      </c>
    </row>
    <row r="104" s="307" customFormat="1" customHeight="1" spans="1:6">
      <c r="A104" s="57"/>
      <c r="B104" s="57" t="s">
        <v>984</v>
      </c>
      <c r="C104" s="195"/>
      <c r="D104" s="58"/>
      <c r="E104" s="84"/>
      <c r="F104" s="113">
        <f>(F90+F101+F102+F103)*取费表!$H$12</f>
        <v>0.068548393505592</v>
      </c>
    </row>
    <row r="105" s="307" customFormat="1" customHeight="1" spans="1:6">
      <c r="A105" s="57"/>
      <c r="B105" s="57" t="s">
        <v>278</v>
      </c>
      <c r="C105" s="58"/>
      <c r="D105" s="58"/>
      <c r="E105" s="57"/>
      <c r="F105" s="113">
        <f>F90+F101+F102+F103+F104</f>
        <v>2.35349484369199</v>
      </c>
    </row>
    <row r="106" s="307" customFormat="1" customHeight="1" spans="1:6">
      <c r="A106" s="175" t="s">
        <v>944</v>
      </c>
      <c r="B106" s="176"/>
      <c r="C106" s="176"/>
      <c r="D106" s="176"/>
      <c r="E106" s="176"/>
      <c r="F106" s="176"/>
    </row>
    <row r="107" s="307" customFormat="1" customHeight="1" spans="1:6">
      <c r="A107" s="205" t="s">
        <v>997</v>
      </c>
      <c r="B107" s="205"/>
      <c r="C107" s="205"/>
      <c r="D107" s="205"/>
      <c r="E107" s="205"/>
      <c r="F107" s="205"/>
    </row>
    <row r="108" s="307" customFormat="1" customHeight="1" spans="1:6">
      <c r="A108" s="191" t="s">
        <v>949</v>
      </c>
      <c r="B108" s="191"/>
      <c r="C108" s="168"/>
      <c r="D108" s="168"/>
      <c r="E108" s="191" t="s">
        <v>950</v>
      </c>
      <c r="F108" s="191"/>
    </row>
    <row r="109" s="307" customFormat="1" customHeight="1" spans="1:6">
      <c r="A109" s="117" t="s">
        <v>952</v>
      </c>
      <c r="B109" s="192"/>
      <c r="C109" s="201"/>
      <c r="D109" s="201"/>
      <c r="E109" s="201"/>
      <c r="F109" s="202"/>
    </row>
    <row r="110" s="307" customFormat="1" customHeight="1" spans="1:6">
      <c r="A110" s="57" t="s">
        <v>354</v>
      </c>
      <c r="B110" s="57" t="s">
        <v>956</v>
      </c>
      <c r="C110" s="57" t="s">
        <v>52</v>
      </c>
      <c r="D110" s="57" t="s">
        <v>855</v>
      </c>
      <c r="E110" s="57" t="s">
        <v>53</v>
      </c>
      <c r="F110" s="57" t="s">
        <v>306</v>
      </c>
    </row>
    <row r="111" s="307" customFormat="1" customHeight="1" spans="1:6">
      <c r="A111" s="57" t="s">
        <v>959</v>
      </c>
      <c r="B111" s="57" t="s">
        <v>960</v>
      </c>
      <c r="C111" s="57"/>
      <c r="D111" s="57"/>
      <c r="E111" s="57"/>
      <c r="F111" s="84">
        <f>F112+F120</f>
        <v>1.86149952</v>
      </c>
    </row>
    <row r="112" s="307" customFormat="1" customHeight="1" spans="1:6">
      <c r="A112" s="57" t="s">
        <v>59</v>
      </c>
      <c r="B112" s="57" t="s">
        <v>957</v>
      </c>
      <c r="C112" s="57"/>
      <c r="D112" s="57"/>
      <c r="E112" s="57"/>
      <c r="F112" s="84">
        <f>F113+F116+F118</f>
        <v>1.77624</v>
      </c>
    </row>
    <row r="113" s="307" customFormat="1" customHeight="1" spans="1:6">
      <c r="A113" s="57">
        <v>1</v>
      </c>
      <c r="B113" s="57" t="s">
        <v>964</v>
      </c>
      <c r="C113" s="57" t="s">
        <v>965</v>
      </c>
      <c r="D113" s="113"/>
      <c r="E113" s="92">
        <f>SUM(E114:E115)</f>
        <v>0.24</v>
      </c>
      <c r="F113" s="113">
        <f>SUM(F114:F115)</f>
        <v>1.77624</v>
      </c>
    </row>
    <row r="114" s="307" customFormat="1" customHeight="1" spans="1:6">
      <c r="A114" s="57"/>
      <c r="B114" s="57" t="s">
        <v>966</v>
      </c>
      <c r="C114" s="57" t="s">
        <v>965</v>
      </c>
      <c r="D114" s="113">
        <v>8.1</v>
      </c>
      <c r="E114" s="124">
        <f>0.021*8</f>
        <v>0.168</v>
      </c>
      <c r="F114" s="113">
        <f t="shared" ref="F114:F117" si="16">D114*E114</f>
        <v>1.3608</v>
      </c>
    </row>
    <row r="115" s="307" customFormat="1" customHeight="1" spans="1:6">
      <c r="A115" s="57"/>
      <c r="B115" s="57" t="s">
        <v>968</v>
      </c>
      <c r="C115" s="57" t="s">
        <v>965</v>
      </c>
      <c r="D115" s="113">
        <v>5.77</v>
      </c>
      <c r="E115" s="124">
        <f>0.009*8</f>
        <v>0.072</v>
      </c>
      <c r="F115" s="113">
        <f t="shared" si="16"/>
        <v>0.41544</v>
      </c>
    </row>
    <row r="116" s="307" customFormat="1" customHeight="1" spans="1:6">
      <c r="A116" s="57">
        <v>2</v>
      </c>
      <c r="B116" s="57" t="s">
        <v>967</v>
      </c>
      <c r="C116" s="57"/>
      <c r="D116" s="113"/>
      <c r="E116" s="124"/>
      <c r="F116" s="113">
        <f>F117</f>
        <v>0</v>
      </c>
    </row>
    <row r="117" s="307" customFormat="1" customHeight="1" spans="1:6">
      <c r="A117" s="57"/>
      <c r="B117" s="57" t="s">
        <v>998</v>
      </c>
      <c r="C117" s="57" t="s">
        <v>182</v>
      </c>
      <c r="D117" s="113"/>
      <c r="E117" s="124">
        <v>10.5</v>
      </c>
      <c r="F117" s="113">
        <f t="shared" si="16"/>
        <v>0</v>
      </c>
    </row>
    <row r="118" s="307" customFormat="1" customHeight="1" spans="1:6">
      <c r="A118" s="57">
        <v>3</v>
      </c>
      <c r="B118" s="57" t="s">
        <v>974</v>
      </c>
      <c r="C118" s="57"/>
      <c r="D118" s="57"/>
      <c r="E118" s="57"/>
      <c r="F118" s="113">
        <v>0</v>
      </c>
    </row>
    <row r="119" s="307" customFormat="1" customHeight="1" spans="1:6">
      <c r="A119" s="57"/>
      <c r="B119" s="57"/>
      <c r="C119" s="59"/>
      <c r="D119" s="84"/>
      <c r="E119" s="57"/>
      <c r="F119" s="113"/>
    </row>
    <row r="120" s="307" customFormat="1" customHeight="1" spans="1:6">
      <c r="A120" s="57" t="s">
        <v>70</v>
      </c>
      <c r="B120" s="57" t="s">
        <v>977</v>
      </c>
      <c r="C120" s="194">
        <f>取费表!$C$12</f>
        <v>0.048</v>
      </c>
      <c r="D120" s="58"/>
      <c r="E120" s="84">
        <f>F112</f>
        <v>1.77624</v>
      </c>
      <c r="F120" s="113">
        <f t="shared" ref="F120:F124" si="17">E120*C120</f>
        <v>0.08525952</v>
      </c>
    </row>
    <row r="121" s="307" customFormat="1" customHeight="1" spans="1:6">
      <c r="A121" s="57"/>
      <c r="B121" s="57"/>
      <c r="C121" s="194"/>
      <c r="D121" s="58"/>
      <c r="E121" s="84"/>
      <c r="F121" s="113"/>
    </row>
    <row r="122" s="307" customFormat="1" customHeight="1" spans="1:6">
      <c r="A122" s="57" t="s">
        <v>979</v>
      </c>
      <c r="B122" s="57" t="s">
        <v>973</v>
      </c>
      <c r="C122" s="194">
        <f>取费表!$E$12</f>
        <v>0.0725</v>
      </c>
      <c r="D122" s="58"/>
      <c r="E122" s="84">
        <f>F111</f>
        <v>1.86149952</v>
      </c>
      <c r="F122" s="113">
        <f t="shared" si="17"/>
        <v>0.1349587152</v>
      </c>
    </row>
    <row r="123" s="307" customFormat="1" customHeight="1" spans="1:6">
      <c r="A123" s="57" t="s">
        <v>162</v>
      </c>
      <c r="B123" s="57" t="s">
        <v>980</v>
      </c>
      <c r="C123" s="194">
        <f>取费表!$F$12</f>
        <v>0.05</v>
      </c>
      <c r="D123" s="58"/>
      <c r="E123" s="84">
        <f>F122+F111</f>
        <v>1.9964582352</v>
      </c>
      <c r="F123" s="113">
        <f t="shared" si="17"/>
        <v>0.09982291176</v>
      </c>
    </row>
    <row r="124" s="307" customFormat="1" customHeight="1" spans="1:6">
      <c r="A124" s="57" t="s">
        <v>214</v>
      </c>
      <c r="B124" s="57" t="s">
        <v>976</v>
      </c>
      <c r="C124" s="195">
        <f>取费表!$G$12</f>
        <v>0.09</v>
      </c>
      <c r="D124" s="58"/>
      <c r="E124" s="84">
        <f>F123+F122+F111</f>
        <v>2.09628114696</v>
      </c>
      <c r="F124" s="113">
        <f t="shared" si="17"/>
        <v>0.1886653032264</v>
      </c>
    </row>
    <row r="125" s="307" customFormat="1" customHeight="1" spans="1:6">
      <c r="A125" s="57"/>
      <c r="B125" s="57" t="s">
        <v>984</v>
      </c>
      <c r="C125" s="195"/>
      <c r="D125" s="58"/>
      <c r="E125" s="84"/>
      <c r="F125" s="113">
        <f>(F111+F122+F123+F124)*取费表!$H$12</f>
        <v>0.068548393505592</v>
      </c>
    </row>
    <row r="126" s="307" customFormat="1" customHeight="1" spans="1:6">
      <c r="A126" s="57"/>
      <c r="B126" s="57" t="s">
        <v>278</v>
      </c>
      <c r="C126" s="58"/>
      <c r="D126" s="58"/>
      <c r="E126" s="57"/>
      <c r="F126" s="113">
        <f>F111+F122+F123+F124+F125</f>
        <v>2.35349484369199</v>
      </c>
    </row>
    <row r="127" s="307" customFormat="1" customHeight="1" spans="1:6">
      <c r="A127" s="175" t="s">
        <v>944</v>
      </c>
      <c r="B127" s="176"/>
      <c r="C127" s="176"/>
      <c r="D127" s="176"/>
      <c r="E127" s="176"/>
      <c r="F127" s="176"/>
    </row>
    <row r="128" s="307" customFormat="1" customHeight="1" spans="1:6">
      <c r="A128" s="205" t="s">
        <v>999</v>
      </c>
      <c r="B128" s="205"/>
      <c r="C128" s="205"/>
      <c r="D128" s="205"/>
      <c r="E128" s="205"/>
      <c r="F128" s="205"/>
    </row>
    <row r="129" s="307" customFormat="1" customHeight="1" spans="1:6">
      <c r="A129" s="191" t="s">
        <v>1000</v>
      </c>
      <c r="B129" s="191"/>
      <c r="C129" s="168"/>
      <c r="D129" s="168"/>
      <c r="E129" s="191" t="s">
        <v>1001</v>
      </c>
      <c r="F129" s="191"/>
    </row>
    <row r="130" s="307" customFormat="1" customHeight="1" spans="1:6">
      <c r="A130" s="117" t="s">
        <v>952</v>
      </c>
      <c r="B130" s="192"/>
      <c r="C130" s="201"/>
      <c r="D130" s="201"/>
      <c r="E130" s="201"/>
      <c r="F130" s="202"/>
    </row>
    <row r="131" s="307" customFormat="1" customHeight="1" spans="1:6">
      <c r="A131" s="57" t="s">
        <v>354</v>
      </c>
      <c r="B131" s="57" t="s">
        <v>956</v>
      </c>
      <c r="C131" s="57" t="s">
        <v>52</v>
      </c>
      <c r="D131" s="57" t="s">
        <v>855</v>
      </c>
      <c r="E131" s="57" t="s">
        <v>53</v>
      </c>
      <c r="F131" s="57" t="s">
        <v>306</v>
      </c>
    </row>
    <row r="132" s="307" customFormat="1" customHeight="1" spans="1:6">
      <c r="A132" s="57" t="s">
        <v>959</v>
      </c>
      <c r="B132" s="57" t="s">
        <v>960</v>
      </c>
      <c r="C132" s="57"/>
      <c r="D132" s="57"/>
      <c r="E132" s="57"/>
      <c r="F132" s="84">
        <f>F133+F141</f>
        <v>4.71189184</v>
      </c>
    </row>
    <row r="133" s="307" customFormat="1" customHeight="1" spans="1:6">
      <c r="A133" s="57" t="s">
        <v>59</v>
      </c>
      <c r="B133" s="57" t="s">
        <v>957</v>
      </c>
      <c r="C133" s="57"/>
      <c r="D133" s="57"/>
      <c r="E133" s="57"/>
      <c r="F133" s="84">
        <f>F134+F137+F139</f>
        <v>4.49608</v>
      </c>
    </row>
    <row r="134" s="307" customFormat="1" customHeight="1" spans="1:6">
      <c r="A134" s="57">
        <v>1</v>
      </c>
      <c r="B134" s="57" t="s">
        <v>964</v>
      </c>
      <c r="C134" s="57" t="s">
        <v>965</v>
      </c>
      <c r="D134" s="113"/>
      <c r="E134" s="92">
        <f>SUM(E135:E136)</f>
        <v>0.608</v>
      </c>
      <c r="F134" s="113">
        <f>SUM(F135:F136)</f>
        <v>4.49608</v>
      </c>
    </row>
    <row r="135" s="307" customFormat="1" customHeight="1" spans="1:6">
      <c r="A135" s="57"/>
      <c r="B135" s="57" t="s">
        <v>966</v>
      </c>
      <c r="C135" s="57" t="s">
        <v>965</v>
      </c>
      <c r="D135" s="113">
        <v>8.1</v>
      </c>
      <c r="E135" s="124">
        <f>0.053*8</f>
        <v>0.424</v>
      </c>
      <c r="F135" s="113">
        <f t="shared" ref="F135:F138" si="18">D135*E135</f>
        <v>3.4344</v>
      </c>
    </row>
    <row r="136" s="307" customFormat="1" customHeight="1" spans="1:6">
      <c r="A136" s="57"/>
      <c r="B136" s="57" t="s">
        <v>968</v>
      </c>
      <c r="C136" s="57" t="s">
        <v>965</v>
      </c>
      <c r="D136" s="113">
        <v>5.77</v>
      </c>
      <c r="E136" s="124">
        <f>0.023*8</f>
        <v>0.184</v>
      </c>
      <c r="F136" s="113">
        <f t="shared" si="18"/>
        <v>1.06168</v>
      </c>
    </row>
    <row r="137" s="307" customFormat="1" customHeight="1" spans="1:6">
      <c r="A137" s="57">
        <v>2</v>
      </c>
      <c r="B137" s="57" t="s">
        <v>967</v>
      </c>
      <c r="C137" s="57"/>
      <c r="D137" s="113"/>
      <c r="E137" s="124"/>
      <c r="F137" s="113">
        <f>F138</f>
        <v>0</v>
      </c>
    </row>
    <row r="138" s="307" customFormat="1" customHeight="1" spans="1:6">
      <c r="A138" s="57"/>
      <c r="B138" s="57" t="s">
        <v>1002</v>
      </c>
      <c r="C138" s="57" t="s">
        <v>175</v>
      </c>
      <c r="D138" s="113"/>
      <c r="E138" s="124">
        <v>10.5</v>
      </c>
      <c r="F138" s="113">
        <f t="shared" si="18"/>
        <v>0</v>
      </c>
    </row>
    <row r="139" s="307" customFormat="1" customHeight="1" spans="1:6">
      <c r="A139" s="57">
        <v>3</v>
      </c>
      <c r="B139" s="57" t="s">
        <v>974</v>
      </c>
      <c r="C139" s="57"/>
      <c r="D139" s="57"/>
      <c r="E139" s="57"/>
      <c r="F139" s="113">
        <v>0</v>
      </c>
    </row>
    <row r="140" s="307" customFormat="1" customHeight="1" spans="1:6">
      <c r="A140" s="57"/>
      <c r="B140" s="57"/>
      <c r="C140" s="59"/>
      <c r="D140" s="84"/>
      <c r="E140" s="57"/>
      <c r="F140" s="113"/>
    </row>
    <row r="141" s="307" customFormat="1" customHeight="1" spans="1:6">
      <c r="A141" s="57" t="s">
        <v>70</v>
      </c>
      <c r="B141" s="57" t="s">
        <v>977</v>
      </c>
      <c r="C141" s="194">
        <f>取费表!$C$12</f>
        <v>0.048</v>
      </c>
      <c r="D141" s="58"/>
      <c r="E141" s="84">
        <f>F133</f>
        <v>4.49608</v>
      </c>
      <c r="F141" s="113">
        <f t="shared" ref="F141:F145" si="19">E141*C141</f>
        <v>0.21581184</v>
      </c>
    </row>
    <row r="142" s="307" customFormat="1" customHeight="1" spans="1:6">
      <c r="A142" s="57"/>
      <c r="B142" s="57"/>
      <c r="C142" s="194"/>
      <c r="D142" s="58"/>
      <c r="E142" s="84"/>
      <c r="F142" s="113"/>
    </row>
    <row r="143" s="307" customFormat="1" customHeight="1" spans="1:6">
      <c r="A143" s="57" t="s">
        <v>979</v>
      </c>
      <c r="B143" s="57" t="s">
        <v>973</v>
      </c>
      <c r="C143" s="194">
        <f>取费表!$E$12</f>
        <v>0.0725</v>
      </c>
      <c r="D143" s="58"/>
      <c r="E143" s="84">
        <f>F132</f>
        <v>4.71189184</v>
      </c>
      <c r="F143" s="113">
        <f t="shared" si="19"/>
        <v>0.3416121584</v>
      </c>
    </row>
    <row r="144" s="307" customFormat="1" customHeight="1" spans="1:6">
      <c r="A144" s="57" t="s">
        <v>162</v>
      </c>
      <c r="B144" s="57" t="s">
        <v>980</v>
      </c>
      <c r="C144" s="194">
        <f>取费表!$F$12</f>
        <v>0.05</v>
      </c>
      <c r="D144" s="58"/>
      <c r="E144" s="84">
        <f>F143+F132</f>
        <v>5.0535039984</v>
      </c>
      <c r="F144" s="113">
        <f t="shared" si="19"/>
        <v>0.25267519992</v>
      </c>
    </row>
    <row r="145" s="307" customFormat="1" customHeight="1" spans="1:6">
      <c r="A145" s="57" t="s">
        <v>214</v>
      </c>
      <c r="B145" s="57" t="s">
        <v>976</v>
      </c>
      <c r="C145" s="195">
        <f>取费表!$G$12</f>
        <v>0.09</v>
      </c>
      <c r="D145" s="58"/>
      <c r="E145" s="84">
        <f>F144+F143+F132</f>
        <v>5.30617919832</v>
      </c>
      <c r="F145" s="113">
        <f t="shared" si="19"/>
        <v>0.4775561278488</v>
      </c>
    </row>
    <row r="146" s="307" customFormat="1" customHeight="1" spans="1:6">
      <c r="A146" s="57"/>
      <c r="B146" s="57" t="s">
        <v>984</v>
      </c>
      <c r="C146" s="195"/>
      <c r="D146" s="58"/>
      <c r="E146" s="84"/>
      <c r="F146" s="113">
        <f>(F132+F143+F144+F145)*取费表!$H$12</f>
        <v>0.173512059785064</v>
      </c>
    </row>
    <row r="147" s="307" customFormat="1" customHeight="1" spans="1:6">
      <c r="A147" s="57"/>
      <c r="B147" s="57" t="s">
        <v>278</v>
      </c>
      <c r="C147" s="58"/>
      <c r="D147" s="58"/>
      <c r="E147" s="57"/>
      <c r="F147" s="113">
        <f>F132+F143+F144+F145+F146</f>
        <v>5.95724738595386</v>
      </c>
    </row>
    <row r="148" s="307" customFormat="1" customHeight="1" spans="1:6">
      <c r="A148" s="175" t="s">
        <v>944</v>
      </c>
      <c r="B148" s="176"/>
      <c r="C148" s="176"/>
      <c r="D148" s="176"/>
      <c r="E148" s="176"/>
      <c r="F148" s="176"/>
    </row>
    <row r="149" s="307" customFormat="1" customHeight="1" spans="1:6">
      <c r="A149" s="205" t="s">
        <v>1003</v>
      </c>
      <c r="B149" s="205"/>
      <c r="C149" s="205"/>
      <c r="D149" s="205"/>
      <c r="E149" s="205"/>
      <c r="F149" s="205"/>
    </row>
    <row r="150" s="307" customFormat="1" customHeight="1" spans="1:6">
      <c r="A150" s="191" t="s">
        <v>1000</v>
      </c>
      <c r="B150" s="191"/>
      <c r="C150" s="168"/>
      <c r="D150" s="168"/>
      <c r="E150" s="191" t="s">
        <v>1001</v>
      </c>
      <c r="F150" s="191"/>
    </row>
    <row r="151" s="307" customFormat="1" customHeight="1" spans="1:6">
      <c r="A151" s="117" t="s">
        <v>952</v>
      </c>
      <c r="B151" s="192"/>
      <c r="C151" s="201"/>
      <c r="D151" s="201"/>
      <c r="E151" s="201"/>
      <c r="F151" s="202"/>
    </row>
    <row r="152" s="307" customFormat="1" customHeight="1" spans="1:6">
      <c r="A152" s="57" t="s">
        <v>354</v>
      </c>
      <c r="B152" s="57" t="s">
        <v>956</v>
      </c>
      <c r="C152" s="57" t="s">
        <v>52</v>
      </c>
      <c r="D152" s="57" t="s">
        <v>855</v>
      </c>
      <c r="E152" s="57" t="s">
        <v>53</v>
      </c>
      <c r="F152" s="57" t="s">
        <v>306</v>
      </c>
    </row>
    <row r="153" s="307" customFormat="1" customHeight="1" spans="1:6">
      <c r="A153" s="57" t="s">
        <v>959</v>
      </c>
      <c r="B153" s="57" t="s">
        <v>960</v>
      </c>
      <c r="C153" s="57"/>
      <c r="D153" s="57"/>
      <c r="E153" s="57"/>
      <c r="F153" s="84">
        <f>F154+F162</f>
        <v>4.71189184</v>
      </c>
    </row>
    <row r="154" s="307" customFormat="1" customHeight="1" spans="1:6">
      <c r="A154" s="57" t="s">
        <v>59</v>
      </c>
      <c r="B154" s="57" t="s">
        <v>957</v>
      </c>
      <c r="C154" s="57"/>
      <c r="D154" s="57"/>
      <c r="E154" s="57"/>
      <c r="F154" s="84">
        <f>F155+F158+F160</f>
        <v>4.49608</v>
      </c>
    </row>
    <row r="155" s="307" customFormat="1" customHeight="1" spans="1:6">
      <c r="A155" s="57">
        <v>1</v>
      </c>
      <c r="B155" s="57" t="s">
        <v>964</v>
      </c>
      <c r="C155" s="57" t="s">
        <v>965</v>
      </c>
      <c r="D155" s="113"/>
      <c r="E155" s="92">
        <f>SUM(E156:E157)</f>
        <v>0.608</v>
      </c>
      <c r="F155" s="113">
        <f>SUM(F156:F157)</f>
        <v>4.49608</v>
      </c>
    </row>
    <row r="156" s="307" customFormat="1" customHeight="1" spans="1:6">
      <c r="A156" s="57"/>
      <c r="B156" s="57" t="s">
        <v>966</v>
      </c>
      <c r="C156" s="57" t="s">
        <v>965</v>
      </c>
      <c r="D156" s="113">
        <v>8.1</v>
      </c>
      <c r="E156" s="124">
        <f>0.053*8</f>
        <v>0.424</v>
      </c>
      <c r="F156" s="113">
        <f t="shared" ref="F156:F159" si="20">D156*E156</f>
        <v>3.4344</v>
      </c>
    </row>
    <row r="157" s="307" customFormat="1" customHeight="1" spans="1:6">
      <c r="A157" s="57"/>
      <c r="B157" s="57" t="s">
        <v>968</v>
      </c>
      <c r="C157" s="57" t="s">
        <v>965</v>
      </c>
      <c r="D157" s="113">
        <v>5.77</v>
      </c>
      <c r="E157" s="124">
        <f>0.023*8</f>
        <v>0.184</v>
      </c>
      <c r="F157" s="113">
        <f t="shared" si="20"/>
        <v>1.06168</v>
      </c>
    </row>
    <row r="158" s="307" customFormat="1" customHeight="1" spans="1:6">
      <c r="A158" s="57">
        <v>2</v>
      </c>
      <c r="B158" s="57" t="s">
        <v>967</v>
      </c>
      <c r="C158" s="57"/>
      <c r="D158" s="113"/>
      <c r="E158" s="124"/>
      <c r="F158" s="113">
        <f>F159</f>
        <v>0</v>
      </c>
    </row>
    <row r="159" s="307" customFormat="1" customHeight="1" spans="1:6">
      <c r="A159" s="57"/>
      <c r="B159" s="57" t="s">
        <v>1004</v>
      </c>
      <c r="C159" s="57" t="s">
        <v>175</v>
      </c>
      <c r="D159" s="113"/>
      <c r="E159" s="124">
        <v>10.5</v>
      </c>
      <c r="F159" s="113">
        <f t="shared" si="20"/>
        <v>0</v>
      </c>
    </row>
    <row r="160" s="307" customFormat="1" customHeight="1" spans="1:6">
      <c r="A160" s="57">
        <v>3</v>
      </c>
      <c r="B160" s="57" t="s">
        <v>974</v>
      </c>
      <c r="C160" s="57"/>
      <c r="D160" s="57"/>
      <c r="E160" s="57"/>
      <c r="F160" s="113">
        <v>0</v>
      </c>
    </row>
    <row r="161" s="307" customFormat="1" customHeight="1" spans="1:6">
      <c r="A161" s="57"/>
      <c r="B161" s="57"/>
      <c r="C161" s="59"/>
      <c r="D161" s="84"/>
      <c r="E161" s="57"/>
      <c r="F161" s="113"/>
    </row>
    <row r="162" s="307" customFormat="1" customHeight="1" spans="1:6">
      <c r="A162" s="57" t="s">
        <v>70</v>
      </c>
      <c r="B162" s="57" t="s">
        <v>977</v>
      </c>
      <c r="C162" s="194">
        <f>取费表!$C$12</f>
        <v>0.048</v>
      </c>
      <c r="D162" s="58"/>
      <c r="E162" s="84">
        <f>F154</f>
        <v>4.49608</v>
      </c>
      <c r="F162" s="113">
        <f t="shared" ref="F162:F166" si="21">E162*C162</f>
        <v>0.21581184</v>
      </c>
    </row>
    <row r="163" s="307" customFormat="1" customHeight="1" spans="1:6">
      <c r="A163" s="57"/>
      <c r="B163" s="57"/>
      <c r="C163" s="194"/>
      <c r="D163" s="58"/>
      <c r="E163" s="84"/>
      <c r="F163" s="113"/>
    </row>
    <row r="164" s="307" customFormat="1" customHeight="1" spans="1:6">
      <c r="A164" s="57" t="s">
        <v>979</v>
      </c>
      <c r="B164" s="57" t="s">
        <v>973</v>
      </c>
      <c r="C164" s="194">
        <f>取费表!$E$12</f>
        <v>0.0725</v>
      </c>
      <c r="D164" s="58"/>
      <c r="E164" s="84">
        <f>F153</f>
        <v>4.71189184</v>
      </c>
      <c r="F164" s="113">
        <f t="shared" si="21"/>
        <v>0.3416121584</v>
      </c>
    </row>
    <row r="165" s="307" customFormat="1" customHeight="1" spans="1:6">
      <c r="A165" s="57" t="s">
        <v>162</v>
      </c>
      <c r="B165" s="57" t="s">
        <v>980</v>
      </c>
      <c r="C165" s="194">
        <f>取费表!$F$12</f>
        <v>0.05</v>
      </c>
      <c r="D165" s="58"/>
      <c r="E165" s="84">
        <f>F164+F153</f>
        <v>5.0535039984</v>
      </c>
      <c r="F165" s="113">
        <f t="shared" si="21"/>
        <v>0.25267519992</v>
      </c>
    </row>
    <row r="166" s="307" customFormat="1" customHeight="1" spans="1:6">
      <c r="A166" s="57" t="s">
        <v>214</v>
      </c>
      <c r="B166" s="57" t="s">
        <v>976</v>
      </c>
      <c r="C166" s="195">
        <f>取费表!$G$12</f>
        <v>0.09</v>
      </c>
      <c r="D166" s="58"/>
      <c r="E166" s="84">
        <f>F165+F164+F153</f>
        <v>5.30617919832</v>
      </c>
      <c r="F166" s="113">
        <f t="shared" si="21"/>
        <v>0.4775561278488</v>
      </c>
    </row>
    <row r="167" s="307" customFormat="1" customHeight="1" spans="1:6">
      <c r="A167" s="57"/>
      <c r="B167" s="57" t="s">
        <v>984</v>
      </c>
      <c r="C167" s="195"/>
      <c r="D167" s="58"/>
      <c r="E167" s="84"/>
      <c r="F167" s="113">
        <f>(F153+F164+F165+F166)*取费表!$H$12</f>
        <v>0.173512059785064</v>
      </c>
    </row>
    <row r="168" s="307" customFormat="1" customHeight="1" spans="1:6">
      <c r="A168" s="57"/>
      <c r="B168" s="57" t="s">
        <v>278</v>
      </c>
      <c r="C168" s="58"/>
      <c r="D168" s="58"/>
      <c r="E168" s="57"/>
      <c r="F168" s="113">
        <f>F153+F164+F165+F166+F167</f>
        <v>5.95724738595386</v>
      </c>
    </row>
    <row r="169" s="307" customFormat="1" customHeight="1" spans="1:6">
      <c r="A169" s="175" t="s">
        <v>944</v>
      </c>
      <c r="B169" s="176"/>
      <c r="C169" s="176"/>
      <c r="D169" s="176"/>
      <c r="E169" s="176"/>
      <c r="F169" s="176"/>
    </row>
    <row r="170" s="307" customFormat="1" customHeight="1" spans="1:6">
      <c r="A170" s="205" t="s">
        <v>1005</v>
      </c>
      <c r="B170" s="205"/>
      <c r="C170" s="205"/>
      <c r="D170" s="205"/>
      <c r="E170" s="205"/>
      <c r="F170" s="205"/>
    </row>
    <row r="171" s="307" customFormat="1" customHeight="1" spans="1:6">
      <c r="A171" s="191" t="s">
        <v>1006</v>
      </c>
      <c r="B171" s="191"/>
      <c r="C171" s="168"/>
      <c r="D171" s="168"/>
      <c r="E171" s="191" t="s">
        <v>950</v>
      </c>
      <c r="F171" s="191"/>
    </row>
    <row r="172" s="307" customFormat="1" customHeight="1" spans="1:6">
      <c r="A172" s="117" t="s">
        <v>952</v>
      </c>
      <c r="B172" s="192"/>
      <c r="C172" s="201"/>
      <c r="D172" s="201"/>
      <c r="E172" s="201"/>
      <c r="F172" s="202"/>
    </row>
    <row r="173" s="307" customFormat="1" customHeight="1" spans="1:6">
      <c r="A173" s="57" t="s">
        <v>354</v>
      </c>
      <c r="B173" s="57" t="s">
        <v>956</v>
      </c>
      <c r="C173" s="57" t="s">
        <v>52</v>
      </c>
      <c r="D173" s="57" t="s">
        <v>855</v>
      </c>
      <c r="E173" s="57" t="s">
        <v>53</v>
      </c>
      <c r="F173" s="57" t="s">
        <v>306</v>
      </c>
    </row>
    <row r="174" s="307" customFormat="1" customHeight="1" spans="1:6">
      <c r="A174" s="57" t="s">
        <v>959</v>
      </c>
      <c r="B174" s="57" t="s">
        <v>960</v>
      </c>
      <c r="C174" s="57"/>
      <c r="D174" s="57"/>
      <c r="E174" s="57"/>
      <c r="F174" s="84">
        <f>F175+F183</f>
        <v>5.88498112</v>
      </c>
    </row>
    <row r="175" s="307" customFormat="1" customHeight="1" spans="1:6">
      <c r="A175" s="57" t="s">
        <v>59</v>
      </c>
      <c r="B175" s="57" t="s">
        <v>957</v>
      </c>
      <c r="C175" s="57"/>
      <c r="D175" s="57"/>
      <c r="E175" s="57"/>
      <c r="F175" s="84">
        <f>F176+F179+F181</f>
        <v>5.61544</v>
      </c>
    </row>
    <row r="176" s="307" customFormat="1" customHeight="1" spans="1:6">
      <c r="A176" s="57">
        <v>1</v>
      </c>
      <c r="B176" s="57" t="s">
        <v>964</v>
      </c>
      <c r="C176" s="57" t="s">
        <v>965</v>
      </c>
      <c r="D176" s="113"/>
      <c r="E176" s="92">
        <f>SUM(E177:E178)</f>
        <v>0.76</v>
      </c>
      <c r="F176" s="113">
        <f>SUM(F177:F178)</f>
        <v>5.61544</v>
      </c>
    </row>
    <row r="177" s="307" customFormat="1" customHeight="1" spans="1:6">
      <c r="A177" s="57"/>
      <c r="B177" s="57" t="s">
        <v>966</v>
      </c>
      <c r="C177" s="57" t="s">
        <v>965</v>
      </c>
      <c r="D177" s="113">
        <v>8.1</v>
      </c>
      <c r="E177" s="124">
        <f>0.066*8</f>
        <v>0.528</v>
      </c>
      <c r="F177" s="113">
        <f t="shared" ref="F177:F180" si="22">D177*E177</f>
        <v>4.2768</v>
      </c>
    </row>
    <row r="178" s="307" customFormat="1" customHeight="1" spans="1:6">
      <c r="A178" s="57"/>
      <c r="B178" s="57" t="s">
        <v>968</v>
      </c>
      <c r="C178" s="57" t="s">
        <v>965</v>
      </c>
      <c r="D178" s="113">
        <v>5.77</v>
      </c>
      <c r="E178" s="124">
        <f>0.029*8</f>
        <v>0.232</v>
      </c>
      <c r="F178" s="113">
        <f t="shared" si="22"/>
        <v>1.33864</v>
      </c>
    </row>
    <row r="179" s="307" customFormat="1" customHeight="1" spans="1:6">
      <c r="A179" s="57">
        <v>2</v>
      </c>
      <c r="B179" s="57" t="s">
        <v>967</v>
      </c>
      <c r="C179" s="57"/>
      <c r="D179" s="113"/>
      <c r="E179" s="124"/>
      <c r="F179" s="113">
        <f>F180</f>
        <v>0</v>
      </c>
    </row>
    <row r="180" s="307" customFormat="1" customHeight="1" spans="1:6">
      <c r="A180" s="57"/>
      <c r="B180" s="57" t="s">
        <v>1007</v>
      </c>
      <c r="C180" s="57" t="s">
        <v>182</v>
      </c>
      <c r="D180" s="113"/>
      <c r="E180" s="124">
        <v>10.5</v>
      </c>
      <c r="F180" s="113">
        <f t="shared" si="22"/>
        <v>0</v>
      </c>
    </row>
    <row r="181" s="307" customFormat="1" customHeight="1" spans="1:6">
      <c r="A181" s="57">
        <v>3</v>
      </c>
      <c r="B181" s="57" t="s">
        <v>974</v>
      </c>
      <c r="C181" s="57"/>
      <c r="D181" s="57"/>
      <c r="E181" s="57"/>
      <c r="F181" s="113">
        <v>0</v>
      </c>
    </row>
    <row r="182" s="307" customFormat="1" customHeight="1" spans="1:6">
      <c r="A182" s="57"/>
      <c r="B182" s="57"/>
      <c r="C182" s="59"/>
      <c r="D182" s="84"/>
      <c r="E182" s="57"/>
      <c r="F182" s="113"/>
    </row>
    <row r="183" s="307" customFormat="1" customHeight="1" spans="1:6">
      <c r="A183" s="57" t="s">
        <v>70</v>
      </c>
      <c r="B183" s="57" t="s">
        <v>977</v>
      </c>
      <c r="C183" s="194">
        <f>取费表!$C$12</f>
        <v>0.048</v>
      </c>
      <c r="D183" s="58"/>
      <c r="E183" s="84">
        <f>F175</f>
        <v>5.61544</v>
      </c>
      <c r="F183" s="113">
        <f t="shared" ref="F183:F187" si="23">E183*C183</f>
        <v>0.26954112</v>
      </c>
    </row>
    <row r="184" s="307" customFormat="1" customHeight="1" spans="1:6">
      <c r="A184" s="57"/>
      <c r="B184" s="57"/>
      <c r="C184" s="194"/>
      <c r="D184" s="58"/>
      <c r="E184" s="84"/>
      <c r="F184" s="113"/>
    </row>
    <row r="185" s="307" customFormat="1" customHeight="1" spans="1:6">
      <c r="A185" s="57" t="s">
        <v>979</v>
      </c>
      <c r="B185" s="57" t="s">
        <v>973</v>
      </c>
      <c r="C185" s="194">
        <f>取费表!$E$12</f>
        <v>0.0725</v>
      </c>
      <c r="D185" s="58"/>
      <c r="E185" s="84">
        <f>F174</f>
        <v>5.88498112</v>
      </c>
      <c r="F185" s="113">
        <f t="shared" si="23"/>
        <v>0.4266611312</v>
      </c>
    </row>
    <row r="186" s="307" customFormat="1" customHeight="1" spans="1:6">
      <c r="A186" s="57" t="s">
        <v>162</v>
      </c>
      <c r="B186" s="57" t="s">
        <v>980</v>
      </c>
      <c r="C186" s="194">
        <f>取费表!$F$12</f>
        <v>0.05</v>
      </c>
      <c r="D186" s="58"/>
      <c r="E186" s="84">
        <f>F185+F174</f>
        <v>6.3116422512</v>
      </c>
      <c r="F186" s="113">
        <f t="shared" si="23"/>
        <v>0.31558211256</v>
      </c>
    </row>
    <row r="187" s="307" customFormat="1" customHeight="1" spans="1:6">
      <c r="A187" s="57" t="s">
        <v>214</v>
      </c>
      <c r="B187" s="57" t="s">
        <v>976</v>
      </c>
      <c r="C187" s="195">
        <f>取费表!$G$12</f>
        <v>0.09</v>
      </c>
      <c r="D187" s="58"/>
      <c r="E187" s="84">
        <f>F186+F185+F174</f>
        <v>6.62722436376</v>
      </c>
      <c r="F187" s="113">
        <f t="shared" si="23"/>
        <v>0.5964501927384</v>
      </c>
    </row>
    <row r="188" s="307" customFormat="1" customHeight="1" spans="1:6">
      <c r="A188" s="57"/>
      <c r="B188" s="57" t="s">
        <v>984</v>
      </c>
      <c r="C188" s="195"/>
      <c r="D188" s="58"/>
      <c r="E188" s="84"/>
      <c r="F188" s="113">
        <f>(F174+F185+F186+F187)*取费表!$H$12</f>
        <v>0.216710236694952</v>
      </c>
    </row>
    <row r="189" s="307" customFormat="1" customHeight="1" spans="1:6">
      <c r="A189" s="57"/>
      <c r="B189" s="57" t="s">
        <v>278</v>
      </c>
      <c r="C189" s="58"/>
      <c r="D189" s="58"/>
      <c r="E189" s="57"/>
      <c r="F189" s="113">
        <f>F174+F185+F186+F187+F188</f>
        <v>7.44038479319335</v>
      </c>
    </row>
    <row r="190" s="307" customFormat="1" customHeight="1" spans="1:6">
      <c r="A190" s="175" t="s">
        <v>944</v>
      </c>
      <c r="B190" s="176"/>
      <c r="C190" s="176"/>
      <c r="D190" s="176"/>
      <c r="E190" s="176"/>
      <c r="F190" s="176"/>
    </row>
    <row r="191" s="307" customFormat="1" customHeight="1" spans="1:6">
      <c r="A191" s="205" t="s">
        <v>1008</v>
      </c>
      <c r="B191" s="205"/>
      <c r="C191" s="205"/>
      <c r="D191" s="205"/>
      <c r="E191" s="205"/>
      <c r="F191" s="205"/>
    </row>
    <row r="192" s="307" customFormat="1" customHeight="1" spans="1:6">
      <c r="A192" s="191" t="s">
        <v>1009</v>
      </c>
      <c r="B192" s="191"/>
      <c r="C192" s="168"/>
      <c r="D192" s="168"/>
      <c r="E192" s="191" t="s">
        <v>950</v>
      </c>
      <c r="F192" s="191"/>
    </row>
    <row r="193" s="307" customFormat="1" customHeight="1" spans="1:6">
      <c r="A193" s="117" t="s">
        <v>952</v>
      </c>
      <c r="B193" s="192"/>
      <c r="C193" s="201"/>
      <c r="D193" s="201"/>
      <c r="E193" s="201"/>
      <c r="F193" s="202"/>
    </row>
    <row r="194" s="307" customFormat="1" customHeight="1" spans="1:6">
      <c r="A194" s="57" t="s">
        <v>354</v>
      </c>
      <c r="B194" s="57" t="s">
        <v>956</v>
      </c>
      <c r="C194" s="57" t="s">
        <v>52</v>
      </c>
      <c r="D194" s="57" t="s">
        <v>855</v>
      </c>
      <c r="E194" s="57" t="s">
        <v>53</v>
      </c>
      <c r="F194" s="57" t="s">
        <v>306</v>
      </c>
    </row>
    <row r="195" s="307" customFormat="1" customHeight="1" spans="1:6">
      <c r="A195" s="57" t="s">
        <v>959</v>
      </c>
      <c r="B195" s="57" t="s">
        <v>960</v>
      </c>
      <c r="C195" s="57"/>
      <c r="D195" s="57"/>
      <c r="E195" s="57"/>
      <c r="F195" s="84">
        <f>F196+F204</f>
        <v>5.90451584</v>
      </c>
    </row>
    <row r="196" s="307" customFormat="1" customHeight="1" spans="1:6">
      <c r="A196" s="57" t="s">
        <v>59</v>
      </c>
      <c r="B196" s="57" t="s">
        <v>957</v>
      </c>
      <c r="C196" s="57"/>
      <c r="D196" s="57"/>
      <c r="E196" s="57"/>
      <c r="F196" s="84">
        <f>F197+F200+F202</f>
        <v>5.63408</v>
      </c>
    </row>
    <row r="197" s="307" customFormat="1" customHeight="1" spans="1:6">
      <c r="A197" s="57">
        <v>1</v>
      </c>
      <c r="B197" s="57" t="s">
        <v>964</v>
      </c>
      <c r="C197" s="57" t="s">
        <v>965</v>
      </c>
      <c r="D197" s="113"/>
      <c r="E197" s="92">
        <f>SUM(E198:E199)</f>
        <v>0.76</v>
      </c>
      <c r="F197" s="113">
        <f>SUM(F198:F199)</f>
        <v>5.63408</v>
      </c>
    </row>
    <row r="198" s="307" customFormat="1" customHeight="1" spans="1:6">
      <c r="A198" s="57"/>
      <c r="B198" s="57" t="s">
        <v>966</v>
      </c>
      <c r="C198" s="57" t="s">
        <v>965</v>
      </c>
      <c r="D198" s="113">
        <v>8.1</v>
      </c>
      <c r="E198" s="124">
        <f>0.067*8</f>
        <v>0.536</v>
      </c>
      <c r="F198" s="113">
        <f t="shared" ref="F198:F201" si="24">D198*E198</f>
        <v>4.3416</v>
      </c>
    </row>
    <row r="199" s="307" customFormat="1" customHeight="1" spans="1:6">
      <c r="A199" s="57"/>
      <c r="B199" s="57" t="s">
        <v>968</v>
      </c>
      <c r="C199" s="57" t="s">
        <v>965</v>
      </c>
      <c r="D199" s="113">
        <v>5.77</v>
      </c>
      <c r="E199" s="124">
        <f>0.028*8</f>
        <v>0.224</v>
      </c>
      <c r="F199" s="113">
        <f t="shared" si="24"/>
        <v>1.29248</v>
      </c>
    </row>
    <row r="200" s="307" customFormat="1" customHeight="1" spans="1:6">
      <c r="A200" s="57">
        <v>2</v>
      </c>
      <c r="B200" s="57" t="s">
        <v>967</v>
      </c>
      <c r="C200" s="57"/>
      <c r="D200" s="113"/>
      <c r="E200" s="124"/>
      <c r="F200" s="113">
        <f>F201</f>
        <v>0</v>
      </c>
    </row>
    <row r="201" s="307" customFormat="1" customHeight="1" spans="1:6">
      <c r="A201" s="57"/>
      <c r="B201" s="57" t="s">
        <v>1010</v>
      </c>
      <c r="C201" s="57" t="s">
        <v>182</v>
      </c>
      <c r="D201" s="113"/>
      <c r="E201" s="124">
        <v>10.5</v>
      </c>
      <c r="F201" s="113">
        <f t="shared" si="24"/>
        <v>0</v>
      </c>
    </row>
    <row r="202" s="307" customFormat="1" customHeight="1" spans="1:6">
      <c r="A202" s="57">
        <v>3</v>
      </c>
      <c r="B202" s="57" t="s">
        <v>974</v>
      </c>
      <c r="C202" s="57"/>
      <c r="D202" s="57"/>
      <c r="E202" s="57"/>
      <c r="F202" s="113">
        <v>0</v>
      </c>
    </row>
    <row r="203" s="307" customFormat="1" customHeight="1" spans="1:6">
      <c r="A203" s="57"/>
      <c r="B203" s="57"/>
      <c r="C203" s="59"/>
      <c r="D203" s="84"/>
      <c r="E203" s="57"/>
      <c r="F203" s="113"/>
    </row>
    <row r="204" s="307" customFormat="1" customHeight="1" spans="1:6">
      <c r="A204" s="57" t="s">
        <v>70</v>
      </c>
      <c r="B204" s="57" t="s">
        <v>977</v>
      </c>
      <c r="C204" s="194">
        <f>取费表!$C$12</f>
        <v>0.048</v>
      </c>
      <c r="D204" s="58"/>
      <c r="E204" s="84">
        <f>F196</f>
        <v>5.63408</v>
      </c>
      <c r="F204" s="113">
        <f t="shared" ref="F204:F208" si="25">E204*C204</f>
        <v>0.27043584</v>
      </c>
    </row>
    <row r="205" s="307" customFormat="1" customHeight="1" spans="1:6">
      <c r="A205" s="57"/>
      <c r="B205" s="57"/>
      <c r="C205" s="194"/>
      <c r="D205" s="58"/>
      <c r="E205" s="84"/>
      <c r="F205" s="113"/>
    </row>
    <row r="206" s="307" customFormat="1" customHeight="1" spans="1:6">
      <c r="A206" s="57" t="s">
        <v>979</v>
      </c>
      <c r="B206" s="57" t="s">
        <v>973</v>
      </c>
      <c r="C206" s="194">
        <f>取费表!$E$12</f>
        <v>0.0725</v>
      </c>
      <c r="D206" s="58"/>
      <c r="E206" s="84">
        <f>F195</f>
        <v>5.90451584</v>
      </c>
      <c r="F206" s="113">
        <f t="shared" si="25"/>
        <v>0.4280773984</v>
      </c>
    </row>
    <row r="207" s="307" customFormat="1" customHeight="1" spans="1:6">
      <c r="A207" s="57" t="s">
        <v>162</v>
      </c>
      <c r="B207" s="57" t="s">
        <v>980</v>
      </c>
      <c r="C207" s="194">
        <f>取费表!$F$12</f>
        <v>0.05</v>
      </c>
      <c r="D207" s="58"/>
      <c r="E207" s="84">
        <f>F206+F195</f>
        <v>6.3325932384</v>
      </c>
      <c r="F207" s="113">
        <f t="shared" si="25"/>
        <v>0.31662966192</v>
      </c>
    </row>
    <row r="208" s="307" customFormat="1" customHeight="1" spans="1:6">
      <c r="A208" s="57" t="s">
        <v>214</v>
      </c>
      <c r="B208" s="57" t="s">
        <v>976</v>
      </c>
      <c r="C208" s="195">
        <f>取费表!$G$12</f>
        <v>0.09</v>
      </c>
      <c r="D208" s="58"/>
      <c r="E208" s="84">
        <f>F207+F206+F195</f>
        <v>6.64922290032</v>
      </c>
      <c r="F208" s="113">
        <f t="shared" si="25"/>
        <v>0.5984300610288</v>
      </c>
    </row>
    <row r="209" s="307" customFormat="1" customHeight="1" spans="1:6">
      <c r="A209" s="57"/>
      <c r="B209" s="57" t="s">
        <v>984</v>
      </c>
      <c r="C209" s="195"/>
      <c r="D209" s="58"/>
      <c r="E209" s="84"/>
      <c r="F209" s="113">
        <f>(F195+F206+F207+F208)*取费表!$H$12</f>
        <v>0.217429588840464</v>
      </c>
    </row>
    <row r="210" s="307" customFormat="1" customHeight="1" spans="1:6">
      <c r="A210" s="57"/>
      <c r="B210" s="57" t="s">
        <v>278</v>
      </c>
      <c r="C210" s="58"/>
      <c r="D210" s="58"/>
      <c r="E210" s="57"/>
      <c r="F210" s="113">
        <f>F195+F206+F207+F208+F209</f>
        <v>7.46508255018926</v>
      </c>
    </row>
    <row r="211" s="307" customFormat="1" customHeight="1" spans="1:6">
      <c r="A211" s="175" t="s">
        <v>944</v>
      </c>
      <c r="B211" s="176"/>
      <c r="C211" s="176"/>
      <c r="D211" s="176"/>
      <c r="E211" s="176"/>
      <c r="F211" s="176"/>
    </row>
    <row r="212" s="307" customFormat="1" customHeight="1" spans="1:6">
      <c r="A212" s="205" t="s">
        <v>1011</v>
      </c>
      <c r="B212" s="205"/>
      <c r="C212" s="205"/>
      <c r="D212" s="205"/>
      <c r="E212" s="205"/>
      <c r="F212" s="205"/>
    </row>
    <row r="213" s="307" customFormat="1" customHeight="1" spans="1:6">
      <c r="A213" s="191" t="s">
        <v>1009</v>
      </c>
      <c r="B213" s="191"/>
      <c r="C213" s="168"/>
      <c r="D213" s="168"/>
      <c r="E213" s="191" t="s">
        <v>950</v>
      </c>
      <c r="F213" s="191"/>
    </row>
    <row r="214" s="307" customFormat="1" customHeight="1" spans="1:6">
      <c r="A214" s="117" t="s">
        <v>952</v>
      </c>
      <c r="B214" s="192"/>
      <c r="C214" s="201"/>
      <c r="D214" s="201"/>
      <c r="E214" s="201"/>
      <c r="F214" s="202"/>
    </row>
    <row r="215" s="307" customFormat="1" customHeight="1" spans="1:6">
      <c r="A215" s="57" t="s">
        <v>354</v>
      </c>
      <c r="B215" s="57" t="s">
        <v>956</v>
      </c>
      <c r="C215" s="57" t="s">
        <v>52</v>
      </c>
      <c r="D215" s="57" t="s">
        <v>855</v>
      </c>
      <c r="E215" s="57" t="s">
        <v>53</v>
      </c>
      <c r="F215" s="57" t="s">
        <v>306</v>
      </c>
    </row>
    <row r="216" s="307" customFormat="1" customHeight="1" spans="1:6">
      <c r="A216" s="57" t="s">
        <v>959</v>
      </c>
      <c r="B216" s="57" t="s">
        <v>960</v>
      </c>
      <c r="C216" s="57"/>
      <c r="D216" s="57"/>
      <c r="E216" s="57"/>
      <c r="F216" s="84">
        <f>F217+F225</f>
        <v>5.90451584</v>
      </c>
    </row>
    <row r="217" s="307" customFormat="1" customHeight="1" spans="1:6">
      <c r="A217" s="57" t="s">
        <v>59</v>
      </c>
      <c r="B217" s="57" t="s">
        <v>957</v>
      </c>
      <c r="C217" s="57"/>
      <c r="D217" s="57"/>
      <c r="E217" s="57"/>
      <c r="F217" s="84">
        <f>F218+F221+F223</f>
        <v>5.63408</v>
      </c>
    </row>
    <row r="218" s="307" customFormat="1" customHeight="1" spans="1:6">
      <c r="A218" s="57">
        <v>1</v>
      </c>
      <c r="B218" s="57" t="s">
        <v>964</v>
      </c>
      <c r="C218" s="57" t="s">
        <v>965</v>
      </c>
      <c r="D218" s="113"/>
      <c r="E218" s="92">
        <f>SUM(E219:E220)</f>
        <v>0.76</v>
      </c>
      <c r="F218" s="113">
        <f>SUM(F219:F220)</f>
        <v>5.63408</v>
      </c>
    </row>
    <row r="219" s="307" customFormat="1" customHeight="1" spans="1:6">
      <c r="A219" s="57"/>
      <c r="B219" s="57" t="s">
        <v>966</v>
      </c>
      <c r="C219" s="57" t="s">
        <v>965</v>
      </c>
      <c r="D219" s="113">
        <v>8.1</v>
      </c>
      <c r="E219" s="124">
        <f>0.067*8</f>
        <v>0.536</v>
      </c>
      <c r="F219" s="113">
        <f t="shared" ref="F219:F222" si="26">D219*E219</f>
        <v>4.3416</v>
      </c>
    </row>
    <row r="220" s="307" customFormat="1" customHeight="1" spans="1:6">
      <c r="A220" s="57"/>
      <c r="B220" s="57" t="s">
        <v>968</v>
      </c>
      <c r="C220" s="57" t="s">
        <v>965</v>
      </c>
      <c r="D220" s="113">
        <v>5.77</v>
      </c>
      <c r="E220" s="124">
        <f>0.028*8</f>
        <v>0.224</v>
      </c>
      <c r="F220" s="113">
        <f t="shared" si="26"/>
        <v>1.29248</v>
      </c>
    </row>
    <row r="221" s="307" customFormat="1" customHeight="1" spans="1:6">
      <c r="A221" s="57">
        <v>2</v>
      </c>
      <c r="B221" s="57" t="s">
        <v>967</v>
      </c>
      <c r="C221" s="57"/>
      <c r="D221" s="113"/>
      <c r="E221" s="124"/>
      <c r="F221" s="113">
        <f>F222</f>
        <v>0</v>
      </c>
    </row>
    <row r="222" s="307" customFormat="1" customHeight="1" spans="1:6">
      <c r="A222" s="57"/>
      <c r="B222" s="57" t="s">
        <v>1012</v>
      </c>
      <c r="C222" s="57" t="s">
        <v>182</v>
      </c>
      <c r="D222" s="113"/>
      <c r="E222" s="124">
        <v>10.5</v>
      </c>
      <c r="F222" s="113">
        <f t="shared" si="26"/>
        <v>0</v>
      </c>
    </row>
    <row r="223" s="307" customFormat="1" customHeight="1" spans="1:6">
      <c r="A223" s="57">
        <v>3</v>
      </c>
      <c r="B223" s="57" t="s">
        <v>974</v>
      </c>
      <c r="C223" s="57"/>
      <c r="D223" s="57"/>
      <c r="E223" s="57"/>
      <c r="F223" s="113">
        <v>0</v>
      </c>
    </row>
    <row r="224" s="307" customFormat="1" customHeight="1" spans="1:6">
      <c r="A224" s="57"/>
      <c r="B224" s="57"/>
      <c r="C224" s="59"/>
      <c r="D224" s="84"/>
      <c r="E224" s="57"/>
      <c r="F224" s="113"/>
    </row>
    <row r="225" s="307" customFormat="1" customHeight="1" spans="1:6">
      <c r="A225" s="57" t="s">
        <v>70</v>
      </c>
      <c r="B225" s="57" t="s">
        <v>977</v>
      </c>
      <c r="C225" s="194">
        <f>取费表!$C$12</f>
        <v>0.048</v>
      </c>
      <c r="D225" s="58"/>
      <c r="E225" s="84">
        <f>F217</f>
        <v>5.63408</v>
      </c>
      <c r="F225" s="113">
        <f t="shared" ref="F225:F229" si="27">E225*C225</f>
        <v>0.27043584</v>
      </c>
    </row>
    <row r="226" s="307" customFormat="1" customHeight="1" spans="1:6">
      <c r="A226" s="57"/>
      <c r="B226" s="57"/>
      <c r="C226" s="194"/>
      <c r="D226" s="58"/>
      <c r="E226" s="84"/>
      <c r="F226" s="113"/>
    </row>
    <row r="227" s="307" customFormat="1" customHeight="1" spans="1:6">
      <c r="A227" s="57" t="s">
        <v>979</v>
      </c>
      <c r="B227" s="57" t="s">
        <v>973</v>
      </c>
      <c r="C227" s="194">
        <f>取费表!$E$12</f>
        <v>0.0725</v>
      </c>
      <c r="D227" s="58"/>
      <c r="E227" s="84">
        <f>F216</f>
        <v>5.90451584</v>
      </c>
      <c r="F227" s="113">
        <f t="shared" si="27"/>
        <v>0.4280773984</v>
      </c>
    </row>
    <row r="228" s="307" customFormat="1" customHeight="1" spans="1:6">
      <c r="A228" s="57" t="s">
        <v>162</v>
      </c>
      <c r="B228" s="57" t="s">
        <v>980</v>
      </c>
      <c r="C228" s="194">
        <f>取费表!$F$12</f>
        <v>0.05</v>
      </c>
      <c r="D228" s="58"/>
      <c r="E228" s="84">
        <f>F227+F216</f>
        <v>6.3325932384</v>
      </c>
      <c r="F228" s="113">
        <f t="shared" si="27"/>
        <v>0.31662966192</v>
      </c>
    </row>
    <row r="229" s="307" customFormat="1" customHeight="1" spans="1:6">
      <c r="A229" s="57" t="s">
        <v>214</v>
      </c>
      <c r="B229" s="57" t="s">
        <v>976</v>
      </c>
      <c r="C229" s="195">
        <f>取费表!$G$12</f>
        <v>0.09</v>
      </c>
      <c r="D229" s="58"/>
      <c r="E229" s="84">
        <f>F228+F227+F216</f>
        <v>6.64922290032</v>
      </c>
      <c r="F229" s="113">
        <f t="shared" si="27"/>
        <v>0.5984300610288</v>
      </c>
    </row>
    <row r="230" s="307" customFormat="1" customHeight="1" spans="1:6">
      <c r="A230" s="57"/>
      <c r="B230" s="57" t="s">
        <v>984</v>
      </c>
      <c r="C230" s="195"/>
      <c r="D230" s="58"/>
      <c r="E230" s="84"/>
      <c r="F230" s="113">
        <f>(F216+F227+F228+F229)*取费表!$H$12</f>
        <v>0.217429588840464</v>
      </c>
    </row>
    <row r="231" s="307" customFormat="1" customHeight="1" spans="1:6">
      <c r="A231" s="57"/>
      <c r="B231" s="57" t="s">
        <v>278</v>
      </c>
      <c r="C231" s="58"/>
      <c r="D231" s="58"/>
      <c r="E231" s="57"/>
      <c r="F231" s="113">
        <f>F216+F227+F228+F229+F230</f>
        <v>7.46508255018926</v>
      </c>
    </row>
    <row r="232" s="307" customFormat="1" customHeight="1" spans="1:6">
      <c r="A232" s="175" t="s">
        <v>944</v>
      </c>
      <c r="B232" s="176"/>
      <c r="C232" s="176"/>
      <c r="D232" s="176"/>
      <c r="E232" s="176"/>
      <c r="F232" s="176"/>
    </row>
    <row r="233" s="307" customFormat="1" customHeight="1" spans="1:6">
      <c r="A233" s="205" t="s">
        <v>1013</v>
      </c>
      <c r="B233" s="205"/>
      <c r="C233" s="205"/>
      <c r="D233" s="205"/>
      <c r="E233" s="205"/>
      <c r="F233" s="205"/>
    </row>
    <row r="234" s="307" customFormat="1" customHeight="1" spans="1:6">
      <c r="A234" s="191" t="s">
        <v>1014</v>
      </c>
      <c r="B234" s="191"/>
      <c r="C234" s="168"/>
      <c r="D234" s="168"/>
      <c r="E234" s="191" t="s">
        <v>1015</v>
      </c>
      <c r="F234" s="191"/>
    </row>
    <row r="235" s="307" customFormat="1" customHeight="1" spans="1:6">
      <c r="A235" s="117" t="s">
        <v>952</v>
      </c>
      <c r="B235" s="192"/>
      <c r="C235" s="201"/>
      <c r="D235" s="201"/>
      <c r="E235" s="201"/>
      <c r="F235" s="202"/>
    </row>
    <row r="236" s="307" customFormat="1" customHeight="1" spans="1:6">
      <c r="A236" s="57" t="s">
        <v>354</v>
      </c>
      <c r="B236" s="57" t="s">
        <v>956</v>
      </c>
      <c r="C236" s="57" t="s">
        <v>52</v>
      </c>
      <c r="D236" s="57" t="s">
        <v>855</v>
      </c>
      <c r="E236" s="57" t="s">
        <v>53</v>
      </c>
      <c r="F236" s="57" t="s">
        <v>306</v>
      </c>
    </row>
    <row r="237" s="307" customFormat="1" customHeight="1" spans="1:6">
      <c r="A237" s="57" t="s">
        <v>959</v>
      </c>
      <c r="B237" s="57" t="s">
        <v>960</v>
      </c>
      <c r="C237" s="57"/>
      <c r="D237" s="57"/>
      <c r="E237" s="57"/>
      <c r="F237" s="88">
        <f>F238+F247</f>
        <v>0.1227678028</v>
      </c>
    </row>
    <row r="238" s="307" customFormat="1" customHeight="1" spans="1:6">
      <c r="A238" s="57" t="s">
        <v>59</v>
      </c>
      <c r="B238" s="57" t="s">
        <v>957</v>
      </c>
      <c r="C238" s="57"/>
      <c r="D238" s="57"/>
      <c r="E238" s="57"/>
      <c r="F238" s="88">
        <f>F239+F242+F245</f>
        <v>0.11714485</v>
      </c>
    </row>
    <row r="239" s="307" customFormat="1" customHeight="1" spans="1:6">
      <c r="A239" s="57">
        <v>1</v>
      </c>
      <c r="B239" s="57" t="s">
        <v>964</v>
      </c>
      <c r="C239" s="57" t="s">
        <v>965</v>
      </c>
      <c r="D239" s="113"/>
      <c r="E239" s="92">
        <f>SUM(E240:E241)</f>
        <v>0.0144</v>
      </c>
      <c r="F239" s="88">
        <f>SUM(F240:F241)</f>
        <v>0.1065744</v>
      </c>
    </row>
    <row r="240" s="307" customFormat="1" customHeight="1" spans="1:6">
      <c r="A240" s="57"/>
      <c r="B240" s="57" t="s">
        <v>966</v>
      </c>
      <c r="C240" s="57" t="s">
        <v>965</v>
      </c>
      <c r="D240" s="113">
        <v>8.1</v>
      </c>
      <c r="E240" s="124">
        <f>(0.432+0.072)*8/400</f>
        <v>0.01008</v>
      </c>
      <c r="F240" s="88">
        <f t="shared" ref="F240:F244" si="28">D240*E240</f>
        <v>0.081648</v>
      </c>
    </row>
    <row r="241" s="307" customFormat="1" customHeight="1" spans="1:6">
      <c r="A241" s="57"/>
      <c r="B241" s="57" t="s">
        <v>968</v>
      </c>
      <c r="C241" s="57" t="s">
        <v>965</v>
      </c>
      <c r="D241" s="113">
        <v>5.77</v>
      </c>
      <c r="E241" s="88">
        <f>0.216*8/400</f>
        <v>0.00432</v>
      </c>
      <c r="F241" s="88">
        <f t="shared" si="28"/>
        <v>0.0249264</v>
      </c>
    </row>
    <row r="242" s="307" customFormat="1" customHeight="1" spans="1:6">
      <c r="A242" s="57">
        <v>2</v>
      </c>
      <c r="B242" s="57" t="s">
        <v>967</v>
      </c>
      <c r="C242" s="57"/>
      <c r="D242" s="113"/>
      <c r="E242" s="88"/>
      <c r="F242" s="88">
        <f>SUM(F243:F244)</f>
        <v>0.00150945</v>
      </c>
    </row>
    <row r="243" s="307" customFormat="1" customHeight="1" spans="1:6">
      <c r="A243" s="57"/>
      <c r="B243" s="57" t="s">
        <v>1016</v>
      </c>
      <c r="C243" s="57" t="s">
        <v>184</v>
      </c>
      <c r="D243" s="113">
        <v>4.66</v>
      </c>
      <c r="E243" s="88">
        <f>0.033/400</f>
        <v>8.25e-5</v>
      </c>
      <c r="F243" s="88">
        <f t="shared" si="28"/>
        <v>0.00038445</v>
      </c>
    </row>
    <row r="244" s="307" customFormat="1" customHeight="1" spans="1:6">
      <c r="A244" s="57"/>
      <c r="B244" s="57" t="s">
        <v>1017</v>
      </c>
      <c r="C244" s="57" t="s">
        <v>184</v>
      </c>
      <c r="D244" s="113">
        <v>50</v>
      </c>
      <c r="E244" s="88">
        <f>0.009/400</f>
        <v>2.25e-5</v>
      </c>
      <c r="F244" s="88">
        <f t="shared" si="28"/>
        <v>0.001125</v>
      </c>
    </row>
    <row r="245" s="307" customFormat="1" customHeight="1" spans="1:6">
      <c r="A245" s="57">
        <v>3</v>
      </c>
      <c r="B245" s="57" t="s">
        <v>974</v>
      </c>
      <c r="C245" s="57"/>
      <c r="D245" s="57"/>
      <c r="E245" s="88"/>
      <c r="F245" s="88">
        <f>F246</f>
        <v>0.009061</v>
      </c>
    </row>
    <row r="246" s="307" customFormat="1" customHeight="1" spans="1:6">
      <c r="A246" s="57"/>
      <c r="B246" s="57" t="s">
        <v>1018</v>
      </c>
      <c r="C246" s="57" t="s">
        <v>405</v>
      </c>
      <c r="D246" s="84">
        <v>362.44</v>
      </c>
      <c r="E246" s="88">
        <f>0.01/400</f>
        <v>2.5e-5</v>
      </c>
      <c r="F246" s="88">
        <f>D246*E246</f>
        <v>0.009061</v>
      </c>
    </row>
    <row r="247" s="307" customFormat="1" customHeight="1" spans="1:6">
      <c r="A247" s="57" t="s">
        <v>70</v>
      </c>
      <c r="B247" s="57" t="s">
        <v>977</v>
      </c>
      <c r="C247" s="194">
        <f>取费表!$C$12</f>
        <v>0.048</v>
      </c>
      <c r="D247" s="58"/>
      <c r="E247" s="84">
        <f>F238</f>
        <v>0.11714485</v>
      </c>
      <c r="F247" s="88">
        <f t="shared" ref="F247:F251" si="29">E247*C247</f>
        <v>0.0056229528</v>
      </c>
    </row>
    <row r="248" s="307" customFormat="1" customHeight="1" spans="1:6">
      <c r="A248" s="57"/>
      <c r="B248" s="57"/>
      <c r="C248" s="194"/>
      <c r="D248" s="58"/>
      <c r="E248" s="84"/>
      <c r="F248" s="88"/>
    </row>
    <row r="249" s="307" customFormat="1" customHeight="1" spans="1:6">
      <c r="A249" s="57" t="s">
        <v>979</v>
      </c>
      <c r="B249" s="57" t="s">
        <v>973</v>
      </c>
      <c r="C249" s="194">
        <f>取费表!$E$12</f>
        <v>0.0725</v>
      </c>
      <c r="D249" s="58"/>
      <c r="E249" s="84">
        <f>F237</f>
        <v>0.1227678028</v>
      </c>
      <c r="F249" s="88">
        <f t="shared" si="29"/>
        <v>0.008900665703</v>
      </c>
    </row>
    <row r="250" s="307" customFormat="1" customHeight="1" spans="1:6">
      <c r="A250" s="57" t="s">
        <v>162</v>
      </c>
      <c r="B250" s="57" t="s">
        <v>980</v>
      </c>
      <c r="C250" s="194">
        <f>取费表!$F$12</f>
        <v>0.05</v>
      </c>
      <c r="D250" s="58"/>
      <c r="E250" s="84">
        <f>F249+F237</f>
        <v>0.131668468503</v>
      </c>
      <c r="F250" s="88">
        <f t="shared" si="29"/>
        <v>0.00658342342515</v>
      </c>
    </row>
    <row r="251" s="307" customFormat="1" customHeight="1" spans="1:6">
      <c r="A251" s="57" t="s">
        <v>214</v>
      </c>
      <c r="B251" s="57" t="s">
        <v>976</v>
      </c>
      <c r="C251" s="195">
        <f>取费表!$G$12</f>
        <v>0.09</v>
      </c>
      <c r="D251" s="58"/>
      <c r="E251" s="84">
        <f>F250+F249+F237</f>
        <v>0.13825189192815</v>
      </c>
      <c r="F251" s="88">
        <f t="shared" si="29"/>
        <v>0.0124426702735335</v>
      </c>
    </row>
    <row r="252" s="307" customFormat="1" customHeight="1" spans="1:6">
      <c r="A252" s="57"/>
      <c r="B252" s="57" t="s">
        <v>984</v>
      </c>
      <c r="C252" s="195"/>
      <c r="D252" s="58"/>
      <c r="E252" s="84"/>
      <c r="F252" s="88">
        <f>(F237+F249+F250+F251)*取费表!$H$12</f>
        <v>0.0045208368660505</v>
      </c>
    </row>
    <row r="253" s="307" customFormat="1" customHeight="1" spans="1:6">
      <c r="A253" s="57"/>
      <c r="B253" s="57" t="s">
        <v>278</v>
      </c>
      <c r="C253" s="58"/>
      <c r="D253" s="58"/>
      <c r="E253" s="57"/>
      <c r="F253" s="113">
        <f>F237+F249+F250+F251+F252</f>
        <v>0.155215399067734</v>
      </c>
    </row>
    <row r="254" s="307" customFormat="1" customHeight="1" spans="1:6">
      <c r="A254" s="175" t="s">
        <v>944</v>
      </c>
      <c r="B254" s="176"/>
      <c r="C254" s="176"/>
      <c r="D254" s="176"/>
      <c r="E254" s="176"/>
      <c r="F254" s="176"/>
    </row>
    <row r="255" s="307" customFormat="1" customHeight="1" spans="1:6">
      <c r="A255" s="205" t="s">
        <v>1019</v>
      </c>
      <c r="B255" s="205"/>
      <c r="C255" s="205"/>
      <c r="D255" s="205"/>
      <c r="E255" s="205"/>
      <c r="F255" s="205"/>
    </row>
    <row r="256" s="307" customFormat="1" customHeight="1" spans="1:6">
      <c r="A256" s="191" t="s">
        <v>1020</v>
      </c>
      <c r="B256" s="191"/>
      <c r="C256" s="168"/>
      <c r="D256" s="168"/>
      <c r="E256" s="191" t="s">
        <v>1001</v>
      </c>
      <c r="F256" s="191"/>
    </row>
    <row r="257" s="307" customFormat="1" customHeight="1" spans="1:6">
      <c r="A257" s="117" t="s">
        <v>952</v>
      </c>
      <c r="B257" s="192"/>
      <c r="C257" s="201"/>
      <c r="D257" s="201"/>
      <c r="E257" s="201"/>
      <c r="F257" s="202"/>
    </row>
    <row r="258" s="307" customFormat="1" customHeight="1" spans="1:6">
      <c r="A258" s="57" t="s">
        <v>354</v>
      </c>
      <c r="B258" s="57" t="s">
        <v>956</v>
      </c>
      <c r="C258" s="57" t="s">
        <v>52</v>
      </c>
      <c r="D258" s="57" t="s">
        <v>855</v>
      </c>
      <c r="E258" s="57" t="s">
        <v>53</v>
      </c>
      <c r="F258" s="57" t="s">
        <v>306</v>
      </c>
    </row>
    <row r="259" s="307" customFormat="1" customHeight="1" spans="1:6">
      <c r="A259" s="57" t="s">
        <v>959</v>
      </c>
      <c r="B259" s="57" t="s">
        <v>960</v>
      </c>
      <c r="C259" s="57"/>
      <c r="D259" s="57"/>
      <c r="E259" s="57"/>
      <c r="F259" s="84">
        <f>F260+F269</f>
        <v>116.91982656</v>
      </c>
    </row>
    <row r="260" s="307" customFormat="1" customHeight="1" spans="1:6">
      <c r="A260" s="57" t="s">
        <v>59</v>
      </c>
      <c r="B260" s="57" t="s">
        <v>957</v>
      </c>
      <c r="C260" s="57"/>
      <c r="D260" s="57"/>
      <c r="E260" s="57"/>
      <c r="F260" s="84">
        <f>F261+F264+F267</f>
        <v>111.56472</v>
      </c>
    </row>
    <row r="261" s="307" customFormat="1" customHeight="1" spans="1:6">
      <c r="A261" s="57">
        <v>1</v>
      </c>
      <c r="B261" s="57" t="s">
        <v>964</v>
      </c>
      <c r="C261" s="57" t="s">
        <v>965</v>
      </c>
      <c r="D261" s="113"/>
      <c r="E261" s="92">
        <f>SUM(E262:E263)</f>
        <v>14.72</v>
      </c>
      <c r="F261" s="113">
        <f>SUM(F262:F263)</f>
        <v>108.94272</v>
      </c>
    </row>
    <row r="262" s="307" customFormat="1" customHeight="1" spans="1:6">
      <c r="A262" s="57"/>
      <c r="B262" s="57" t="s">
        <v>966</v>
      </c>
      <c r="C262" s="57" t="s">
        <v>965</v>
      </c>
      <c r="D262" s="113">
        <v>8.1</v>
      </c>
      <c r="E262" s="124">
        <f>1.288*8</f>
        <v>10.304</v>
      </c>
      <c r="F262" s="113">
        <f t="shared" ref="F262:F266" si="30">D262*E262</f>
        <v>83.4624</v>
      </c>
    </row>
    <row r="263" s="307" customFormat="1" customHeight="1" spans="1:6">
      <c r="A263" s="57"/>
      <c r="B263" s="57" t="s">
        <v>968</v>
      </c>
      <c r="C263" s="57" t="s">
        <v>965</v>
      </c>
      <c r="D263" s="113">
        <v>5.77</v>
      </c>
      <c r="E263" s="124">
        <f>0.552*8</f>
        <v>4.416</v>
      </c>
      <c r="F263" s="113">
        <f t="shared" si="30"/>
        <v>25.48032</v>
      </c>
    </row>
    <row r="264" s="307" customFormat="1" customHeight="1" spans="1:6">
      <c r="A264" s="57">
        <v>2</v>
      </c>
      <c r="B264" s="57" t="s">
        <v>967</v>
      </c>
      <c r="C264" s="57"/>
      <c r="D264" s="113"/>
      <c r="E264" s="124"/>
      <c r="F264" s="113">
        <f>SUM(F265:F266)</f>
        <v>2.622</v>
      </c>
    </row>
    <row r="265" s="307" customFormat="1" customHeight="1" spans="1:6">
      <c r="A265" s="57"/>
      <c r="B265" s="57" t="s">
        <v>1021</v>
      </c>
      <c r="C265" s="57" t="s">
        <v>175</v>
      </c>
      <c r="D265" s="113"/>
      <c r="E265" s="124">
        <v>10.1</v>
      </c>
      <c r="F265" s="113">
        <f t="shared" si="30"/>
        <v>0</v>
      </c>
    </row>
    <row r="266" s="307" customFormat="1" customHeight="1" spans="1:6">
      <c r="A266" s="57"/>
      <c r="B266" s="57" t="s">
        <v>1022</v>
      </c>
      <c r="C266" s="57" t="s">
        <v>1023</v>
      </c>
      <c r="D266" s="113">
        <f>材料预算价!$K$14</f>
        <v>4.37</v>
      </c>
      <c r="E266" s="124">
        <v>0.6</v>
      </c>
      <c r="F266" s="113">
        <f t="shared" si="30"/>
        <v>2.622</v>
      </c>
    </row>
    <row r="267" s="307" customFormat="1" customHeight="1" spans="1:6">
      <c r="A267" s="57">
        <v>3</v>
      </c>
      <c r="B267" s="57" t="s">
        <v>974</v>
      </c>
      <c r="C267" s="57"/>
      <c r="D267" s="57"/>
      <c r="E267" s="57"/>
      <c r="F267" s="113">
        <v>0</v>
      </c>
    </row>
    <row r="268" s="307" customFormat="1" customHeight="1" spans="1:6">
      <c r="A268" s="57"/>
      <c r="B268" s="57"/>
      <c r="C268" s="59"/>
      <c r="D268" s="84"/>
      <c r="E268" s="57"/>
      <c r="F268" s="113"/>
    </row>
    <row r="269" s="307" customFormat="1" customHeight="1" spans="1:6">
      <c r="A269" s="57" t="s">
        <v>70</v>
      </c>
      <c r="B269" s="57" t="s">
        <v>977</v>
      </c>
      <c r="C269" s="194">
        <f>取费表!$C$12</f>
        <v>0.048</v>
      </c>
      <c r="D269" s="58"/>
      <c r="E269" s="84">
        <f>F260</f>
        <v>111.56472</v>
      </c>
      <c r="F269" s="113">
        <f t="shared" ref="F269:F273" si="31">E269*C269</f>
        <v>5.35510656</v>
      </c>
    </row>
    <row r="270" s="307" customFormat="1" customHeight="1" spans="1:6">
      <c r="A270" s="57"/>
      <c r="B270" s="57"/>
      <c r="C270" s="194"/>
      <c r="D270" s="58"/>
      <c r="E270" s="84"/>
      <c r="F270" s="113"/>
    </row>
    <row r="271" s="307" customFormat="1" customHeight="1" spans="1:6">
      <c r="A271" s="57" t="s">
        <v>979</v>
      </c>
      <c r="B271" s="57" t="s">
        <v>973</v>
      </c>
      <c r="C271" s="194">
        <f>取费表!$E$12</f>
        <v>0.0725</v>
      </c>
      <c r="D271" s="58"/>
      <c r="E271" s="84">
        <f>F259</f>
        <v>116.91982656</v>
      </c>
      <c r="F271" s="113">
        <f t="shared" si="31"/>
        <v>8.4766874256</v>
      </c>
    </row>
    <row r="272" s="307" customFormat="1" customHeight="1" spans="1:6">
      <c r="A272" s="57" t="s">
        <v>162</v>
      </c>
      <c r="B272" s="57" t="s">
        <v>980</v>
      </c>
      <c r="C272" s="194">
        <f>取费表!$F$12</f>
        <v>0.05</v>
      </c>
      <c r="D272" s="58"/>
      <c r="E272" s="84">
        <f>F271+F259</f>
        <v>125.3965139856</v>
      </c>
      <c r="F272" s="113">
        <f t="shared" si="31"/>
        <v>6.26982569928</v>
      </c>
    </row>
    <row r="273" s="307" customFormat="1" customHeight="1" spans="1:6">
      <c r="A273" s="57" t="s">
        <v>214</v>
      </c>
      <c r="B273" s="57" t="s">
        <v>976</v>
      </c>
      <c r="C273" s="195">
        <f>取费表!$G$12</f>
        <v>0.09</v>
      </c>
      <c r="D273" s="58"/>
      <c r="E273" s="84">
        <f>F272+F271+F259</f>
        <v>131.66633968488</v>
      </c>
      <c r="F273" s="113">
        <f t="shared" si="31"/>
        <v>11.8499705716392</v>
      </c>
    </row>
    <row r="274" s="307" customFormat="1" customHeight="1" spans="1:6">
      <c r="A274" s="57"/>
      <c r="B274" s="57" t="s">
        <v>984</v>
      </c>
      <c r="C274" s="195"/>
      <c r="D274" s="58"/>
      <c r="E274" s="84"/>
      <c r="F274" s="113">
        <f>(F259+F271+F272+F273)*取费表!$H$12</f>
        <v>4.30548930769558</v>
      </c>
    </row>
    <row r="275" s="307" customFormat="1" customHeight="1" spans="1:6">
      <c r="A275" s="57"/>
      <c r="B275" s="57" t="s">
        <v>278</v>
      </c>
      <c r="C275" s="58"/>
      <c r="D275" s="58"/>
      <c r="E275" s="57"/>
      <c r="F275" s="113">
        <f>F259+F271+F272+F273+F274</f>
        <v>147.821799564215</v>
      </c>
    </row>
    <row r="276" s="307" customFormat="1" customHeight="1" spans="1:6">
      <c r="A276" s="175" t="s">
        <v>944</v>
      </c>
      <c r="B276" s="176"/>
      <c r="C276" s="176"/>
      <c r="D276" s="176"/>
      <c r="E276" s="176"/>
      <c r="F276" s="176"/>
    </row>
    <row r="277" s="307" customFormat="1" customHeight="1" spans="1:6">
      <c r="A277" s="205" t="s">
        <v>1024</v>
      </c>
      <c r="B277" s="205"/>
      <c r="C277" s="205"/>
      <c r="D277" s="205"/>
      <c r="E277" s="205"/>
      <c r="F277" s="205"/>
    </row>
    <row r="278" s="307" customFormat="1" customHeight="1" spans="1:6">
      <c r="A278" s="191" t="s">
        <v>1020</v>
      </c>
      <c r="B278" s="191"/>
      <c r="C278" s="168"/>
      <c r="D278" s="168"/>
      <c r="E278" s="191" t="s">
        <v>1001</v>
      </c>
      <c r="F278" s="191"/>
    </row>
    <row r="279" s="307" customFormat="1" customHeight="1" spans="1:6">
      <c r="A279" s="117" t="s">
        <v>952</v>
      </c>
      <c r="B279" s="192"/>
      <c r="C279" s="201"/>
      <c r="D279" s="201"/>
      <c r="E279" s="201"/>
      <c r="F279" s="202"/>
    </row>
    <row r="280" s="307" customFormat="1" customHeight="1" spans="1:6">
      <c r="A280" s="57" t="s">
        <v>354</v>
      </c>
      <c r="B280" s="57" t="s">
        <v>956</v>
      </c>
      <c r="C280" s="57" t="s">
        <v>52</v>
      </c>
      <c r="D280" s="57" t="s">
        <v>855</v>
      </c>
      <c r="E280" s="57" t="s">
        <v>53</v>
      </c>
      <c r="F280" s="57" t="s">
        <v>306</v>
      </c>
    </row>
    <row r="281" s="307" customFormat="1" customHeight="1" spans="1:6">
      <c r="A281" s="57" t="s">
        <v>959</v>
      </c>
      <c r="B281" s="57" t="s">
        <v>960</v>
      </c>
      <c r="C281" s="57"/>
      <c r="D281" s="57"/>
      <c r="E281" s="57"/>
      <c r="F281" s="84">
        <f>F282+F291</f>
        <v>313.77950016</v>
      </c>
    </row>
    <row r="282" s="307" customFormat="1" customHeight="1" spans="1:6">
      <c r="A282" s="57" t="s">
        <v>59</v>
      </c>
      <c r="B282" s="57" t="s">
        <v>957</v>
      </c>
      <c r="C282" s="57"/>
      <c r="D282" s="57"/>
      <c r="E282" s="57"/>
      <c r="F282" s="84">
        <f>F283+F286+F289</f>
        <v>299.40792</v>
      </c>
    </row>
    <row r="283" s="307" customFormat="1" customHeight="1" spans="1:6">
      <c r="A283" s="57">
        <v>1</v>
      </c>
      <c r="B283" s="57" t="s">
        <v>964</v>
      </c>
      <c r="C283" s="57" t="s">
        <v>965</v>
      </c>
      <c r="D283" s="113"/>
      <c r="E283" s="92">
        <f>SUM(E284:E285)</f>
        <v>14.72</v>
      </c>
      <c r="F283" s="113">
        <f>SUM(F284:F285)</f>
        <v>108.94272</v>
      </c>
    </row>
    <row r="284" s="307" customFormat="1" customHeight="1" spans="1:6">
      <c r="A284" s="57"/>
      <c r="B284" s="57" t="s">
        <v>966</v>
      </c>
      <c r="C284" s="57" t="s">
        <v>965</v>
      </c>
      <c r="D284" s="113">
        <v>8.1</v>
      </c>
      <c r="E284" s="124">
        <f>1.288*8</f>
        <v>10.304</v>
      </c>
      <c r="F284" s="113">
        <f t="shared" ref="F284:F288" si="32">D284*E284</f>
        <v>83.4624</v>
      </c>
    </row>
    <row r="285" s="307" customFormat="1" customHeight="1" spans="1:6">
      <c r="A285" s="57"/>
      <c r="B285" s="57" t="s">
        <v>968</v>
      </c>
      <c r="C285" s="57" t="s">
        <v>965</v>
      </c>
      <c r="D285" s="113">
        <v>5.77</v>
      </c>
      <c r="E285" s="124">
        <f>0.552*8</f>
        <v>4.416</v>
      </c>
      <c r="F285" s="113">
        <f t="shared" si="32"/>
        <v>25.48032</v>
      </c>
    </row>
    <row r="286" s="307" customFormat="1" customHeight="1" spans="1:6">
      <c r="A286" s="57">
        <v>2</v>
      </c>
      <c r="B286" s="57" t="s">
        <v>967</v>
      </c>
      <c r="C286" s="57"/>
      <c r="D286" s="113"/>
      <c r="E286" s="124"/>
      <c r="F286" s="113">
        <f>SUM(F287:F288)</f>
        <v>2.622</v>
      </c>
    </row>
    <row r="287" s="307" customFormat="1" customHeight="1" spans="1:6">
      <c r="A287" s="57"/>
      <c r="B287" s="57" t="s">
        <v>1025</v>
      </c>
      <c r="C287" s="57" t="s">
        <v>175</v>
      </c>
      <c r="D287" s="113"/>
      <c r="E287" s="124">
        <v>10.1</v>
      </c>
      <c r="F287" s="113">
        <f t="shared" si="32"/>
        <v>0</v>
      </c>
    </row>
    <row r="288" s="307" customFormat="1" customHeight="1" spans="1:6">
      <c r="A288" s="57"/>
      <c r="B288" s="57" t="s">
        <v>1022</v>
      </c>
      <c r="C288" s="57" t="s">
        <v>1023</v>
      </c>
      <c r="D288" s="113">
        <f>材料预算价!$K$14</f>
        <v>4.37</v>
      </c>
      <c r="E288" s="124">
        <v>0.6</v>
      </c>
      <c r="F288" s="113">
        <f t="shared" si="32"/>
        <v>2.622</v>
      </c>
    </row>
    <row r="289" s="307" customFormat="1" customHeight="1" spans="1:6">
      <c r="A289" s="57">
        <v>3</v>
      </c>
      <c r="B289" s="57" t="s">
        <v>974</v>
      </c>
      <c r="C289" s="57"/>
      <c r="D289" s="57"/>
      <c r="E289" s="57"/>
      <c r="F289" s="113">
        <f>F290</f>
        <v>187.8432</v>
      </c>
    </row>
    <row r="290" s="307" customFormat="1" customHeight="1" spans="1:6">
      <c r="A290" s="57"/>
      <c r="B290" s="57" t="s">
        <v>1026</v>
      </c>
      <c r="C290" s="57" t="s">
        <v>405</v>
      </c>
      <c r="D290" s="84">
        <v>782.68</v>
      </c>
      <c r="E290" s="57">
        <v>0.24</v>
      </c>
      <c r="F290" s="113">
        <f>D290*E290</f>
        <v>187.8432</v>
      </c>
    </row>
    <row r="291" s="307" customFormat="1" customHeight="1" spans="1:6">
      <c r="A291" s="57" t="s">
        <v>70</v>
      </c>
      <c r="B291" s="57" t="s">
        <v>977</v>
      </c>
      <c r="C291" s="194">
        <f>取费表!$C$12</f>
        <v>0.048</v>
      </c>
      <c r="D291" s="58"/>
      <c r="E291" s="84">
        <f>F282</f>
        <v>299.40792</v>
      </c>
      <c r="F291" s="113">
        <f t="shared" ref="F291:F295" si="33">E291*C291</f>
        <v>14.37158016</v>
      </c>
    </row>
    <row r="292" s="307" customFormat="1" customHeight="1" spans="1:6">
      <c r="A292" s="57"/>
      <c r="B292" s="57"/>
      <c r="C292" s="194"/>
      <c r="D292" s="58"/>
      <c r="E292" s="84"/>
      <c r="F292" s="113"/>
    </row>
    <row r="293" s="307" customFormat="1" customHeight="1" spans="1:6">
      <c r="A293" s="57" t="s">
        <v>979</v>
      </c>
      <c r="B293" s="57" t="s">
        <v>973</v>
      </c>
      <c r="C293" s="194">
        <f>取费表!$E$12</f>
        <v>0.0725</v>
      </c>
      <c r="D293" s="58"/>
      <c r="E293" s="84">
        <f>F281</f>
        <v>313.77950016</v>
      </c>
      <c r="F293" s="113">
        <f t="shared" si="33"/>
        <v>22.7490137616</v>
      </c>
    </row>
    <row r="294" s="307" customFormat="1" customHeight="1" spans="1:6">
      <c r="A294" s="57" t="s">
        <v>162</v>
      </c>
      <c r="B294" s="57" t="s">
        <v>980</v>
      </c>
      <c r="C294" s="194">
        <f>取费表!$F$12</f>
        <v>0.05</v>
      </c>
      <c r="D294" s="58"/>
      <c r="E294" s="84">
        <f>F293+F281</f>
        <v>336.5285139216</v>
      </c>
      <c r="F294" s="113">
        <f t="shared" si="33"/>
        <v>16.82642569608</v>
      </c>
    </row>
    <row r="295" s="307" customFormat="1" customHeight="1" spans="1:6">
      <c r="A295" s="57" t="s">
        <v>214</v>
      </c>
      <c r="B295" s="57" t="s">
        <v>976</v>
      </c>
      <c r="C295" s="195">
        <f>取费表!$G$12</f>
        <v>0.09</v>
      </c>
      <c r="D295" s="58"/>
      <c r="E295" s="84">
        <f>F294+F293+F281</f>
        <v>353.35493961768</v>
      </c>
      <c r="F295" s="113">
        <f t="shared" si="33"/>
        <v>31.8019445655912</v>
      </c>
    </row>
    <row r="296" s="307" customFormat="1" customHeight="1" spans="1:6">
      <c r="A296" s="57"/>
      <c r="B296" s="57" t="s">
        <v>984</v>
      </c>
      <c r="C296" s="195"/>
      <c r="D296" s="58"/>
      <c r="E296" s="84"/>
      <c r="F296" s="113">
        <f>(F281+F293+F294+F295)*取费表!$H$12</f>
        <v>11.5547065254981</v>
      </c>
    </row>
    <row r="297" s="307" customFormat="1" customHeight="1" spans="1:6">
      <c r="A297" s="57"/>
      <c r="B297" s="57" t="s">
        <v>278</v>
      </c>
      <c r="C297" s="58"/>
      <c r="D297" s="58"/>
      <c r="E297" s="57"/>
      <c r="F297" s="113">
        <f>F281+F293+F294+F295+F296</f>
        <v>396.711590708769</v>
      </c>
    </row>
    <row r="298" s="307" customFormat="1" customHeight="1" spans="1:6">
      <c r="A298" s="175" t="s">
        <v>944</v>
      </c>
      <c r="B298" s="176"/>
      <c r="C298" s="176"/>
      <c r="D298" s="176"/>
      <c r="E298" s="176"/>
      <c r="F298" s="176"/>
    </row>
    <row r="299" s="307" customFormat="1" customHeight="1" spans="1:6">
      <c r="A299" s="205" t="s">
        <v>1027</v>
      </c>
      <c r="B299" s="205"/>
      <c r="C299" s="205"/>
      <c r="D299" s="205"/>
      <c r="E299" s="205"/>
      <c r="F299" s="205"/>
    </row>
    <row r="300" s="307" customFormat="1" customHeight="1" spans="1:6">
      <c r="A300" s="191" t="s">
        <v>1028</v>
      </c>
      <c r="B300" s="191"/>
      <c r="C300" s="168"/>
      <c r="D300" s="168"/>
      <c r="E300" s="191" t="s">
        <v>1001</v>
      </c>
      <c r="F300" s="191"/>
    </row>
    <row r="301" s="307" customFormat="1" customHeight="1" spans="1:6">
      <c r="A301" s="117" t="s">
        <v>952</v>
      </c>
      <c r="B301" s="192"/>
      <c r="C301" s="201"/>
      <c r="D301" s="201"/>
      <c r="E301" s="201"/>
      <c r="F301" s="202"/>
    </row>
    <row r="302" s="307" customFormat="1" customHeight="1" spans="1:6">
      <c r="A302" s="57" t="s">
        <v>354</v>
      </c>
      <c r="B302" s="57" t="s">
        <v>956</v>
      </c>
      <c r="C302" s="57" t="s">
        <v>52</v>
      </c>
      <c r="D302" s="57" t="s">
        <v>855</v>
      </c>
      <c r="E302" s="57" t="s">
        <v>53</v>
      </c>
      <c r="F302" s="57" t="s">
        <v>306</v>
      </c>
    </row>
    <row r="303" s="307" customFormat="1" customHeight="1" spans="1:6">
      <c r="A303" s="57" t="s">
        <v>959</v>
      </c>
      <c r="B303" s="57" t="s">
        <v>960</v>
      </c>
      <c r="C303" s="57"/>
      <c r="D303" s="57"/>
      <c r="E303" s="57"/>
      <c r="F303" s="84">
        <f>F304+F313</f>
        <v>517.0138224</v>
      </c>
    </row>
    <row r="304" s="307" customFormat="1" customHeight="1" spans="1:6">
      <c r="A304" s="57" t="s">
        <v>59</v>
      </c>
      <c r="B304" s="57" t="s">
        <v>957</v>
      </c>
      <c r="C304" s="57"/>
      <c r="D304" s="57"/>
      <c r="E304" s="57"/>
      <c r="F304" s="84">
        <f>F305+F308+F311</f>
        <v>493.3338</v>
      </c>
    </row>
    <row r="305" s="307" customFormat="1" customHeight="1" spans="1:6">
      <c r="A305" s="57">
        <v>1</v>
      </c>
      <c r="B305" s="57" t="s">
        <v>964</v>
      </c>
      <c r="C305" s="57" t="s">
        <v>965</v>
      </c>
      <c r="D305" s="113"/>
      <c r="E305" s="92">
        <f>SUM(E306:E307)</f>
        <v>40.392</v>
      </c>
      <c r="F305" s="113">
        <f>SUM(F306:F307)</f>
        <v>298.9356</v>
      </c>
    </row>
    <row r="306" s="307" customFormat="1" customHeight="1" spans="1:6">
      <c r="A306" s="57"/>
      <c r="B306" s="57" t="s">
        <v>966</v>
      </c>
      <c r="C306" s="57" t="s">
        <v>965</v>
      </c>
      <c r="D306" s="113">
        <v>8.1</v>
      </c>
      <c r="E306" s="124">
        <f>3.534*8</f>
        <v>28.272</v>
      </c>
      <c r="F306" s="113">
        <f t="shared" ref="F306:F310" si="34">D306*E306</f>
        <v>229.0032</v>
      </c>
    </row>
    <row r="307" s="307" customFormat="1" customHeight="1" spans="1:6">
      <c r="A307" s="57"/>
      <c r="B307" s="57" t="s">
        <v>968</v>
      </c>
      <c r="C307" s="57" t="s">
        <v>965</v>
      </c>
      <c r="D307" s="113">
        <v>5.77</v>
      </c>
      <c r="E307" s="124">
        <f>1.515*8</f>
        <v>12.12</v>
      </c>
      <c r="F307" s="113">
        <f t="shared" si="34"/>
        <v>69.9324</v>
      </c>
    </row>
    <row r="308" s="307" customFormat="1" customHeight="1" spans="1:6">
      <c r="A308" s="57">
        <v>2</v>
      </c>
      <c r="B308" s="57" t="s">
        <v>967</v>
      </c>
      <c r="C308" s="57"/>
      <c r="D308" s="113"/>
      <c r="E308" s="124"/>
      <c r="F308" s="113">
        <f>SUM(F309:F310)</f>
        <v>6.555</v>
      </c>
    </row>
    <row r="309" s="307" customFormat="1" customHeight="1" spans="1:6">
      <c r="A309" s="57"/>
      <c r="B309" s="57" t="s">
        <v>1029</v>
      </c>
      <c r="C309" s="57" t="s">
        <v>175</v>
      </c>
      <c r="D309" s="113"/>
      <c r="E309" s="124">
        <v>10.1</v>
      </c>
      <c r="F309" s="113">
        <f t="shared" si="34"/>
        <v>0</v>
      </c>
    </row>
    <row r="310" s="307" customFormat="1" customHeight="1" spans="1:6">
      <c r="A310" s="57"/>
      <c r="B310" s="57" t="s">
        <v>1022</v>
      </c>
      <c r="C310" s="57" t="s">
        <v>1023</v>
      </c>
      <c r="D310" s="113">
        <f>材料预算价!$K$14</f>
        <v>4.37</v>
      </c>
      <c r="E310" s="124">
        <v>1.5</v>
      </c>
      <c r="F310" s="113">
        <f t="shared" si="34"/>
        <v>6.555</v>
      </c>
    </row>
    <row r="311" s="307" customFormat="1" customHeight="1" spans="1:6">
      <c r="A311" s="57">
        <v>3</v>
      </c>
      <c r="B311" s="57" t="s">
        <v>974</v>
      </c>
      <c r="C311" s="57"/>
      <c r="D311" s="57"/>
      <c r="E311" s="57"/>
      <c r="F311" s="113">
        <f>F312</f>
        <v>187.8432</v>
      </c>
    </row>
    <row r="312" s="307" customFormat="1" customHeight="1" spans="1:6">
      <c r="A312" s="57"/>
      <c r="B312" s="57" t="s">
        <v>1026</v>
      </c>
      <c r="C312" s="57" t="s">
        <v>405</v>
      </c>
      <c r="D312" s="84">
        <v>782.68</v>
      </c>
      <c r="E312" s="57">
        <v>0.24</v>
      </c>
      <c r="F312" s="113">
        <f>D312*E312</f>
        <v>187.8432</v>
      </c>
    </row>
    <row r="313" s="307" customFormat="1" customHeight="1" spans="1:6">
      <c r="A313" s="57" t="s">
        <v>70</v>
      </c>
      <c r="B313" s="57" t="s">
        <v>977</v>
      </c>
      <c r="C313" s="194">
        <f>取费表!$C$12</f>
        <v>0.048</v>
      </c>
      <c r="D313" s="58"/>
      <c r="E313" s="84">
        <f>F304</f>
        <v>493.3338</v>
      </c>
      <c r="F313" s="113">
        <f t="shared" ref="F313:F317" si="35">E313*C313</f>
        <v>23.6800224</v>
      </c>
    </row>
    <row r="314" s="307" customFormat="1" customHeight="1" spans="1:6">
      <c r="A314" s="57"/>
      <c r="B314" s="57"/>
      <c r="C314" s="194"/>
      <c r="D314" s="58"/>
      <c r="E314" s="84"/>
      <c r="F314" s="113"/>
    </row>
    <row r="315" s="307" customFormat="1" customHeight="1" spans="1:6">
      <c r="A315" s="57" t="s">
        <v>979</v>
      </c>
      <c r="B315" s="57" t="s">
        <v>973</v>
      </c>
      <c r="C315" s="194">
        <f>取费表!$E$12</f>
        <v>0.0725</v>
      </c>
      <c r="D315" s="58"/>
      <c r="E315" s="84">
        <f>F303</f>
        <v>517.0138224</v>
      </c>
      <c r="F315" s="113">
        <f t="shared" si="35"/>
        <v>37.483502124</v>
      </c>
    </row>
    <row r="316" s="307" customFormat="1" customHeight="1" spans="1:6">
      <c r="A316" s="57" t="s">
        <v>162</v>
      </c>
      <c r="B316" s="57" t="s">
        <v>980</v>
      </c>
      <c r="C316" s="194">
        <f>取费表!$F$12</f>
        <v>0.05</v>
      </c>
      <c r="D316" s="58"/>
      <c r="E316" s="84">
        <f>F315+F303</f>
        <v>554.497324524</v>
      </c>
      <c r="F316" s="113">
        <f t="shared" si="35"/>
        <v>27.7248662262</v>
      </c>
    </row>
    <row r="317" s="307" customFormat="1" customHeight="1" spans="1:6">
      <c r="A317" s="57" t="s">
        <v>214</v>
      </c>
      <c r="B317" s="57" t="s">
        <v>976</v>
      </c>
      <c r="C317" s="195">
        <f>取费表!$G$12</f>
        <v>0.09</v>
      </c>
      <c r="D317" s="58"/>
      <c r="E317" s="84">
        <f>F316+F315+F303</f>
        <v>582.2221907502</v>
      </c>
      <c r="F317" s="113">
        <f t="shared" si="35"/>
        <v>52.399997167518</v>
      </c>
    </row>
    <row r="318" s="307" customFormat="1" customHeight="1" spans="1:6">
      <c r="A318" s="57"/>
      <c r="B318" s="57" t="s">
        <v>984</v>
      </c>
      <c r="C318" s="195"/>
      <c r="D318" s="58"/>
      <c r="E318" s="84"/>
      <c r="F318" s="113">
        <f>(F303+F315+F316+F317)*取费表!$H$12</f>
        <v>19.0386656375315</v>
      </c>
    </row>
    <row r="319" s="307" customFormat="1" customHeight="1" spans="1:6">
      <c r="A319" s="57"/>
      <c r="B319" s="57" t="s">
        <v>278</v>
      </c>
      <c r="C319" s="58"/>
      <c r="D319" s="58"/>
      <c r="E319" s="57"/>
      <c r="F319" s="113">
        <f>F303+F315+F316+F317+F318</f>
        <v>653.660853555249</v>
      </c>
    </row>
    <row r="320" s="307" customFormat="1" customHeight="1" spans="1:6">
      <c r="A320" s="175" t="s">
        <v>944</v>
      </c>
      <c r="B320" s="176"/>
      <c r="C320" s="176"/>
      <c r="D320" s="176"/>
      <c r="E320" s="176"/>
      <c r="F320" s="176"/>
    </row>
    <row r="321" s="307" customFormat="1" customHeight="1" spans="1:6">
      <c r="A321" s="205" t="s">
        <v>1030</v>
      </c>
      <c r="B321" s="205"/>
      <c r="C321" s="205"/>
      <c r="D321" s="205"/>
      <c r="E321" s="205"/>
      <c r="F321" s="205"/>
    </row>
    <row r="322" s="307" customFormat="1" customHeight="1" spans="1:6">
      <c r="A322" s="191" t="s">
        <v>1031</v>
      </c>
      <c r="B322" s="191"/>
      <c r="C322" s="168"/>
      <c r="D322" s="168"/>
      <c r="E322" s="191" t="s">
        <v>1001</v>
      </c>
      <c r="F322" s="191"/>
    </row>
    <row r="323" s="307" customFormat="1" customHeight="1" spans="1:6">
      <c r="A323" s="117" t="s">
        <v>952</v>
      </c>
      <c r="B323" s="192"/>
      <c r="C323" s="201"/>
      <c r="D323" s="201"/>
      <c r="E323" s="201"/>
      <c r="F323" s="202"/>
    </row>
    <row r="324" s="307" customFormat="1" customHeight="1" spans="1:6">
      <c r="A324" s="57" t="s">
        <v>354</v>
      </c>
      <c r="B324" s="57" t="s">
        <v>956</v>
      </c>
      <c r="C324" s="57" t="s">
        <v>52</v>
      </c>
      <c r="D324" s="57" t="s">
        <v>855</v>
      </c>
      <c r="E324" s="57" t="s">
        <v>53</v>
      </c>
      <c r="F324" s="57" t="s">
        <v>306</v>
      </c>
    </row>
    <row r="325" s="307" customFormat="1" customHeight="1" spans="1:6">
      <c r="A325" s="57" t="s">
        <v>959</v>
      </c>
      <c r="B325" s="57" t="s">
        <v>960</v>
      </c>
      <c r="C325" s="57"/>
      <c r="D325" s="57"/>
      <c r="E325" s="57"/>
      <c r="F325" s="84">
        <f>F326+F335</f>
        <v>202.9107208</v>
      </c>
    </row>
    <row r="326" s="307" customFormat="1" customHeight="1" spans="1:6">
      <c r="A326" s="57" t="s">
        <v>59</v>
      </c>
      <c r="B326" s="57" t="s">
        <v>957</v>
      </c>
      <c r="C326" s="57"/>
      <c r="D326" s="57"/>
      <c r="E326" s="57"/>
      <c r="F326" s="84">
        <f>F327+F330+F333</f>
        <v>193.6171</v>
      </c>
    </row>
    <row r="327" s="307" customFormat="1" customHeight="1" spans="1:6">
      <c r="A327" s="57">
        <v>1</v>
      </c>
      <c r="B327" s="57" t="s">
        <v>964</v>
      </c>
      <c r="C327" s="57" t="s">
        <v>965</v>
      </c>
      <c r="D327" s="113"/>
      <c r="E327" s="92">
        <f>SUM(E328:E329)</f>
        <v>25.6</v>
      </c>
      <c r="F327" s="113">
        <f>SUM(F328:F329)</f>
        <v>189.4656</v>
      </c>
    </row>
    <row r="328" s="307" customFormat="1" customHeight="1" spans="1:6">
      <c r="A328" s="57"/>
      <c r="B328" s="57" t="s">
        <v>966</v>
      </c>
      <c r="C328" s="57" t="s">
        <v>965</v>
      </c>
      <c r="D328" s="113">
        <v>8.1</v>
      </c>
      <c r="E328" s="124">
        <f>2.24*8</f>
        <v>17.92</v>
      </c>
      <c r="F328" s="113">
        <f t="shared" ref="F328:F332" si="36">D328*E328</f>
        <v>145.152</v>
      </c>
    </row>
    <row r="329" s="307" customFormat="1" customHeight="1" spans="1:6">
      <c r="A329" s="57"/>
      <c r="B329" s="57" t="s">
        <v>968</v>
      </c>
      <c r="C329" s="57" t="s">
        <v>965</v>
      </c>
      <c r="D329" s="113">
        <v>5.77</v>
      </c>
      <c r="E329" s="124">
        <f>0.96*8</f>
        <v>7.68</v>
      </c>
      <c r="F329" s="113">
        <f t="shared" si="36"/>
        <v>44.3136</v>
      </c>
    </row>
    <row r="330" s="307" customFormat="1" customHeight="1" spans="1:6">
      <c r="A330" s="57">
        <v>2</v>
      </c>
      <c r="B330" s="57" t="s">
        <v>967</v>
      </c>
      <c r="C330" s="57"/>
      <c r="D330" s="113"/>
      <c r="E330" s="124"/>
      <c r="F330" s="113">
        <f>SUM(F331:F332)</f>
        <v>4.1515</v>
      </c>
    </row>
    <row r="331" s="307" customFormat="1" customHeight="1" spans="1:6">
      <c r="A331" s="57"/>
      <c r="B331" s="57" t="s">
        <v>1032</v>
      </c>
      <c r="C331" s="57" t="s">
        <v>175</v>
      </c>
      <c r="D331" s="113"/>
      <c r="E331" s="124">
        <v>10.1</v>
      </c>
      <c r="F331" s="113">
        <f t="shared" si="36"/>
        <v>0</v>
      </c>
    </row>
    <row r="332" s="307" customFormat="1" customHeight="1" spans="1:6">
      <c r="A332" s="57"/>
      <c r="B332" s="57" t="s">
        <v>1022</v>
      </c>
      <c r="C332" s="57" t="s">
        <v>1023</v>
      </c>
      <c r="D332" s="113">
        <f>材料预算价!$K$14</f>
        <v>4.37</v>
      </c>
      <c r="E332" s="124">
        <v>0.95</v>
      </c>
      <c r="F332" s="113">
        <f t="shared" si="36"/>
        <v>4.1515</v>
      </c>
    </row>
    <row r="333" s="307" customFormat="1" customHeight="1" spans="1:6">
      <c r="A333" s="57">
        <v>3</v>
      </c>
      <c r="B333" s="57" t="s">
        <v>974</v>
      </c>
      <c r="C333" s="57"/>
      <c r="D333" s="57"/>
      <c r="E333" s="57"/>
      <c r="F333" s="113">
        <f>F334</f>
        <v>0</v>
      </c>
    </row>
    <row r="334" s="307" customFormat="1" customHeight="1" spans="1:6">
      <c r="A334" s="57"/>
      <c r="B334" s="57"/>
      <c r="C334" s="57"/>
      <c r="D334" s="84"/>
      <c r="E334" s="57"/>
      <c r="F334" s="113"/>
    </row>
    <row r="335" s="307" customFormat="1" customHeight="1" spans="1:6">
      <c r="A335" s="57" t="s">
        <v>70</v>
      </c>
      <c r="B335" s="57" t="s">
        <v>977</v>
      </c>
      <c r="C335" s="194">
        <f>取费表!$C$12</f>
        <v>0.048</v>
      </c>
      <c r="D335" s="58"/>
      <c r="E335" s="84">
        <f>F326</f>
        <v>193.6171</v>
      </c>
      <c r="F335" s="113">
        <f t="shared" ref="F335:F339" si="37">E335*C335</f>
        <v>9.2936208</v>
      </c>
    </row>
    <row r="336" s="307" customFormat="1" customHeight="1" spans="1:6">
      <c r="A336" s="57"/>
      <c r="B336" s="57"/>
      <c r="C336" s="194"/>
      <c r="D336" s="58"/>
      <c r="E336" s="84"/>
      <c r="F336" s="113"/>
    </row>
    <row r="337" s="307" customFormat="1" customHeight="1" spans="1:6">
      <c r="A337" s="57" t="s">
        <v>979</v>
      </c>
      <c r="B337" s="57" t="s">
        <v>973</v>
      </c>
      <c r="C337" s="194">
        <f>取费表!$E$12</f>
        <v>0.0725</v>
      </c>
      <c r="D337" s="58"/>
      <c r="E337" s="84">
        <f>F325</f>
        <v>202.9107208</v>
      </c>
      <c r="F337" s="113">
        <f t="shared" si="37"/>
        <v>14.711027258</v>
      </c>
    </row>
    <row r="338" s="307" customFormat="1" customHeight="1" spans="1:6">
      <c r="A338" s="57" t="s">
        <v>162</v>
      </c>
      <c r="B338" s="57" t="s">
        <v>980</v>
      </c>
      <c r="C338" s="194">
        <f>取费表!$F$12</f>
        <v>0.05</v>
      </c>
      <c r="D338" s="58"/>
      <c r="E338" s="84">
        <f>F337+F325</f>
        <v>217.621748058</v>
      </c>
      <c r="F338" s="113">
        <f t="shared" si="37"/>
        <v>10.8810874029</v>
      </c>
    </row>
    <row r="339" s="307" customFormat="1" customHeight="1" spans="1:6">
      <c r="A339" s="57" t="s">
        <v>214</v>
      </c>
      <c r="B339" s="57" t="s">
        <v>976</v>
      </c>
      <c r="C339" s="195">
        <f>取费表!$G$12</f>
        <v>0.09</v>
      </c>
      <c r="D339" s="58"/>
      <c r="E339" s="84">
        <f>F338+F337+F325</f>
        <v>228.5028354609</v>
      </c>
      <c r="F339" s="113">
        <f t="shared" si="37"/>
        <v>20.565255191481</v>
      </c>
    </row>
    <row r="340" s="307" customFormat="1" customHeight="1" spans="1:6">
      <c r="A340" s="57"/>
      <c r="B340" s="57" t="s">
        <v>984</v>
      </c>
      <c r="C340" s="195"/>
      <c r="D340" s="58"/>
      <c r="E340" s="84"/>
      <c r="F340" s="113">
        <f>(F325+F337+F338+F339)*取费表!$H$12</f>
        <v>7.47204271957143</v>
      </c>
    </row>
    <row r="341" s="307" customFormat="1" customHeight="1" spans="1:6">
      <c r="A341" s="57"/>
      <c r="B341" s="57" t="s">
        <v>278</v>
      </c>
      <c r="C341" s="58"/>
      <c r="D341" s="58"/>
      <c r="E341" s="57"/>
      <c r="F341" s="113">
        <f>F325+F337+F338+F339+F340</f>
        <v>256.540133371952</v>
      </c>
    </row>
    <row r="342" s="307" customFormat="1" customHeight="1" spans="1:6">
      <c r="A342" s="175" t="s">
        <v>944</v>
      </c>
      <c r="B342" s="176"/>
      <c r="C342" s="176"/>
      <c r="D342" s="176"/>
      <c r="E342" s="176"/>
      <c r="F342" s="176"/>
    </row>
    <row r="343" s="307" customFormat="1" customHeight="1" spans="1:6">
      <c r="A343" s="205" t="s">
        <v>1033</v>
      </c>
      <c r="B343" s="205"/>
      <c r="C343" s="205"/>
      <c r="D343" s="205"/>
      <c r="E343" s="205"/>
      <c r="F343" s="205"/>
    </row>
    <row r="344" s="307" customFormat="1" customHeight="1" spans="1:6">
      <c r="A344" s="191" t="s">
        <v>1034</v>
      </c>
      <c r="B344" s="191"/>
      <c r="C344" s="168"/>
      <c r="D344" s="168"/>
      <c r="E344" s="191" t="s">
        <v>1001</v>
      </c>
      <c r="F344" s="191"/>
    </row>
    <row r="345" s="307" customFormat="1" customHeight="1" spans="1:6">
      <c r="A345" s="117" t="s">
        <v>952</v>
      </c>
      <c r="B345" s="192"/>
      <c r="C345" s="201"/>
      <c r="D345" s="201"/>
      <c r="E345" s="201"/>
      <c r="F345" s="202"/>
    </row>
    <row r="346" s="307" customFormat="1" customHeight="1" spans="1:6">
      <c r="A346" s="57" t="s">
        <v>354</v>
      </c>
      <c r="B346" s="57" t="s">
        <v>956</v>
      </c>
      <c r="C346" s="57" t="s">
        <v>52</v>
      </c>
      <c r="D346" s="57" t="s">
        <v>855</v>
      </c>
      <c r="E346" s="57" t="s">
        <v>53</v>
      </c>
      <c r="F346" s="57" t="s">
        <v>306</v>
      </c>
    </row>
    <row r="347" s="307" customFormat="1" customHeight="1" spans="1:6">
      <c r="A347" s="57" t="s">
        <v>959</v>
      </c>
      <c r="B347" s="57" t="s">
        <v>960</v>
      </c>
      <c r="C347" s="57"/>
      <c r="D347" s="57"/>
      <c r="E347" s="57"/>
      <c r="F347" s="84">
        <f>F348+F357</f>
        <v>45.82092848</v>
      </c>
    </row>
    <row r="348" s="307" customFormat="1" customHeight="1" spans="1:6">
      <c r="A348" s="57" t="s">
        <v>59</v>
      </c>
      <c r="B348" s="57" t="s">
        <v>957</v>
      </c>
      <c r="C348" s="57"/>
      <c r="D348" s="57"/>
      <c r="E348" s="57"/>
      <c r="F348" s="84">
        <f>F349+F352+F355</f>
        <v>43.72226</v>
      </c>
    </row>
    <row r="349" s="307" customFormat="1" customHeight="1" spans="1:6">
      <c r="A349" s="57">
        <v>1</v>
      </c>
      <c r="B349" s="57" t="s">
        <v>964</v>
      </c>
      <c r="C349" s="57" t="s">
        <v>965</v>
      </c>
      <c r="D349" s="113"/>
      <c r="E349" s="92">
        <f>SUM(E350:E351)</f>
        <v>5.76</v>
      </c>
      <c r="F349" s="113">
        <f>SUM(F350:F351)</f>
        <v>42.62976</v>
      </c>
    </row>
    <row r="350" s="307" customFormat="1" customHeight="1" spans="1:6">
      <c r="A350" s="57"/>
      <c r="B350" s="57" t="s">
        <v>966</v>
      </c>
      <c r="C350" s="57" t="s">
        <v>965</v>
      </c>
      <c r="D350" s="113">
        <v>8.1</v>
      </c>
      <c r="E350" s="124">
        <f>0.504*8</f>
        <v>4.032</v>
      </c>
      <c r="F350" s="113">
        <f t="shared" ref="F350:F354" si="38">D350*E350</f>
        <v>32.6592</v>
      </c>
    </row>
    <row r="351" s="307" customFormat="1" customHeight="1" spans="1:6">
      <c r="A351" s="57"/>
      <c r="B351" s="57" t="s">
        <v>968</v>
      </c>
      <c r="C351" s="57" t="s">
        <v>965</v>
      </c>
      <c r="D351" s="113">
        <v>5.77</v>
      </c>
      <c r="E351" s="124">
        <f>0.216*8</f>
        <v>1.728</v>
      </c>
      <c r="F351" s="113">
        <f t="shared" si="38"/>
        <v>9.97056</v>
      </c>
    </row>
    <row r="352" s="307" customFormat="1" customHeight="1" spans="1:6">
      <c r="A352" s="57">
        <v>2</v>
      </c>
      <c r="B352" s="57" t="s">
        <v>967</v>
      </c>
      <c r="C352" s="57"/>
      <c r="D352" s="113"/>
      <c r="E352" s="124"/>
      <c r="F352" s="113">
        <f>SUM(F353:F354)</f>
        <v>1.0925</v>
      </c>
    </row>
    <row r="353" s="307" customFormat="1" customHeight="1" spans="1:6">
      <c r="A353" s="57"/>
      <c r="B353" s="57" t="s">
        <v>1035</v>
      </c>
      <c r="C353" s="57" t="s">
        <v>175</v>
      </c>
      <c r="D353" s="113"/>
      <c r="E353" s="124">
        <v>10.1</v>
      </c>
      <c r="F353" s="113">
        <f t="shared" si="38"/>
        <v>0</v>
      </c>
    </row>
    <row r="354" s="307" customFormat="1" customHeight="1" spans="1:6">
      <c r="A354" s="57"/>
      <c r="B354" s="57" t="s">
        <v>1022</v>
      </c>
      <c r="C354" s="57" t="s">
        <v>1023</v>
      </c>
      <c r="D354" s="113">
        <f>材料预算价!$K$14</f>
        <v>4.37</v>
      </c>
      <c r="E354" s="124">
        <v>0.25</v>
      </c>
      <c r="F354" s="113">
        <f t="shared" si="38"/>
        <v>1.0925</v>
      </c>
    </row>
    <row r="355" s="307" customFormat="1" customHeight="1" spans="1:6">
      <c r="A355" s="57">
        <v>3</v>
      </c>
      <c r="B355" s="57" t="s">
        <v>974</v>
      </c>
      <c r="C355" s="57"/>
      <c r="D355" s="57"/>
      <c r="E355" s="57"/>
      <c r="F355" s="113">
        <f>F356</f>
        <v>0</v>
      </c>
    </row>
    <row r="356" s="307" customFormat="1" customHeight="1" spans="1:6">
      <c r="A356" s="57"/>
      <c r="B356" s="57"/>
      <c r="C356" s="57"/>
      <c r="D356" s="84"/>
      <c r="E356" s="57"/>
      <c r="F356" s="113"/>
    </row>
    <row r="357" s="307" customFormat="1" customHeight="1" spans="1:6">
      <c r="A357" s="57" t="s">
        <v>70</v>
      </c>
      <c r="B357" s="57" t="s">
        <v>977</v>
      </c>
      <c r="C357" s="194">
        <f>取费表!$C$12</f>
        <v>0.048</v>
      </c>
      <c r="D357" s="58"/>
      <c r="E357" s="84">
        <f>F348</f>
        <v>43.72226</v>
      </c>
      <c r="F357" s="113">
        <f t="shared" ref="F357:F361" si="39">E357*C357</f>
        <v>2.09866848</v>
      </c>
    </row>
    <row r="358" s="307" customFormat="1" customHeight="1" spans="1:6">
      <c r="A358" s="57"/>
      <c r="B358" s="57"/>
      <c r="C358" s="194"/>
      <c r="D358" s="58"/>
      <c r="E358" s="84"/>
      <c r="F358" s="113"/>
    </row>
    <row r="359" s="307" customFormat="1" customHeight="1" spans="1:6">
      <c r="A359" s="57" t="s">
        <v>979</v>
      </c>
      <c r="B359" s="57" t="s">
        <v>973</v>
      </c>
      <c r="C359" s="194">
        <f>取费表!$E$12</f>
        <v>0.0725</v>
      </c>
      <c r="D359" s="58"/>
      <c r="E359" s="84">
        <f>F347</f>
        <v>45.82092848</v>
      </c>
      <c r="F359" s="113">
        <f t="shared" si="39"/>
        <v>3.3220173148</v>
      </c>
    </row>
    <row r="360" s="307" customFormat="1" customHeight="1" spans="1:6">
      <c r="A360" s="57" t="s">
        <v>162</v>
      </c>
      <c r="B360" s="57" t="s">
        <v>980</v>
      </c>
      <c r="C360" s="194">
        <f>取费表!$F$12</f>
        <v>0.05</v>
      </c>
      <c r="D360" s="58"/>
      <c r="E360" s="84">
        <f>F359+F347</f>
        <v>49.1429457948</v>
      </c>
      <c r="F360" s="113">
        <f t="shared" si="39"/>
        <v>2.45714728974</v>
      </c>
    </row>
    <row r="361" s="307" customFormat="1" customHeight="1" spans="1:6">
      <c r="A361" s="57" t="s">
        <v>214</v>
      </c>
      <c r="B361" s="57" t="s">
        <v>976</v>
      </c>
      <c r="C361" s="195">
        <f>取费表!$G$12</f>
        <v>0.09</v>
      </c>
      <c r="D361" s="58"/>
      <c r="E361" s="84">
        <f>F360+F359+F347</f>
        <v>51.60009308454</v>
      </c>
      <c r="F361" s="113">
        <f t="shared" si="39"/>
        <v>4.6440083776086</v>
      </c>
    </row>
    <row r="362" s="307" customFormat="1" customHeight="1" spans="1:6">
      <c r="A362" s="57"/>
      <c r="B362" s="57" t="s">
        <v>984</v>
      </c>
      <c r="C362" s="195"/>
      <c r="D362" s="58"/>
      <c r="E362" s="84"/>
      <c r="F362" s="113">
        <f>(F347+F359+F360+F361)*取费表!$H$12</f>
        <v>1.68732304386446</v>
      </c>
    </row>
    <row r="363" s="307" customFormat="1" customHeight="1" spans="1:6">
      <c r="A363" s="57"/>
      <c r="B363" s="57" t="s">
        <v>278</v>
      </c>
      <c r="C363" s="58"/>
      <c r="D363" s="58"/>
      <c r="E363" s="57"/>
      <c r="F363" s="113">
        <f>F347+F359+F360+F361+F362</f>
        <v>57.9314245060131</v>
      </c>
    </row>
    <row r="364" s="307" customFormat="1" customHeight="1" spans="1:6">
      <c r="A364" s="175" t="s">
        <v>944</v>
      </c>
      <c r="B364" s="176"/>
      <c r="C364" s="176"/>
      <c r="D364" s="176"/>
      <c r="E364" s="176"/>
      <c r="F364" s="176"/>
    </row>
    <row r="365" s="307" customFormat="1" customHeight="1" spans="1:6">
      <c r="A365" s="205" t="s">
        <v>1036</v>
      </c>
      <c r="B365" s="205"/>
      <c r="C365" s="205"/>
      <c r="D365" s="205"/>
      <c r="E365" s="205"/>
      <c r="F365" s="205"/>
    </row>
    <row r="366" s="307" customFormat="1" customHeight="1" spans="1:6">
      <c r="A366" s="191" t="s">
        <v>1031</v>
      </c>
      <c r="B366" s="191"/>
      <c r="C366" s="168"/>
      <c r="D366" s="168"/>
      <c r="E366" s="191" t="s">
        <v>1001</v>
      </c>
      <c r="F366" s="191"/>
    </row>
    <row r="367" s="307" customFormat="1" customHeight="1" spans="1:6">
      <c r="A367" s="117" t="s">
        <v>952</v>
      </c>
      <c r="B367" s="192"/>
      <c r="C367" s="201"/>
      <c r="D367" s="201"/>
      <c r="E367" s="201"/>
      <c r="F367" s="202"/>
    </row>
    <row r="368" s="307" customFormat="1" customHeight="1" spans="1:6">
      <c r="A368" s="57" t="s">
        <v>354</v>
      </c>
      <c r="B368" s="57" t="s">
        <v>956</v>
      </c>
      <c r="C368" s="57" t="s">
        <v>52</v>
      </c>
      <c r="D368" s="57" t="s">
        <v>855</v>
      </c>
      <c r="E368" s="57" t="s">
        <v>53</v>
      </c>
      <c r="F368" s="57" t="s">
        <v>306</v>
      </c>
    </row>
    <row r="369" s="307" customFormat="1" customHeight="1" spans="1:6">
      <c r="A369" s="57" t="s">
        <v>959</v>
      </c>
      <c r="B369" s="57" t="s">
        <v>960</v>
      </c>
      <c r="C369" s="57"/>
      <c r="D369" s="57"/>
      <c r="E369" s="57"/>
      <c r="F369" s="84">
        <f>F370+F379</f>
        <v>202.9107208</v>
      </c>
    </row>
    <row r="370" s="307" customFormat="1" customHeight="1" spans="1:6">
      <c r="A370" s="57" t="s">
        <v>59</v>
      </c>
      <c r="B370" s="57" t="s">
        <v>957</v>
      </c>
      <c r="C370" s="57"/>
      <c r="D370" s="57"/>
      <c r="E370" s="57"/>
      <c r="F370" s="84">
        <f>F371+F374+F377</f>
        <v>193.6171</v>
      </c>
    </row>
    <row r="371" s="307" customFormat="1" customHeight="1" spans="1:6">
      <c r="A371" s="57">
        <v>1</v>
      </c>
      <c r="B371" s="57" t="s">
        <v>964</v>
      </c>
      <c r="C371" s="57" t="s">
        <v>965</v>
      </c>
      <c r="D371" s="113"/>
      <c r="E371" s="92">
        <f>SUM(E372:E373)</f>
        <v>25.6</v>
      </c>
      <c r="F371" s="113">
        <f>SUM(F372:F373)</f>
        <v>189.4656</v>
      </c>
    </row>
    <row r="372" s="307" customFormat="1" customHeight="1" spans="1:6">
      <c r="A372" s="57"/>
      <c r="B372" s="57" t="s">
        <v>966</v>
      </c>
      <c r="C372" s="57" t="s">
        <v>965</v>
      </c>
      <c r="D372" s="113">
        <v>8.1</v>
      </c>
      <c r="E372" s="124">
        <f>2.24*8</f>
        <v>17.92</v>
      </c>
      <c r="F372" s="113">
        <f t="shared" ref="F372:F376" si="40">D372*E372</f>
        <v>145.152</v>
      </c>
    </row>
    <row r="373" s="307" customFormat="1" customHeight="1" spans="1:6">
      <c r="A373" s="57"/>
      <c r="B373" s="57" t="s">
        <v>968</v>
      </c>
      <c r="C373" s="57" t="s">
        <v>965</v>
      </c>
      <c r="D373" s="113">
        <v>5.77</v>
      </c>
      <c r="E373" s="124">
        <f>0.96*8</f>
        <v>7.68</v>
      </c>
      <c r="F373" s="113">
        <f t="shared" si="40"/>
        <v>44.3136</v>
      </c>
    </row>
    <row r="374" s="307" customFormat="1" customHeight="1" spans="1:6">
      <c r="A374" s="57">
        <v>2</v>
      </c>
      <c r="B374" s="57" t="s">
        <v>967</v>
      </c>
      <c r="C374" s="57"/>
      <c r="D374" s="113"/>
      <c r="E374" s="124"/>
      <c r="F374" s="113">
        <f>SUM(F375:F376)</f>
        <v>4.1515</v>
      </c>
    </row>
    <row r="375" s="307" customFormat="1" customHeight="1" spans="1:6">
      <c r="A375" s="57"/>
      <c r="B375" s="57" t="s">
        <v>1037</v>
      </c>
      <c r="C375" s="57" t="s">
        <v>175</v>
      </c>
      <c r="D375" s="113"/>
      <c r="E375" s="124">
        <v>10.1</v>
      </c>
      <c r="F375" s="113">
        <f t="shared" si="40"/>
        <v>0</v>
      </c>
    </row>
    <row r="376" s="307" customFormat="1" customHeight="1" spans="1:6">
      <c r="A376" s="57"/>
      <c r="B376" s="57" t="s">
        <v>1022</v>
      </c>
      <c r="C376" s="57" t="s">
        <v>1023</v>
      </c>
      <c r="D376" s="113">
        <f>材料预算价!$K$14</f>
        <v>4.37</v>
      </c>
      <c r="E376" s="124">
        <v>0.95</v>
      </c>
      <c r="F376" s="113">
        <f t="shared" si="40"/>
        <v>4.1515</v>
      </c>
    </row>
    <row r="377" s="307" customFormat="1" customHeight="1" spans="1:6">
      <c r="A377" s="57">
        <v>3</v>
      </c>
      <c r="B377" s="57" t="s">
        <v>974</v>
      </c>
      <c r="C377" s="57"/>
      <c r="D377" s="57"/>
      <c r="E377" s="57"/>
      <c r="F377" s="113">
        <f>F378</f>
        <v>0</v>
      </c>
    </row>
    <row r="378" s="307" customFormat="1" customHeight="1" spans="1:6">
      <c r="A378" s="57"/>
      <c r="B378" s="57"/>
      <c r="C378" s="57"/>
      <c r="D378" s="84"/>
      <c r="E378" s="57"/>
      <c r="F378" s="113"/>
    </row>
    <row r="379" s="307" customFormat="1" customHeight="1" spans="1:6">
      <c r="A379" s="57" t="s">
        <v>70</v>
      </c>
      <c r="B379" s="57" t="s">
        <v>977</v>
      </c>
      <c r="C379" s="194">
        <f>取费表!$C$12</f>
        <v>0.048</v>
      </c>
      <c r="D379" s="58"/>
      <c r="E379" s="84">
        <f>F370</f>
        <v>193.6171</v>
      </c>
      <c r="F379" s="113">
        <f t="shared" ref="F379:F383" si="41">E379*C379</f>
        <v>9.2936208</v>
      </c>
    </row>
    <row r="380" s="307" customFormat="1" customHeight="1" spans="1:6">
      <c r="A380" s="57"/>
      <c r="B380" s="57"/>
      <c r="C380" s="194"/>
      <c r="D380" s="58"/>
      <c r="E380" s="84"/>
      <c r="F380" s="113"/>
    </row>
    <row r="381" s="307" customFormat="1" customHeight="1" spans="1:6">
      <c r="A381" s="57" t="s">
        <v>979</v>
      </c>
      <c r="B381" s="57" t="s">
        <v>973</v>
      </c>
      <c r="C381" s="194">
        <f>取费表!$E$12</f>
        <v>0.0725</v>
      </c>
      <c r="D381" s="58"/>
      <c r="E381" s="84">
        <f>F369</f>
        <v>202.9107208</v>
      </c>
      <c r="F381" s="113">
        <f t="shared" si="41"/>
        <v>14.711027258</v>
      </c>
    </row>
    <row r="382" s="307" customFormat="1" customHeight="1" spans="1:6">
      <c r="A382" s="57" t="s">
        <v>162</v>
      </c>
      <c r="B382" s="57" t="s">
        <v>980</v>
      </c>
      <c r="C382" s="194">
        <f>取费表!$F$12</f>
        <v>0.05</v>
      </c>
      <c r="D382" s="58"/>
      <c r="E382" s="84">
        <f>F381+F369</f>
        <v>217.621748058</v>
      </c>
      <c r="F382" s="113">
        <f t="shared" si="41"/>
        <v>10.8810874029</v>
      </c>
    </row>
    <row r="383" s="307" customFormat="1" customHeight="1" spans="1:6">
      <c r="A383" s="57" t="s">
        <v>214</v>
      </c>
      <c r="B383" s="57" t="s">
        <v>976</v>
      </c>
      <c r="C383" s="195">
        <f>取费表!$G$12</f>
        <v>0.09</v>
      </c>
      <c r="D383" s="58"/>
      <c r="E383" s="84">
        <f>F382+F381+F369</f>
        <v>228.5028354609</v>
      </c>
      <c r="F383" s="113">
        <f t="shared" si="41"/>
        <v>20.565255191481</v>
      </c>
    </row>
    <row r="384" s="307" customFormat="1" customHeight="1" spans="1:6">
      <c r="A384" s="57"/>
      <c r="B384" s="57" t="s">
        <v>984</v>
      </c>
      <c r="C384" s="195"/>
      <c r="D384" s="58"/>
      <c r="E384" s="84"/>
      <c r="F384" s="113">
        <f>(F369+F381+F382+F383)*取费表!$H$12</f>
        <v>7.47204271957143</v>
      </c>
    </row>
    <row r="385" s="307" customFormat="1" customHeight="1" spans="1:6">
      <c r="A385" s="57"/>
      <c r="B385" s="57" t="s">
        <v>278</v>
      </c>
      <c r="C385" s="58"/>
      <c r="D385" s="58"/>
      <c r="E385" s="57"/>
      <c r="F385" s="113">
        <f>F369+F381+F382+F383+F384</f>
        <v>256.540133371952</v>
      </c>
    </row>
    <row r="386" s="307" customFormat="1" customHeight="1" spans="1:6">
      <c r="A386" s="175" t="s">
        <v>944</v>
      </c>
      <c r="B386" s="176"/>
      <c r="C386" s="176"/>
      <c r="D386" s="176"/>
      <c r="E386" s="176"/>
      <c r="F386" s="176"/>
    </row>
    <row r="387" s="307" customFormat="1" customHeight="1" spans="1:6">
      <c r="A387" s="205" t="s">
        <v>1038</v>
      </c>
      <c r="B387" s="205"/>
      <c r="C387" s="205"/>
      <c r="D387" s="205"/>
      <c r="E387" s="205"/>
      <c r="F387" s="205"/>
    </row>
    <row r="388" s="307" customFormat="1" customHeight="1" spans="1:6">
      <c r="A388" s="191" t="s">
        <v>1031</v>
      </c>
      <c r="B388" s="191"/>
      <c r="C388" s="168"/>
      <c r="D388" s="168"/>
      <c r="E388" s="191" t="s">
        <v>1001</v>
      </c>
      <c r="F388" s="191"/>
    </row>
    <row r="389" s="307" customFormat="1" customHeight="1" spans="1:6">
      <c r="A389" s="117" t="s">
        <v>952</v>
      </c>
      <c r="B389" s="192"/>
      <c r="C389" s="201"/>
      <c r="D389" s="201"/>
      <c r="E389" s="201"/>
      <c r="F389" s="202"/>
    </row>
    <row r="390" s="307" customFormat="1" customHeight="1" spans="1:6">
      <c r="A390" s="57" t="s">
        <v>354</v>
      </c>
      <c r="B390" s="57" t="s">
        <v>956</v>
      </c>
      <c r="C390" s="57" t="s">
        <v>52</v>
      </c>
      <c r="D390" s="57" t="s">
        <v>855</v>
      </c>
      <c r="E390" s="57" t="s">
        <v>53</v>
      </c>
      <c r="F390" s="57" t="s">
        <v>306</v>
      </c>
    </row>
    <row r="391" s="307" customFormat="1" customHeight="1" spans="1:6">
      <c r="A391" s="57" t="s">
        <v>959</v>
      </c>
      <c r="B391" s="57" t="s">
        <v>960</v>
      </c>
      <c r="C391" s="57"/>
      <c r="D391" s="57"/>
      <c r="E391" s="57"/>
      <c r="F391" s="84">
        <f>F392+F401</f>
        <v>202.9107208</v>
      </c>
    </row>
    <row r="392" s="307" customFormat="1" customHeight="1" spans="1:6">
      <c r="A392" s="57" t="s">
        <v>59</v>
      </c>
      <c r="B392" s="57" t="s">
        <v>957</v>
      </c>
      <c r="C392" s="57"/>
      <c r="D392" s="57"/>
      <c r="E392" s="57"/>
      <c r="F392" s="84">
        <f>F393+F396+F399</f>
        <v>193.6171</v>
      </c>
    </row>
    <row r="393" s="307" customFormat="1" customHeight="1" spans="1:6">
      <c r="A393" s="57">
        <v>1</v>
      </c>
      <c r="B393" s="57" t="s">
        <v>964</v>
      </c>
      <c r="C393" s="57" t="s">
        <v>965</v>
      </c>
      <c r="D393" s="113"/>
      <c r="E393" s="92">
        <f>SUM(E394:E395)</f>
        <v>25.6</v>
      </c>
      <c r="F393" s="113">
        <f>SUM(F394:F395)</f>
        <v>189.4656</v>
      </c>
    </row>
    <row r="394" s="307" customFormat="1" customHeight="1" spans="1:6">
      <c r="A394" s="57"/>
      <c r="B394" s="57" t="s">
        <v>966</v>
      </c>
      <c r="C394" s="57" t="s">
        <v>965</v>
      </c>
      <c r="D394" s="113">
        <v>8.1</v>
      </c>
      <c r="E394" s="124">
        <f>2.24*8</f>
        <v>17.92</v>
      </c>
      <c r="F394" s="113">
        <f t="shared" ref="F394:F398" si="42">D394*E394</f>
        <v>145.152</v>
      </c>
    </row>
    <row r="395" s="307" customFormat="1" customHeight="1" spans="1:6">
      <c r="A395" s="57"/>
      <c r="B395" s="57" t="s">
        <v>968</v>
      </c>
      <c r="C395" s="57" t="s">
        <v>965</v>
      </c>
      <c r="D395" s="113">
        <v>5.77</v>
      </c>
      <c r="E395" s="124">
        <f>0.96*8</f>
        <v>7.68</v>
      </c>
      <c r="F395" s="113">
        <f t="shared" si="42"/>
        <v>44.3136</v>
      </c>
    </row>
    <row r="396" s="307" customFormat="1" customHeight="1" spans="1:6">
      <c r="A396" s="57">
        <v>2</v>
      </c>
      <c r="B396" s="57" t="s">
        <v>967</v>
      </c>
      <c r="C396" s="57"/>
      <c r="D396" s="113"/>
      <c r="E396" s="124"/>
      <c r="F396" s="113">
        <f>SUM(F397:F398)</f>
        <v>4.1515</v>
      </c>
    </row>
    <row r="397" s="307" customFormat="1" customHeight="1" spans="1:6">
      <c r="A397" s="57"/>
      <c r="B397" s="57" t="s">
        <v>1039</v>
      </c>
      <c r="C397" s="57" t="s">
        <v>175</v>
      </c>
      <c r="D397" s="113"/>
      <c r="E397" s="124">
        <v>10.1</v>
      </c>
      <c r="F397" s="113">
        <f t="shared" si="42"/>
        <v>0</v>
      </c>
    </row>
    <row r="398" s="307" customFormat="1" customHeight="1" spans="1:6">
      <c r="A398" s="57"/>
      <c r="B398" s="57" t="s">
        <v>1022</v>
      </c>
      <c r="C398" s="57" t="s">
        <v>1023</v>
      </c>
      <c r="D398" s="113">
        <f>材料预算价!$K$14</f>
        <v>4.37</v>
      </c>
      <c r="E398" s="124">
        <v>0.95</v>
      </c>
      <c r="F398" s="113">
        <f t="shared" si="42"/>
        <v>4.1515</v>
      </c>
    </row>
    <row r="399" s="307" customFormat="1" customHeight="1" spans="1:6">
      <c r="A399" s="57">
        <v>3</v>
      </c>
      <c r="B399" s="57" t="s">
        <v>974</v>
      </c>
      <c r="C399" s="57"/>
      <c r="D399" s="57"/>
      <c r="E399" s="57"/>
      <c r="F399" s="113">
        <f>F400</f>
        <v>0</v>
      </c>
    </row>
    <row r="400" s="307" customFormat="1" customHeight="1" spans="1:6">
      <c r="A400" s="57"/>
      <c r="B400" s="57"/>
      <c r="C400" s="57"/>
      <c r="D400" s="84"/>
      <c r="E400" s="57"/>
      <c r="F400" s="113"/>
    </row>
    <row r="401" s="307" customFormat="1" customHeight="1" spans="1:6">
      <c r="A401" s="57" t="s">
        <v>70</v>
      </c>
      <c r="B401" s="57" t="s">
        <v>977</v>
      </c>
      <c r="C401" s="194">
        <f>取费表!$C$12</f>
        <v>0.048</v>
      </c>
      <c r="D401" s="58"/>
      <c r="E401" s="84">
        <f>F392</f>
        <v>193.6171</v>
      </c>
      <c r="F401" s="113">
        <f t="shared" ref="F401:F405" si="43">E401*C401</f>
        <v>9.2936208</v>
      </c>
    </row>
    <row r="402" s="307" customFormat="1" customHeight="1" spans="1:6">
      <c r="A402" s="57"/>
      <c r="B402" s="57"/>
      <c r="C402" s="194"/>
      <c r="D402" s="58"/>
      <c r="E402" s="84"/>
      <c r="F402" s="113"/>
    </row>
    <row r="403" s="307" customFormat="1" customHeight="1" spans="1:6">
      <c r="A403" s="57" t="s">
        <v>979</v>
      </c>
      <c r="B403" s="57" t="s">
        <v>973</v>
      </c>
      <c r="C403" s="194">
        <f>取费表!$E$12</f>
        <v>0.0725</v>
      </c>
      <c r="D403" s="58"/>
      <c r="E403" s="84">
        <f>F391</f>
        <v>202.9107208</v>
      </c>
      <c r="F403" s="113">
        <f t="shared" si="43"/>
        <v>14.711027258</v>
      </c>
    </row>
    <row r="404" s="307" customFormat="1" customHeight="1" spans="1:6">
      <c r="A404" s="57" t="s">
        <v>162</v>
      </c>
      <c r="B404" s="57" t="s">
        <v>980</v>
      </c>
      <c r="C404" s="194">
        <f>取费表!$F$12</f>
        <v>0.05</v>
      </c>
      <c r="D404" s="58"/>
      <c r="E404" s="84">
        <f>F403+F391</f>
        <v>217.621748058</v>
      </c>
      <c r="F404" s="113">
        <f t="shared" si="43"/>
        <v>10.8810874029</v>
      </c>
    </row>
    <row r="405" s="307" customFormat="1" customHeight="1" spans="1:6">
      <c r="A405" s="57" t="s">
        <v>214</v>
      </c>
      <c r="B405" s="57" t="s">
        <v>976</v>
      </c>
      <c r="C405" s="195">
        <f>取费表!$G$12</f>
        <v>0.09</v>
      </c>
      <c r="D405" s="58"/>
      <c r="E405" s="84">
        <f>F404+F403+F391</f>
        <v>228.5028354609</v>
      </c>
      <c r="F405" s="113">
        <f t="shared" si="43"/>
        <v>20.565255191481</v>
      </c>
    </row>
    <row r="406" s="307" customFormat="1" customHeight="1" spans="1:6">
      <c r="A406" s="57"/>
      <c r="B406" s="57" t="s">
        <v>984</v>
      </c>
      <c r="C406" s="195"/>
      <c r="D406" s="58"/>
      <c r="E406" s="84"/>
      <c r="F406" s="113">
        <f>(F391+F403+F404+F405)*取费表!$H$12</f>
        <v>7.47204271957143</v>
      </c>
    </row>
    <row r="407" s="307" customFormat="1" customHeight="1" spans="1:6">
      <c r="A407" s="57"/>
      <c r="B407" s="57" t="s">
        <v>278</v>
      </c>
      <c r="C407" s="58"/>
      <c r="D407" s="58"/>
      <c r="E407" s="57"/>
      <c r="F407" s="113">
        <f>F391+F403+F404+F405+F406</f>
        <v>256.540133371952</v>
      </c>
    </row>
    <row r="408" s="307" customFormat="1" customHeight="1" spans="1:6">
      <c r="A408" s="175" t="s">
        <v>944</v>
      </c>
      <c r="B408" s="176"/>
      <c r="C408" s="176"/>
      <c r="D408" s="176"/>
      <c r="E408" s="176"/>
      <c r="F408" s="176"/>
    </row>
    <row r="409" s="307" customFormat="1" customHeight="1" spans="1:6">
      <c r="A409" s="205" t="s">
        <v>1040</v>
      </c>
      <c r="B409" s="205"/>
      <c r="C409" s="205"/>
      <c r="D409" s="205"/>
      <c r="E409" s="205"/>
      <c r="F409" s="205"/>
    </row>
    <row r="410" s="307" customFormat="1" customHeight="1" spans="1:6">
      <c r="A410" s="191" t="s">
        <v>1034</v>
      </c>
      <c r="B410" s="191"/>
      <c r="C410" s="168"/>
      <c r="D410" s="168"/>
      <c r="E410" s="191" t="s">
        <v>1001</v>
      </c>
      <c r="F410" s="191"/>
    </row>
    <row r="411" s="307" customFormat="1" customHeight="1" spans="1:6">
      <c r="A411" s="117" t="s">
        <v>952</v>
      </c>
      <c r="B411" s="192"/>
      <c r="C411" s="201"/>
      <c r="D411" s="201"/>
      <c r="E411" s="201"/>
      <c r="F411" s="202"/>
    </row>
    <row r="412" s="307" customFormat="1" customHeight="1" spans="1:6">
      <c r="A412" s="57" t="s">
        <v>354</v>
      </c>
      <c r="B412" s="57" t="s">
        <v>956</v>
      </c>
      <c r="C412" s="57" t="s">
        <v>52</v>
      </c>
      <c r="D412" s="57" t="s">
        <v>855</v>
      </c>
      <c r="E412" s="57" t="s">
        <v>53</v>
      </c>
      <c r="F412" s="57" t="s">
        <v>306</v>
      </c>
    </row>
    <row r="413" s="307" customFormat="1" customHeight="1" spans="1:6">
      <c r="A413" s="57" t="s">
        <v>959</v>
      </c>
      <c r="B413" s="57" t="s">
        <v>960</v>
      </c>
      <c r="C413" s="57"/>
      <c r="D413" s="57"/>
      <c r="E413" s="57"/>
      <c r="F413" s="84">
        <f>F414+F423</f>
        <v>45.82092848</v>
      </c>
    </row>
    <row r="414" s="307" customFormat="1" customHeight="1" spans="1:6">
      <c r="A414" s="57" t="s">
        <v>59</v>
      </c>
      <c r="B414" s="57" t="s">
        <v>957</v>
      </c>
      <c r="C414" s="57"/>
      <c r="D414" s="57"/>
      <c r="E414" s="57"/>
      <c r="F414" s="84">
        <f>F415+F418+F421</f>
        <v>43.72226</v>
      </c>
    </row>
    <row r="415" s="307" customFormat="1" customHeight="1" spans="1:6">
      <c r="A415" s="57">
        <v>1</v>
      </c>
      <c r="B415" s="57" t="s">
        <v>964</v>
      </c>
      <c r="C415" s="57" t="s">
        <v>965</v>
      </c>
      <c r="D415" s="113"/>
      <c r="E415" s="92">
        <f>SUM(E416:E417)</f>
        <v>5.76</v>
      </c>
      <c r="F415" s="113">
        <f>SUM(F416:F417)</f>
        <v>42.62976</v>
      </c>
    </row>
    <row r="416" s="307" customFormat="1" customHeight="1" spans="1:6">
      <c r="A416" s="57"/>
      <c r="B416" s="57" t="s">
        <v>966</v>
      </c>
      <c r="C416" s="57" t="s">
        <v>965</v>
      </c>
      <c r="D416" s="113">
        <v>8.1</v>
      </c>
      <c r="E416" s="124">
        <f>0.504*8</f>
        <v>4.032</v>
      </c>
      <c r="F416" s="113">
        <f t="shared" ref="F416:F420" si="44">D416*E416</f>
        <v>32.6592</v>
      </c>
    </row>
    <row r="417" s="307" customFormat="1" customHeight="1" spans="1:6">
      <c r="A417" s="57"/>
      <c r="B417" s="57" t="s">
        <v>968</v>
      </c>
      <c r="C417" s="57" t="s">
        <v>965</v>
      </c>
      <c r="D417" s="113">
        <v>5.77</v>
      </c>
      <c r="E417" s="124">
        <f>0.216*8</f>
        <v>1.728</v>
      </c>
      <c r="F417" s="113">
        <f t="shared" si="44"/>
        <v>9.97056</v>
      </c>
    </row>
    <row r="418" s="307" customFormat="1" customHeight="1" spans="1:6">
      <c r="A418" s="57">
        <v>2</v>
      </c>
      <c r="B418" s="57" t="s">
        <v>967</v>
      </c>
      <c r="C418" s="57"/>
      <c r="D418" s="113"/>
      <c r="E418" s="124"/>
      <c r="F418" s="113">
        <f>SUM(F419:F420)</f>
        <v>1.0925</v>
      </c>
    </row>
    <row r="419" s="307" customFormat="1" customHeight="1" spans="1:6">
      <c r="A419" s="57"/>
      <c r="B419" s="57" t="s">
        <v>1041</v>
      </c>
      <c r="C419" s="57" t="s">
        <v>175</v>
      </c>
      <c r="D419" s="113"/>
      <c r="E419" s="124">
        <v>10.1</v>
      </c>
      <c r="F419" s="113">
        <f t="shared" si="44"/>
        <v>0</v>
      </c>
    </row>
    <row r="420" s="307" customFormat="1" customHeight="1" spans="1:6">
      <c r="A420" s="57"/>
      <c r="B420" s="57" t="s">
        <v>1022</v>
      </c>
      <c r="C420" s="57" t="s">
        <v>1023</v>
      </c>
      <c r="D420" s="113">
        <f>材料预算价!$K$14</f>
        <v>4.37</v>
      </c>
      <c r="E420" s="124">
        <v>0.25</v>
      </c>
      <c r="F420" s="113">
        <f t="shared" si="44"/>
        <v>1.0925</v>
      </c>
    </row>
    <row r="421" s="307" customFormat="1" customHeight="1" spans="1:6">
      <c r="A421" s="57">
        <v>3</v>
      </c>
      <c r="B421" s="57" t="s">
        <v>974</v>
      </c>
      <c r="C421" s="57"/>
      <c r="D421" s="57"/>
      <c r="E421" s="57"/>
      <c r="F421" s="113">
        <f>F422</f>
        <v>0</v>
      </c>
    </row>
    <row r="422" s="307" customFormat="1" customHeight="1" spans="1:6">
      <c r="A422" s="57"/>
      <c r="B422" s="57"/>
      <c r="C422" s="57"/>
      <c r="D422" s="84"/>
      <c r="E422" s="57"/>
      <c r="F422" s="113"/>
    </row>
    <row r="423" s="307" customFormat="1" customHeight="1" spans="1:6">
      <c r="A423" s="57" t="s">
        <v>70</v>
      </c>
      <c r="B423" s="57" t="s">
        <v>977</v>
      </c>
      <c r="C423" s="194">
        <f>取费表!$C$12</f>
        <v>0.048</v>
      </c>
      <c r="D423" s="58"/>
      <c r="E423" s="84">
        <f>F414</f>
        <v>43.72226</v>
      </c>
      <c r="F423" s="113">
        <f t="shared" ref="F423:F427" si="45">E423*C423</f>
        <v>2.09866848</v>
      </c>
    </row>
    <row r="424" s="307" customFormat="1" customHeight="1" spans="1:6">
      <c r="A424" s="57"/>
      <c r="B424" s="57"/>
      <c r="C424" s="194"/>
      <c r="D424" s="58"/>
      <c r="E424" s="84"/>
      <c r="F424" s="113"/>
    </row>
    <row r="425" s="307" customFormat="1" customHeight="1" spans="1:6">
      <c r="A425" s="57" t="s">
        <v>979</v>
      </c>
      <c r="B425" s="57" t="s">
        <v>973</v>
      </c>
      <c r="C425" s="194">
        <f>取费表!$E$12</f>
        <v>0.0725</v>
      </c>
      <c r="D425" s="58"/>
      <c r="E425" s="84">
        <f>F413</f>
        <v>45.82092848</v>
      </c>
      <c r="F425" s="113">
        <f t="shared" si="45"/>
        <v>3.3220173148</v>
      </c>
    </row>
    <row r="426" s="307" customFormat="1" customHeight="1" spans="1:6">
      <c r="A426" s="57" t="s">
        <v>162</v>
      </c>
      <c r="B426" s="57" t="s">
        <v>980</v>
      </c>
      <c r="C426" s="194">
        <f>取费表!$F$12</f>
        <v>0.05</v>
      </c>
      <c r="D426" s="58"/>
      <c r="E426" s="84">
        <f>F425+F413</f>
        <v>49.1429457948</v>
      </c>
      <c r="F426" s="113">
        <f t="shared" si="45"/>
        <v>2.45714728974</v>
      </c>
    </row>
    <row r="427" s="307" customFormat="1" customHeight="1" spans="1:6">
      <c r="A427" s="57" t="s">
        <v>214</v>
      </c>
      <c r="B427" s="57" t="s">
        <v>976</v>
      </c>
      <c r="C427" s="195">
        <f>取费表!$G$12</f>
        <v>0.09</v>
      </c>
      <c r="D427" s="58"/>
      <c r="E427" s="84">
        <f>F426+F425+F413</f>
        <v>51.60009308454</v>
      </c>
      <c r="F427" s="113">
        <f t="shared" si="45"/>
        <v>4.6440083776086</v>
      </c>
    </row>
    <row r="428" s="307" customFormat="1" customHeight="1" spans="1:6">
      <c r="A428" s="57"/>
      <c r="B428" s="57" t="s">
        <v>984</v>
      </c>
      <c r="C428" s="195"/>
      <c r="D428" s="58"/>
      <c r="E428" s="84"/>
      <c r="F428" s="113">
        <f>(F413+F425+F426+F427)*取费表!$H$12</f>
        <v>1.68732304386446</v>
      </c>
    </row>
    <row r="429" s="307" customFormat="1" customHeight="1" spans="1:6">
      <c r="A429" s="57"/>
      <c r="B429" s="57" t="s">
        <v>278</v>
      </c>
      <c r="C429" s="58"/>
      <c r="D429" s="58"/>
      <c r="E429" s="57"/>
      <c r="F429" s="113">
        <f>F413+F425+F426+F427+F428</f>
        <v>57.9314245060131</v>
      </c>
    </row>
    <row r="430" s="307" customFormat="1" customHeight="1" spans="1:6">
      <c r="A430" s="175" t="s">
        <v>944</v>
      </c>
      <c r="B430" s="176"/>
      <c r="C430" s="176"/>
      <c r="D430" s="176"/>
      <c r="E430" s="176"/>
      <c r="F430" s="176"/>
    </row>
    <row r="431" s="307" customFormat="1" customHeight="1" spans="1:6">
      <c r="A431" s="205" t="s">
        <v>1042</v>
      </c>
      <c r="B431" s="205"/>
      <c r="C431" s="205"/>
      <c r="D431" s="205"/>
      <c r="E431" s="205"/>
      <c r="F431" s="205"/>
    </row>
    <row r="432" s="307" customFormat="1" customHeight="1" spans="1:6">
      <c r="A432" s="191" t="s">
        <v>1034</v>
      </c>
      <c r="B432" s="191"/>
      <c r="C432" s="168"/>
      <c r="D432" s="168"/>
      <c r="E432" s="191" t="s">
        <v>1001</v>
      </c>
      <c r="F432" s="191"/>
    </row>
    <row r="433" s="307" customFormat="1" customHeight="1" spans="1:6">
      <c r="A433" s="117" t="s">
        <v>952</v>
      </c>
      <c r="B433" s="192"/>
      <c r="C433" s="201"/>
      <c r="D433" s="201"/>
      <c r="E433" s="201"/>
      <c r="F433" s="202"/>
    </row>
    <row r="434" s="307" customFormat="1" customHeight="1" spans="1:6">
      <c r="A434" s="57" t="s">
        <v>354</v>
      </c>
      <c r="B434" s="57" t="s">
        <v>956</v>
      </c>
      <c r="C434" s="57" t="s">
        <v>52</v>
      </c>
      <c r="D434" s="57" t="s">
        <v>855</v>
      </c>
      <c r="E434" s="57" t="s">
        <v>53</v>
      </c>
      <c r="F434" s="57" t="s">
        <v>306</v>
      </c>
    </row>
    <row r="435" s="307" customFormat="1" customHeight="1" spans="1:6">
      <c r="A435" s="57" t="s">
        <v>959</v>
      </c>
      <c r="B435" s="57" t="s">
        <v>960</v>
      </c>
      <c r="C435" s="57"/>
      <c r="D435" s="57"/>
      <c r="E435" s="57"/>
      <c r="F435" s="84">
        <f>F436+F445</f>
        <v>45.82092848</v>
      </c>
    </row>
    <row r="436" s="307" customFormat="1" customHeight="1" spans="1:6">
      <c r="A436" s="57" t="s">
        <v>59</v>
      </c>
      <c r="B436" s="57" t="s">
        <v>957</v>
      </c>
      <c r="C436" s="57"/>
      <c r="D436" s="57"/>
      <c r="E436" s="57"/>
      <c r="F436" s="84">
        <f>F437+F440+F443</f>
        <v>43.72226</v>
      </c>
    </row>
    <row r="437" s="307" customFormat="1" customHeight="1" spans="1:6">
      <c r="A437" s="57">
        <v>1</v>
      </c>
      <c r="B437" s="57" t="s">
        <v>964</v>
      </c>
      <c r="C437" s="57" t="s">
        <v>965</v>
      </c>
      <c r="D437" s="113"/>
      <c r="E437" s="92">
        <f>SUM(E438:E439)</f>
        <v>5.76</v>
      </c>
      <c r="F437" s="113">
        <f>SUM(F438:F439)</f>
        <v>42.62976</v>
      </c>
    </row>
    <row r="438" s="307" customFormat="1" customHeight="1" spans="1:6">
      <c r="A438" s="57"/>
      <c r="B438" s="57" t="s">
        <v>966</v>
      </c>
      <c r="C438" s="57" t="s">
        <v>965</v>
      </c>
      <c r="D438" s="113">
        <v>8.1</v>
      </c>
      <c r="E438" s="124">
        <f>0.504*8</f>
        <v>4.032</v>
      </c>
      <c r="F438" s="113">
        <f t="shared" ref="F438:F442" si="46">D438*E438</f>
        <v>32.6592</v>
      </c>
    </row>
    <row r="439" s="307" customFormat="1" customHeight="1" spans="1:6">
      <c r="A439" s="57"/>
      <c r="B439" s="57" t="s">
        <v>968</v>
      </c>
      <c r="C439" s="57" t="s">
        <v>965</v>
      </c>
      <c r="D439" s="113">
        <v>5.77</v>
      </c>
      <c r="E439" s="124">
        <f>0.216*8</f>
        <v>1.728</v>
      </c>
      <c r="F439" s="113">
        <f t="shared" si="46"/>
        <v>9.97056</v>
      </c>
    </row>
    <row r="440" s="307" customFormat="1" customHeight="1" spans="1:6">
      <c r="A440" s="57">
        <v>2</v>
      </c>
      <c r="B440" s="57" t="s">
        <v>967</v>
      </c>
      <c r="C440" s="57"/>
      <c r="D440" s="113"/>
      <c r="E440" s="124"/>
      <c r="F440" s="113">
        <f>SUM(F441:F442)</f>
        <v>1.0925</v>
      </c>
    </row>
    <row r="441" s="307" customFormat="1" customHeight="1" spans="1:6">
      <c r="A441" s="57"/>
      <c r="B441" s="57" t="s">
        <v>1043</v>
      </c>
      <c r="C441" s="57" t="s">
        <v>175</v>
      </c>
      <c r="D441" s="113"/>
      <c r="E441" s="124">
        <v>10.1</v>
      </c>
      <c r="F441" s="113">
        <f t="shared" si="46"/>
        <v>0</v>
      </c>
    </row>
    <row r="442" s="307" customFormat="1" customHeight="1" spans="1:6">
      <c r="A442" s="57"/>
      <c r="B442" s="57" t="s">
        <v>1022</v>
      </c>
      <c r="C442" s="57" t="s">
        <v>1023</v>
      </c>
      <c r="D442" s="113">
        <f>材料预算价!$K$14</f>
        <v>4.37</v>
      </c>
      <c r="E442" s="124">
        <v>0.25</v>
      </c>
      <c r="F442" s="113">
        <f t="shared" si="46"/>
        <v>1.0925</v>
      </c>
    </row>
    <row r="443" s="307" customFormat="1" customHeight="1" spans="1:6">
      <c r="A443" s="57">
        <v>3</v>
      </c>
      <c r="B443" s="57" t="s">
        <v>974</v>
      </c>
      <c r="C443" s="57"/>
      <c r="D443" s="57"/>
      <c r="E443" s="57"/>
      <c r="F443" s="113">
        <f>F444</f>
        <v>0</v>
      </c>
    </row>
    <row r="444" s="307" customFormat="1" customHeight="1" spans="1:6">
      <c r="A444" s="57"/>
      <c r="B444" s="57"/>
      <c r="C444" s="57"/>
      <c r="D444" s="84"/>
      <c r="E444" s="57"/>
      <c r="F444" s="113"/>
    </row>
    <row r="445" s="307" customFormat="1" customHeight="1" spans="1:6">
      <c r="A445" s="57" t="s">
        <v>70</v>
      </c>
      <c r="B445" s="57" t="s">
        <v>977</v>
      </c>
      <c r="C445" s="194">
        <f>取费表!$C$12</f>
        <v>0.048</v>
      </c>
      <c r="D445" s="58"/>
      <c r="E445" s="84">
        <f>F436</f>
        <v>43.72226</v>
      </c>
      <c r="F445" s="113">
        <f t="shared" ref="F445:F449" si="47">E445*C445</f>
        <v>2.09866848</v>
      </c>
    </row>
    <row r="446" s="307" customFormat="1" customHeight="1" spans="1:6">
      <c r="A446" s="57"/>
      <c r="B446" s="57"/>
      <c r="C446" s="194"/>
      <c r="D446" s="58"/>
      <c r="E446" s="84"/>
      <c r="F446" s="113"/>
    </row>
    <row r="447" s="307" customFormat="1" customHeight="1" spans="1:6">
      <c r="A447" s="57" t="s">
        <v>979</v>
      </c>
      <c r="B447" s="57" t="s">
        <v>973</v>
      </c>
      <c r="C447" s="194">
        <f>取费表!$E$12</f>
        <v>0.0725</v>
      </c>
      <c r="D447" s="58"/>
      <c r="E447" s="84">
        <f>F435</f>
        <v>45.82092848</v>
      </c>
      <c r="F447" s="113">
        <f t="shared" si="47"/>
        <v>3.3220173148</v>
      </c>
    </row>
    <row r="448" s="307" customFormat="1" customHeight="1" spans="1:6">
      <c r="A448" s="57" t="s">
        <v>162</v>
      </c>
      <c r="B448" s="57" t="s">
        <v>980</v>
      </c>
      <c r="C448" s="194">
        <f>取费表!$F$12</f>
        <v>0.05</v>
      </c>
      <c r="D448" s="58"/>
      <c r="E448" s="84">
        <f>F447+F435</f>
        <v>49.1429457948</v>
      </c>
      <c r="F448" s="113">
        <f t="shared" si="47"/>
        <v>2.45714728974</v>
      </c>
    </row>
    <row r="449" s="307" customFormat="1" customHeight="1" spans="1:6">
      <c r="A449" s="57" t="s">
        <v>214</v>
      </c>
      <c r="B449" s="57" t="s">
        <v>976</v>
      </c>
      <c r="C449" s="195">
        <f>取费表!$G$12</f>
        <v>0.09</v>
      </c>
      <c r="D449" s="58"/>
      <c r="E449" s="84">
        <f>F448+F447+F435</f>
        <v>51.60009308454</v>
      </c>
      <c r="F449" s="113">
        <f t="shared" si="47"/>
        <v>4.6440083776086</v>
      </c>
    </row>
    <row r="450" s="307" customFormat="1" customHeight="1" spans="1:6">
      <c r="A450" s="57"/>
      <c r="B450" s="57" t="s">
        <v>984</v>
      </c>
      <c r="C450" s="195"/>
      <c r="D450" s="58"/>
      <c r="E450" s="84"/>
      <c r="F450" s="113">
        <f>(F435+F447+F448+F449)*取费表!$H$12</f>
        <v>1.68732304386446</v>
      </c>
    </row>
    <row r="451" s="307" customFormat="1" customHeight="1" spans="1:6">
      <c r="A451" s="57"/>
      <c r="B451" s="57" t="s">
        <v>278</v>
      </c>
      <c r="C451" s="58"/>
      <c r="D451" s="58"/>
      <c r="E451" s="57"/>
      <c r="F451" s="113">
        <f>F435+F447+F448+F449+F450</f>
        <v>57.9314245060131</v>
      </c>
    </row>
    <row r="452" s="307" customFormat="1" customHeight="1" spans="1:6">
      <c r="A452" s="175" t="s">
        <v>944</v>
      </c>
      <c r="B452" s="176"/>
      <c r="C452" s="176"/>
      <c r="D452" s="176"/>
      <c r="E452" s="176"/>
      <c r="F452" s="176"/>
    </row>
    <row r="453" s="307" customFormat="1" customHeight="1" spans="1:6">
      <c r="A453" s="205" t="s">
        <v>1044</v>
      </c>
      <c r="B453" s="205"/>
      <c r="C453" s="205"/>
      <c r="D453" s="205"/>
      <c r="E453" s="205"/>
      <c r="F453" s="205"/>
    </row>
    <row r="454" s="307" customFormat="1" customHeight="1" spans="1:6">
      <c r="A454" s="191" t="s">
        <v>1045</v>
      </c>
      <c r="B454" s="191"/>
      <c r="C454" s="168"/>
      <c r="D454" s="168"/>
      <c r="E454" s="191" t="s">
        <v>1001</v>
      </c>
      <c r="F454" s="191"/>
    </row>
    <row r="455" s="307" customFormat="1" customHeight="1" spans="1:6">
      <c r="A455" s="117" t="s">
        <v>952</v>
      </c>
      <c r="B455" s="192"/>
      <c r="C455" s="201"/>
      <c r="D455" s="201"/>
      <c r="E455" s="201"/>
      <c r="F455" s="202"/>
    </row>
    <row r="456" s="307" customFormat="1" customHeight="1" spans="1:6">
      <c r="A456" s="57" t="s">
        <v>354</v>
      </c>
      <c r="B456" s="57" t="s">
        <v>956</v>
      </c>
      <c r="C456" s="57" t="s">
        <v>52</v>
      </c>
      <c r="D456" s="57" t="s">
        <v>855</v>
      </c>
      <c r="E456" s="57" t="s">
        <v>53</v>
      </c>
      <c r="F456" s="57" t="s">
        <v>306</v>
      </c>
    </row>
    <row r="457" s="307" customFormat="1" customHeight="1" spans="1:6">
      <c r="A457" s="57" t="s">
        <v>959</v>
      </c>
      <c r="B457" s="57" t="s">
        <v>960</v>
      </c>
      <c r="C457" s="57"/>
      <c r="D457" s="57"/>
      <c r="E457" s="57"/>
      <c r="F457" s="84">
        <f>F458+F467</f>
        <v>54.41186656</v>
      </c>
    </row>
    <row r="458" s="307" customFormat="1" customHeight="1" spans="1:6">
      <c r="A458" s="57" t="s">
        <v>59</v>
      </c>
      <c r="B458" s="57" t="s">
        <v>957</v>
      </c>
      <c r="C458" s="57"/>
      <c r="D458" s="57"/>
      <c r="E458" s="57"/>
      <c r="F458" s="84">
        <f>F459+F462+F465</f>
        <v>51.91972</v>
      </c>
    </row>
    <row r="459" s="307" customFormat="1" customHeight="1" spans="1:6">
      <c r="A459" s="57">
        <v>1</v>
      </c>
      <c r="B459" s="57" t="s">
        <v>964</v>
      </c>
      <c r="C459" s="57" t="s">
        <v>965</v>
      </c>
      <c r="D459" s="113"/>
      <c r="E459" s="92">
        <f>SUM(E460:E461)</f>
        <v>6.72</v>
      </c>
      <c r="F459" s="113">
        <f>SUM(F460:F461)</f>
        <v>49.73472</v>
      </c>
    </row>
    <row r="460" s="307" customFormat="1" customHeight="1" spans="1:6">
      <c r="A460" s="57"/>
      <c r="B460" s="57" t="s">
        <v>966</v>
      </c>
      <c r="C460" s="57" t="s">
        <v>965</v>
      </c>
      <c r="D460" s="113">
        <v>8.1</v>
      </c>
      <c r="E460" s="124">
        <f>0.588*8</f>
        <v>4.704</v>
      </c>
      <c r="F460" s="113">
        <f t="shared" ref="F460:F464" si="48">D460*E460</f>
        <v>38.1024</v>
      </c>
    </row>
    <row r="461" s="307" customFormat="1" customHeight="1" spans="1:6">
      <c r="A461" s="57"/>
      <c r="B461" s="57" t="s">
        <v>968</v>
      </c>
      <c r="C461" s="57" t="s">
        <v>965</v>
      </c>
      <c r="D461" s="113">
        <v>5.77</v>
      </c>
      <c r="E461" s="124">
        <f>0.252*8</f>
        <v>2.016</v>
      </c>
      <c r="F461" s="113">
        <f t="shared" si="48"/>
        <v>11.63232</v>
      </c>
    </row>
    <row r="462" s="307" customFormat="1" customHeight="1" spans="1:6">
      <c r="A462" s="57">
        <v>2</v>
      </c>
      <c r="B462" s="57" t="s">
        <v>967</v>
      </c>
      <c r="C462" s="57"/>
      <c r="D462" s="113"/>
      <c r="E462" s="124"/>
      <c r="F462" s="113">
        <f>SUM(F463:F464)</f>
        <v>2.185</v>
      </c>
    </row>
    <row r="463" s="307" customFormat="1" customHeight="1" spans="1:6">
      <c r="A463" s="57"/>
      <c r="B463" s="57" t="s">
        <v>1046</v>
      </c>
      <c r="C463" s="57" t="s">
        <v>175</v>
      </c>
      <c r="D463" s="113"/>
      <c r="E463" s="124">
        <v>10.1</v>
      </c>
      <c r="F463" s="113">
        <f t="shared" si="48"/>
        <v>0</v>
      </c>
    </row>
    <row r="464" s="307" customFormat="1" customHeight="1" spans="1:6">
      <c r="A464" s="57"/>
      <c r="B464" s="57" t="s">
        <v>1022</v>
      </c>
      <c r="C464" s="57" t="s">
        <v>1023</v>
      </c>
      <c r="D464" s="113">
        <f>材料预算价!$K$14</f>
        <v>4.37</v>
      </c>
      <c r="E464" s="124">
        <v>0.5</v>
      </c>
      <c r="F464" s="113">
        <f t="shared" si="48"/>
        <v>2.185</v>
      </c>
    </row>
    <row r="465" s="307" customFormat="1" customHeight="1" spans="1:6">
      <c r="A465" s="57">
        <v>3</v>
      </c>
      <c r="B465" s="57" t="s">
        <v>974</v>
      </c>
      <c r="C465" s="57"/>
      <c r="D465" s="57"/>
      <c r="E465" s="57"/>
      <c r="F465" s="113">
        <f>F466</f>
        <v>0</v>
      </c>
    </row>
    <row r="466" s="307" customFormat="1" customHeight="1" spans="1:6">
      <c r="A466" s="57"/>
      <c r="B466" s="57"/>
      <c r="C466" s="57"/>
      <c r="D466" s="84"/>
      <c r="E466" s="57"/>
      <c r="F466" s="113"/>
    </row>
    <row r="467" s="307" customFormat="1" customHeight="1" spans="1:6">
      <c r="A467" s="57" t="s">
        <v>70</v>
      </c>
      <c r="B467" s="57" t="s">
        <v>977</v>
      </c>
      <c r="C467" s="194">
        <f>取费表!$C$12</f>
        <v>0.048</v>
      </c>
      <c r="D467" s="58"/>
      <c r="E467" s="84">
        <f>F458</f>
        <v>51.91972</v>
      </c>
      <c r="F467" s="113">
        <f t="shared" ref="F467:F471" si="49">E467*C467</f>
        <v>2.49214656</v>
      </c>
    </row>
    <row r="468" s="307" customFormat="1" customHeight="1" spans="1:6">
      <c r="A468" s="57"/>
      <c r="B468" s="57"/>
      <c r="C468" s="194"/>
      <c r="D468" s="58"/>
      <c r="E468" s="84"/>
      <c r="F468" s="113"/>
    </row>
    <row r="469" s="307" customFormat="1" customHeight="1" spans="1:6">
      <c r="A469" s="57" t="s">
        <v>979</v>
      </c>
      <c r="B469" s="57" t="s">
        <v>973</v>
      </c>
      <c r="C469" s="194">
        <f>取费表!$E$12</f>
        <v>0.0725</v>
      </c>
      <c r="D469" s="58"/>
      <c r="E469" s="84">
        <f>F457</f>
        <v>54.41186656</v>
      </c>
      <c r="F469" s="113">
        <f t="shared" si="49"/>
        <v>3.9448603256</v>
      </c>
    </row>
    <row r="470" s="307" customFormat="1" customHeight="1" spans="1:6">
      <c r="A470" s="57" t="s">
        <v>162</v>
      </c>
      <c r="B470" s="57" t="s">
        <v>980</v>
      </c>
      <c r="C470" s="194">
        <f>取费表!$F$12</f>
        <v>0.05</v>
      </c>
      <c r="D470" s="58"/>
      <c r="E470" s="84">
        <f>F469+F457</f>
        <v>58.3567268856</v>
      </c>
      <c r="F470" s="113">
        <f t="shared" si="49"/>
        <v>2.91783634428</v>
      </c>
    </row>
    <row r="471" s="307" customFormat="1" customHeight="1" spans="1:6">
      <c r="A471" s="57" t="s">
        <v>214</v>
      </c>
      <c r="B471" s="57" t="s">
        <v>976</v>
      </c>
      <c r="C471" s="195">
        <f>取费表!$G$12</f>
        <v>0.09</v>
      </c>
      <c r="D471" s="58"/>
      <c r="E471" s="84">
        <f>F470+F469+F457</f>
        <v>61.27456322988</v>
      </c>
      <c r="F471" s="113">
        <f t="shared" si="49"/>
        <v>5.5147106906892</v>
      </c>
    </row>
    <row r="472" s="307" customFormat="1" customHeight="1" spans="1:6">
      <c r="A472" s="57"/>
      <c r="B472" s="57" t="s">
        <v>984</v>
      </c>
      <c r="C472" s="195"/>
      <c r="D472" s="58"/>
      <c r="E472" s="84"/>
      <c r="F472" s="113">
        <f>(F457+F469+F470+F471)*取费表!$H$12</f>
        <v>2.00367821761708</v>
      </c>
    </row>
    <row r="473" s="307" customFormat="1" customHeight="1" spans="1:6">
      <c r="A473" s="57"/>
      <c r="B473" s="57" t="s">
        <v>278</v>
      </c>
      <c r="C473" s="58"/>
      <c r="D473" s="58"/>
      <c r="E473" s="57"/>
      <c r="F473" s="113">
        <f>F457+F469+F470+F471+F472</f>
        <v>68.7929521381863</v>
      </c>
    </row>
    <row r="474" s="307" customFormat="1" customHeight="1" spans="1:6">
      <c r="A474" s="175" t="s">
        <v>944</v>
      </c>
      <c r="B474" s="176"/>
      <c r="C474" s="176"/>
      <c r="D474" s="176"/>
      <c r="E474" s="176"/>
      <c r="F474" s="176"/>
    </row>
    <row r="475" s="307" customFormat="1" customHeight="1" spans="1:6">
      <c r="A475" s="205" t="s">
        <v>1047</v>
      </c>
      <c r="B475" s="205"/>
      <c r="C475" s="205"/>
      <c r="D475" s="205"/>
      <c r="E475" s="205"/>
      <c r="F475" s="205"/>
    </row>
    <row r="476" s="307" customFormat="1" customHeight="1" spans="1:6">
      <c r="A476" s="191" t="s">
        <v>1034</v>
      </c>
      <c r="B476" s="191"/>
      <c r="C476" s="168"/>
      <c r="D476" s="168"/>
      <c r="E476" s="191" t="s">
        <v>1001</v>
      </c>
      <c r="F476" s="191"/>
    </row>
    <row r="477" s="307" customFormat="1" customHeight="1" spans="1:6">
      <c r="A477" s="117" t="s">
        <v>952</v>
      </c>
      <c r="B477" s="192"/>
      <c r="C477" s="201"/>
      <c r="D477" s="201"/>
      <c r="E477" s="201"/>
      <c r="F477" s="202"/>
    </row>
    <row r="478" s="307" customFormat="1" customHeight="1" spans="1:6">
      <c r="A478" s="57" t="s">
        <v>354</v>
      </c>
      <c r="B478" s="57" t="s">
        <v>956</v>
      </c>
      <c r="C478" s="57" t="s">
        <v>52</v>
      </c>
      <c r="D478" s="57" t="s">
        <v>855</v>
      </c>
      <c r="E478" s="57" t="s">
        <v>53</v>
      </c>
      <c r="F478" s="57" t="s">
        <v>306</v>
      </c>
    </row>
    <row r="479" s="307" customFormat="1" customHeight="1" spans="1:6">
      <c r="A479" s="57" t="s">
        <v>959</v>
      </c>
      <c r="B479" s="57" t="s">
        <v>960</v>
      </c>
      <c r="C479" s="57"/>
      <c r="D479" s="57"/>
      <c r="E479" s="57"/>
      <c r="F479" s="84">
        <f>F480+F489</f>
        <v>45.82092848</v>
      </c>
    </row>
    <row r="480" s="307" customFormat="1" customHeight="1" spans="1:6">
      <c r="A480" s="57" t="s">
        <v>59</v>
      </c>
      <c r="B480" s="57" t="s">
        <v>957</v>
      </c>
      <c r="C480" s="57"/>
      <c r="D480" s="57"/>
      <c r="E480" s="57"/>
      <c r="F480" s="84">
        <f>F481+F484+F487</f>
        <v>43.72226</v>
      </c>
    </row>
    <row r="481" s="307" customFormat="1" customHeight="1" spans="1:6">
      <c r="A481" s="57">
        <v>1</v>
      </c>
      <c r="B481" s="57" t="s">
        <v>964</v>
      </c>
      <c r="C481" s="57" t="s">
        <v>965</v>
      </c>
      <c r="D481" s="113"/>
      <c r="E481" s="92">
        <f>SUM(E482:E483)</f>
        <v>5.76</v>
      </c>
      <c r="F481" s="113">
        <f>SUM(F482:F483)</f>
        <v>42.62976</v>
      </c>
    </row>
    <row r="482" s="307" customFormat="1" customHeight="1" spans="1:6">
      <c r="A482" s="57"/>
      <c r="B482" s="57" t="s">
        <v>966</v>
      </c>
      <c r="C482" s="57" t="s">
        <v>965</v>
      </c>
      <c r="D482" s="113">
        <v>8.1</v>
      </c>
      <c r="E482" s="124">
        <f>0.504*8</f>
        <v>4.032</v>
      </c>
      <c r="F482" s="113">
        <f t="shared" ref="F482:F486" si="50">D482*E482</f>
        <v>32.6592</v>
      </c>
    </row>
    <row r="483" s="307" customFormat="1" customHeight="1" spans="1:6">
      <c r="A483" s="57"/>
      <c r="B483" s="57" t="s">
        <v>968</v>
      </c>
      <c r="C483" s="57" t="s">
        <v>965</v>
      </c>
      <c r="D483" s="113">
        <v>5.77</v>
      </c>
      <c r="E483" s="124">
        <f>0.216*8</f>
        <v>1.728</v>
      </c>
      <c r="F483" s="113">
        <f t="shared" si="50"/>
        <v>9.97056</v>
      </c>
    </row>
    <row r="484" s="307" customFormat="1" customHeight="1" spans="1:6">
      <c r="A484" s="57">
        <v>2</v>
      </c>
      <c r="B484" s="57" t="s">
        <v>967</v>
      </c>
      <c r="C484" s="57"/>
      <c r="D484" s="113"/>
      <c r="E484" s="124"/>
      <c r="F484" s="113">
        <f>SUM(F485:F486)</f>
        <v>1.0925</v>
      </c>
    </row>
    <row r="485" s="307" customFormat="1" customHeight="1" spans="1:6">
      <c r="A485" s="57"/>
      <c r="B485" s="57" t="s">
        <v>1048</v>
      </c>
      <c r="C485" s="57" t="s">
        <v>175</v>
      </c>
      <c r="D485" s="113"/>
      <c r="E485" s="124">
        <v>10.1</v>
      </c>
      <c r="F485" s="113">
        <f t="shared" si="50"/>
        <v>0</v>
      </c>
    </row>
    <row r="486" s="307" customFormat="1" customHeight="1" spans="1:6">
      <c r="A486" s="57"/>
      <c r="B486" s="57" t="s">
        <v>1022</v>
      </c>
      <c r="C486" s="57" t="s">
        <v>1023</v>
      </c>
      <c r="D486" s="113">
        <f>材料预算价!$K$14</f>
        <v>4.37</v>
      </c>
      <c r="E486" s="124">
        <v>0.25</v>
      </c>
      <c r="F486" s="113">
        <f t="shared" si="50"/>
        <v>1.0925</v>
      </c>
    </row>
    <row r="487" s="307" customFormat="1" customHeight="1" spans="1:6">
      <c r="A487" s="57">
        <v>3</v>
      </c>
      <c r="B487" s="57" t="s">
        <v>974</v>
      </c>
      <c r="C487" s="57"/>
      <c r="D487" s="57"/>
      <c r="E487" s="57"/>
      <c r="F487" s="113">
        <f>F488</f>
        <v>0</v>
      </c>
    </row>
    <row r="488" s="307" customFormat="1" customHeight="1" spans="1:6">
      <c r="A488" s="57"/>
      <c r="B488" s="57"/>
      <c r="C488" s="57"/>
      <c r="D488" s="84"/>
      <c r="E488" s="57"/>
      <c r="F488" s="113"/>
    </row>
    <row r="489" s="307" customFormat="1" customHeight="1" spans="1:6">
      <c r="A489" s="57" t="s">
        <v>70</v>
      </c>
      <c r="B489" s="57" t="s">
        <v>977</v>
      </c>
      <c r="C489" s="194">
        <f>取费表!$C$12</f>
        <v>0.048</v>
      </c>
      <c r="D489" s="58"/>
      <c r="E489" s="84">
        <f>F480</f>
        <v>43.72226</v>
      </c>
      <c r="F489" s="113">
        <f t="shared" ref="F489:F493" si="51">E489*C489</f>
        <v>2.09866848</v>
      </c>
    </row>
    <row r="490" s="307" customFormat="1" customHeight="1" spans="1:6">
      <c r="A490" s="57"/>
      <c r="B490" s="57"/>
      <c r="C490" s="194"/>
      <c r="D490" s="58"/>
      <c r="E490" s="84"/>
      <c r="F490" s="113"/>
    </row>
    <row r="491" s="307" customFormat="1" customHeight="1" spans="1:6">
      <c r="A491" s="57" t="s">
        <v>979</v>
      </c>
      <c r="B491" s="57" t="s">
        <v>973</v>
      </c>
      <c r="C491" s="194">
        <f>取费表!$E$12</f>
        <v>0.0725</v>
      </c>
      <c r="D491" s="58"/>
      <c r="E491" s="84">
        <f>F479</f>
        <v>45.82092848</v>
      </c>
      <c r="F491" s="113">
        <f t="shared" si="51"/>
        <v>3.3220173148</v>
      </c>
    </row>
    <row r="492" s="307" customFormat="1" customHeight="1" spans="1:6">
      <c r="A492" s="57" t="s">
        <v>162</v>
      </c>
      <c r="B492" s="57" t="s">
        <v>980</v>
      </c>
      <c r="C492" s="194">
        <f>取费表!$F$12</f>
        <v>0.05</v>
      </c>
      <c r="D492" s="58"/>
      <c r="E492" s="84">
        <f>F491+F479</f>
        <v>49.1429457948</v>
      </c>
      <c r="F492" s="113">
        <f t="shared" si="51"/>
        <v>2.45714728974</v>
      </c>
    </row>
    <row r="493" s="307" customFormat="1" customHeight="1" spans="1:6">
      <c r="A493" s="57" t="s">
        <v>214</v>
      </c>
      <c r="B493" s="57" t="s">
        <v>976</v>
      </c>
      <c r="C493" s="195">
        <f>取费表!$G$12</f>
        <v>0.09</v>
      </c>
      <c r="D493" s="58"/>
      <c r="E493" s="84">
        <f>F492+F491+F479</f>
        <v>51.60009308454</v>
      </c>
      <c r="F493" s="113">
        <f t="shared" si="51"/>
        <v>4.6440083776086</v>
      </c>
    </row>
    <row r="494" s="307" customFormat="1" customHeight="1" spans="1:6">
      <c r="A494" s="57"/>
      <c r="B494" s="57" t="s">
        <v>984</v>
      </c>
      <c r="C494" s="195"/>
      <c r="D494" s="58"/>
      <c r="E494" s="84"/>
      <c r="F494" s="113">
        <f>(F479+F491+F492+F493)*取费表!$H$12</f>
        <v>1.68732304386446</v>
      </c>
    </row>
    <row r="495" s="307" customFormat="1" customHeight="1" spans="1:6">
      <c r="A495" s="57"/>
      <c r="B495" s="57" t="s">
        <v>278</v>
      </c>
      <c r="C495" s="58"/>
      <c r="D495" s="58"/>
      <c r="E495" s="57"/>
      <c r="F495" s="113">
        <f>F479+F491+F492+F493+F494</f>
        <v>57.9314245060131</v>
      </c>
    </row>
    <row r="496" s="307" customFormat="1" customHeight="1" spans="1:6">
      <c r="A496" s="175" t="s">
        <v>944</v>
      </c>
      <c r="B496" s="176"/>
      <c r="C496" s="176"/>
      <c r="D496" s="176"/>
      <c r="E496" s="176"/>
      <c r="F496" s="176"/>
    </row>
    <row r="497" s="307" customFormat="1" customHeight="1" spans="1:6">
      <c r="A497" s="205" t="s">
        <v>1049</v>
      </c>
      <c r="B497" s="205"/>
      <c r="C497" s="205"/>
      <c r="D497" s="205"/>
      <c r="E497" s="205"/>
      <c r="F497" s="205"/>
    </row>
    <row r="498" s="307" customFormat="1" customHeight="1" spans="1:6">
      <c r="A498" s="191" t="s">
        <v>1050</v>
      </c>
      <c r="B498" s="191"/>
      <c r="C498" s="168"/>
      <c r="D498" s="168"/>
      <c r="E498" s="191" t="s">
        <v>1001</v>
      </c>
      <c r="F498" s="191"/>
    </row>
    <row r="499" s="307" customFormat="1" customHeight="1" spans="1:6">
      <c r="A499" s="117" t="s">
        <v>952</v>
      </c>
      <c r="B499" s="192"/>
      <c r="C499" s="201"/>
      <c r="D499" s="201"/>
      <c r="E499" s="201"/>
      <c r="F499" s="202"/>
    </row>
    <row r="500" s="307" customFormat="1" customHeight="1" spans="1:6">
      <c r="A500" s="57" t="s">
        <v>354</v>
      </c>
      <c r="B500" s="57" t="s">
        <v>956</v>
      </c>
      <c r="C500" s="57" t="s">
        <v>52</v>
      </c>
      <c r="D500" s="57" t="s">
        <v>855</v>
      </c>
      <c r="E500" s="57" t="s">
        <v>53</v>
      </c>
      <c r="F500" s="57" t="s">
        <v>306</v>
      </c>
    </row>
    <row r="501" s="307" customFormat="1" customHeight="1" spans="1:6">
      <c r="A501" s="57" t="s">
        <v>959</v>
      </c>
      <c r="B501" s="57" t="s">
        <v>960</v>
      </c>
      <c r="C501" s="57"/>
      <c r="D501" s="57"/>
      <c r="E501" s="57"/>
      <c r="F501" s="84">
        <f>F502+F511</f>
        <v>115.1247912</v>
      </c>
    </row>
    <row r="502" s="307" customFormat="1" customHeight="1" spans="1:6">
      <c r="A502" s="57" t="s">
        <v>59</v>
      </c>
      <c r="B502" s="57" t="s">
        <v>957</v>
      </c>
      <c r="C502" s="57"/>
      <c r="D502" s="57"/>
      <c r="E502" s="57"/>
      <c r="F502" s="84">
        <f>F503+F506+F509</f>
        <v>109.8519</v>
      </c>
    </row>
    <row r="503" s="307" customFormat="1" customHeight="1" spans="1:6">
      <c r="A503" s="57">
        <v>1</v>
      </c>
      <c r="B503" s="57" t="s">
        <v>964</v>
      </c>
      <c r="C503" s="57" t="s">
        <v>965</v>
      </c>
      <c r="D503" s="113"/>
      <c r="E503" s="92">
        <f>SUM(E504:E505)</f>
        <v>14.4</v>
      </c>
      <c r="F503" s="113">
        <f>SUM(F504:F505)</f>
        <v>106.5744</v>
      </c>
    </row>
    <row r="504" s="307" customFormat="1" customHeight="1" spans="1:6">
      <c r="A504" s="57"/>
      <c r="B504" s="57" t="s">
        <v>966</v>
      </c>
      <c r="C504" s="57" t="s">
        <v>965</v>
      </c>
      <c r="D504" s="113">
        <v>8.1</v>
      </c>
      <c r="E504" s="124">
        <f>1.26*8</f>
        <v>10.08</v>
      </c>
      <c r="F504" s="113">
        <f t="shared" ref="F504:F508" si="52">D504*E504</f>
        <v>81.648</v>
      </c>
    </row>
    <row r="505" s="307" customFormat="1" customHeight="1" spans="1:6">
      <c r="A505" s="57"/>
      <c r="B505" s="57" t="s">
        <v>968</v>
      </c>
      <c r="C505" s="57" t="s">
        <v>965</v>
      </c>
      <c r="D505" s="113">
        <v>5.77</v>
      </c>
      <c r="E505" s="124">
        <f>0.54*8</f>
        <v>4.32</v>
      </c>
      <c r="F505" s="113">
        <f t="shared" si="52"/>
        <v>24.9264</v>
      </c>
    </row>
    <row r="506" s="307" customFormat="1" customHeight="1" spans="1:6">
      <c r="A506" s="57">
        <v>2</v>
      </c>
      <c r="B506" s="57" t="s">
        <v>967</v>
      </c>
      <c r="C506" s="57"/>
      <c r="D506" s="113"/>
      <c r="E506" s="124"/>
      <c r="F506" s="113">
        <f>SUM(F507:F508)</f>
        <v>3.2775</v>
      </c>
    </row>
    <row r="507" s="307" customFormat="1" customHeight="1" spans="1:6">
      <c r="A507" s="57"/>
      <c r="B507" s="57" t="s">
        <v>1051</v>
      </c>
      <c r="C507" s="57" t="s">
        <v>175</v>
      </c>
      <c r="D507" s="113"/>
      <c r="E507" s="124">
        <v>10.1</v>
      </c>
      <c r="F507" s="113">
        <f t="shared" si="52"/>
        <v>0</v>
      </c>
    </row>
    <row r="508" s="307" customFormat="1" customHeight="1" spans="1:6">
      <c r="A508" s="57"/>
      <c r="B508" s="57" t="s">
        <v>1022</v>
      </c>
      <c r="C508" s="57" t="s">
        <v>1023</v>
      </c>
      <c r="D508" s="113">
        <f>材料预算价!$K$14</f>
        <v>4.37</v>
      </c>
      <c r="E508" s="124">
        <v>0.75</v>
      </c>
      <c r="F508" s="113">
        <f t="shared" si="52"/>
        <v>3.2775</v>
      </c>
    </row>
    <row r="509" s="307" customFormat="1" customHeight="1" spans="1:6">
      <c r="A509" s="57">
        <v>3</v>
      </c>
      <c r="B509" s="57" t="s">
        <v>974</v>
      </c>
      <c r="C509" s="57"/>
      <c r="D509" s="57"/>
      <c r="E509" s="57"/>
      <c r="F509" s="113">
        <f>F510</f>
        <v>0</v>
      </c>
    </row>
    <row r="510" s="307" customFormat="1" customHeight="1" spans="1:6">
      <c r="A510" s="57"/>
      <c r="B510" s="57"/>
      <c r="C510" s="57"/>
      <c r="D510" s="84"/>
      <c r="E510" s="57"/>
      <c r="F510" s="113"/>
    </row>
    <row r="511" s="307" customFormat="1" customHeight="1" spans="1:6">
      <c r="A511" s="57" t="s">
        <v>70</v>
      </c>
      <c r="B511" s="57" t="s">
        <v>977</v>
      </c>
      <c r="C511" s="194">
        <f>取费表!$C$12</f>
        <v>0.048</v>
      </c>
      <c r="D511" s="58"/>
      <c r="E511" s="84">
        <f>F502</f>
        <v>109.8519</v>
      </c>
      <c r="F511" s="113">
        <f t="shared" ref="F511:F515" si="53">E511*C511</f>
        <v>5.2728912</v>
      </c>
    </row>
    <row r="512" s="307" customFormat="1" customHeight="1" spans="1:6">
      <c r="A512" s="57"/>
      <c r="B512" s="57"/>
      <c r="C512" s="194"/>
      <c r="D512" s="58"/>
      <c r="E512" s="84"/>
      <c r="F512" s="113"/>
    </row>
    <row r="513" s="307" customFormat="1" customHeight="1" spans="1:6">
      <c r="A513" s="57" t="s">
        <v>979</v>
      </c>
      <c r="B513" s="57" t="s">
        <v>973</v>
      </c>
      <c r="C513" s="194">
        <f>取费表!$E$12</f>
        <v>0.0725</v>
      </c>
      <c r="D513" s="58"/>
      <c r="E513" s="84">
        <f>F501</f>
        <v>115.1247912</v>
      </c>
      <c r="F513" s="113">
        <f t="shared" si="53"/>
        <v>8.346547362</v>
      </c>
    </row>
    <row r="514" s="307" customFormat="1" customHeight="1" spans="1:6">
      <c r="A514" s="57" t="s">
        <v>162</v>
      </c>
      <c r="B514" s="57" t="s">
        <v>980</v>
      </c>
      <c r="C514" s="194">
        <f>取费表!$F$12</f>
        <v>0.05</v>
      </c>
      <c r="D514" s="58"/>
      <c r="E514" s="84">
        <f>F513+F501</f>
        <v>123.471338562</v>
      </c>
      <c r="F514" s="113">
        <f t="shared" si="53"/>
        <v>6.1735669281</v>
      </c>
    </row>
    <row r="515" s="307" customFormat="1" customHeight="1" spans="1:6">
      <c r="A515" s="57" t="s">
        <v>214</v>
      </c>
      <c r="B515" s="57" t="s">
        <v>976</v>
      </c>
      <c r="C515" s="195">
        <f>取费表!$G$12</f>
        <v>0.09</v>
      </c>
      <c r="D515" s="58"/>
      <c r="E515" s="84">
        <f>F514+F513+F501</f>
        <v>129.6449054901</v>
      </c>
      <c r="F515" s="113">
        <f t="shared" si="53"/>
        <v>11.668041494109</v>
      </c>
    </row>
    <row r="516" s="307" customFormat="1" customHeight="1" spans="1:6">
      <c r="A516" s="57"/>
      <c r="B516" s="57" t="s">
        <v>984</v>
      </c>
      <c r="C516" s="195"/>
      <c r="D516" s="58"/>
      <c r="E516" s="84"/>
      <c r="F516" s="113">
        <f>(F501+F513+F514+F515)*取费表!$H$12</f>
        <v>4.23938840952627</v>
      </c>
    </row>
    <row r="517" s="307" customFormat="1" customHeight="1" spans="1:6">
      <c r="A517" s="57"/>
      <c r="B517" s="57" t="s">
        <v>278</v>
      </c>
      <c r="C517" s="58"/>
      <c r="D517" s="58"/>
      <c r="E517" s="57"/>
      <c r="F517" s="113">
        <f>F501+F513+F514+F515+F516</f>
        <v>145.552335393735</v>
      </c>
    </row>
    <row r="518" s="307" customFormat="1" customHeight="1" spans="1:6">
      <c r="A518" s="175" t="s">
        <v>944</v>
      </c>
      <c r="B518" s="176"/>
      <c r="C518" s="176"/>
      <c r="D518" s="176"/>
      <c r="E518" s="176"/>
      <c r="F518" s="176"/>
    </row>
    <row r="519" s="307" customFormat="1" customHeight="1" spans="1:6">
      <c r="A519" s="205" t="s">
        <v>1052</v>
      </c>
      <c r="B519" s="205"/>
      <c r="C519" s="205"/>
      <c r="D519" s="205"/>
      <c r="E519" s="205"/>
      <c r="F519" s="205"/>
    </row>
    <row r="520" s="307" customFormat="1" customHeight="1" spans="1:6">
      <c r="A520" s="191" t="s">
        <v>1053</v>
      </c>
      <c r="B520" s="191"/>
      <c r="C520" s="168"/>
      <c r="D520" s="168"/>
      <c r="E520" s="191" t="s">
        <v>1054</v>
      </c>
      <c r="F520" s="191"/>
    </row>
    <row r="521" s="307" customFormat="1" customHeight="1" spans="1:6">
      <c r="A521" s="117" t="s">
        <v>952</v>
      </c>
      <c r="B521" s="192"/>
      <c r="C521" s="201"/>
      <c r="D521" s="201"/>
      <c r="E521" s="201"/>
      <c r="F521" s="202"/>
    </row>
    <row r="522" s="307" customFormat="1" customHeight="1" spans="1:6">
      <c r="A522" s="57" t="s">
        <v>354</v>
      </c>
      <c r="B522" s="57" t="s">
        <v>956</v>
      </c>
      <c r="C522" s="57" t="s">
        <v>52</v>
      </c>
      <c r="D522" s="57" t="s">
        <v>855</v>
      </c>
      <c r="E522" s="57" t="s">
        <v>53</v>
      </c>
      <c r="F522" s="57" t="s">
        <v>306</v>
      </c>
    </row>
    <row r="523" s="307" customFormat="1" customHeight="1" spans="1:6">
      <c r="A523" s="57" t="s">
        <v>959</v>
      </c>
      <c r="B523" s="57" t="s">
        <v>960</v>
      </c>
      <c r="C523" s="57"/>
      <c r="D523" s="57"/>
      <c r="E523" s="57"/>
      <c r="F523" s="84">
        <f>F524+F533</f>
        <v>0.169950294044445</v>
      </c>
    </row>
    <row r="524" s="307" customFormat="1" customHeight="1" spans="1:6">
      <c r="A524" s="57" t="s">
        <v>59</v>
      </c>
      <c r="B524" s="57" t="s">
        <v>957</v>
      </c>
      <c r="C524" s="57"/>
      <c r="D524" s="57"/>
      <c r="E524" s="57"/>
      <c r="F524" s="84">
        <f>F525+F528+F531</f>
        <v>0.162166311111111</v>
      </c>
    </row>
    <row r="525" s="307" customFormat="1" customHeight="1" spans="1:6">
      <c r="A525" s="57">
        <v>1</v>
      </c>
      <c r="B525" s="57" t="s">
        <v>964</v>
      </c>
      <c r="C525" s="57" t="s">
        <v>965</v>
      </c>
      <c r="D525" s="113"/>
      <c r="E525" s="92">
        <f>SUM(E526:E527)</f>
        <v>0.0210911111111111</v>
      </c>
      <c r="F525" s="113">
        <f>SUM(F526:F527)</f>
        <v>0.156096866666667</v>
      </c>
    </row>
    <row r="526" s="307" customFormat="1" customHeight="1" spans="1:6">
      <c r="A526" s="57"/>
      <c r="B526" s="57" t="s">
        <v>966</v>
      </c>
      <c r="C526" s="57" t="s">
        <v>965</v>
      </c>
      <c r="D526" s="113">
        <v>8.1</v>
      </c>
      <c r="E526" s="124">
        <f>6.644*8/3600</f>
        <v>0.0147644444444444</v>
      </c>
      <c r="F526" s="113">
        <f t="shared" ref="F526:F530" si="54">D526*E526</f>
        <v>0.119592</v>
      </c>
    </row>
    <row r="527" s="307" customFormat="1" customHeight="1" spans="1:6">
      <c r="A527" s="57"/>
      <c r="B527" s="57" t="s">
        <v>968</v>
      </c>
      <c r="C527" s="57" t="s">
        <v>965</v>
      </c>
      <c r="D527" s="113">
        <v>5.77</v>
      </c>
      <c r="E527" s="124">
        <f>2.847*8/3600</f>
        <v>0.00632666666666667</v>
      </c>
      <c r="F527" s="113">
        <f t="shared" si="54"/>
        <v>0.0365048666666667</v>
      </c>
    </row>
    <row r="528" s="307" customFormat="1" customHeight="1" spans="1:6">
      <c r="A528" s="57">
        <v>2</v>
      </c>
      <c r="B528" s="57" t="s">
        <v>967</v>
      </c>
      <c r="C528" s="57"/>
      <c r="D528" s="113"/>
      <c r="E528" s="124"/>
      <c r="F528" s="113">
        <f>SUM(F529:F530)</f>
        <v>0.00606944444444445</v>
      </c>
    </row>
    <row r="529" s="307" customFormat="1" customHeight="1" spans="1:6">
      <c r="A529" s="57"/>
      <c r="B529" s="57" t="s">
        <v>992</v>
      </c>
      <c r="C529" s="57" t="s">
        <v>175</v>
      </c>
      <c r="D529" s="113"/>
      <c r="E529" s="124">
        <v>1.04</v>
      </c>
      <c r="F529" s="113">
        <f t="shared" si="54"/>
        <v>0</v>
      </c>
    </row>
    <row r="530" s="307" customFormat="1" customHeight="1" spans="1:6">
      <c r="A530" s="57"/>
      <c r="B530" s="57" t="s">
        <v>1022</v>
      </c>
      <c r="C530" s="57" t="s">
        <v>1023</v>
      </c>
      <c r="D530" s="113">
        <f>材料预算价!$K$14</f>
        <v>4.37</v>
      </c>
      <c r="E530" s="124">
        <f>5/3600</f>
        <v>0.00138888888888889</v>
      </c>
      <c r="F530" s="113">
        <f t="shared" si="54"/>
        <v>0.00606944444444445</v>
      </c>
    </row>
    <row r="531" s="307" customFormat="1" customHeight="1" spans="1:6">
      <c r="A531" s="57">
        <v>3</v>
      </c>
      <c r="B531" s="57" t="s">
        <v>974</v>
      </c>
      <c r="C531" s="57"/>
      <c r="D531" s="57"/>
      <c r="E531" s="57"/>
      <c r="F531" s="113">
        <f>F532</f>
        <v>0</v>
      </c>
    </row>
    <row r="532" s="307" customFormat="1" customHeight="1" spans="1:6">
      <c r="A532" s="57"/>
      <c r="B532" s="57"/>
      <c r="C532" s="57"/>
      <c r="D532" s="84"/>
      <c r="E532" s="57"/>
      <c r="F532" s="113"/>
    </row>
    <row r="533" s="307" customFormat="1" customHeight="1" spans="1:6">
      <c r="A533" s="57" t="s">
        <v>70</v>
      </c>
      <c r="B533" s="57" t="s">
        <v>977</v>
      </c>
      <c r="C533" s="194">
        <f>取费表!$C$12</f>
        <v>0.048</v>
      </c>
      <c r="D533" s="58"/>
      <c r="E533" s="84">
        <f>F524</f>
        <v>0.162166311111111</v>
      </c>
      <c r="F533" s="113">
        <f t="shared" ref="F533:F537" si="55">E533*C533</f>
        <v>0.00778398293333335</v>
      </c>
    </row>
    <row r="534" s="307" customFormat="1" customHeight="1" spans="1:6">
      <c r="A534" s="57"/>
      <c r="B534" s="57"/>
      <c r="C534" s="194"/>
      <c r="D534" s="58"/>
      <c r="E534" s="84"/>
      <c r="F534" s="113"/>
    </row>
    <row r="535" s="307" customFormat="1" customHeight="1" spans="1:6">
      <c r="A535" s="57" t="s">
        <v>979</v>
      </c>
      <c r="B535" s="57" t="s">
        <v>973</v>
      </c>
      <c r="C535" s="194">
        <f>取费表!$E$12</f>
        <v>0.0725</v>
      </c>
      <c r="D535" s="58"/>
      <c r="E535" s="84">
        <f>F523</f>
        <v>0.169950294044445</v>
      </c>
      <c r="F535" s="113">
        <f t="shared" si="55"/>
        <v>0.0123213963182222</v>
      </c>
    </row>
    <row r="536" s="307" customFormat="1" customHeight="1" spans="1:6">
      <c r="A536" s="57" t="s">
        <v>162</v>
      </c>
      <c r="B536" s="57" t="s">
        <v>980</v>
      </c>
      <c r="C536" s="194">
        <f>取费表!$F$12</f>
        <v>0.05</v>
      </c>
      <c r="D536" s="58"/>
      <c r="E536" s="84">
        <f>F535+F523</f>
        <v>0.182271690362667</v>
      </c>
      <c r="F536" s="113">
        <f t="shared" si="55"/>
        <v>0.00911358451813335</v>
      </c>
    </row>
    <row r="537" s="307" customFormat="1" customHeight="1" spans="1:6">
      <c r="A537" s="57" t="s">
        <v>214</v>
      </c>
      <c r="B537" s="57" t="s">
        <v>976</v>
      </c>
      <c r="C537" s="195">
        <f>取费表!$G$12</f>
        <v>0.09</v>
      </c>
      <c r="D537" s="58"/>
      <c r="E537" s="84">
        <f>F536+F535+F523</f>
        <v>0.1913852748808</v>
      </c>
      <c r="F537" s="113">
        <f t="shared" si="55"/>
        <v>0.017224674739272</v>
      </c>
    </row>
    <row r="538" s="307" customFormat="1" customHeight="1" spans="1:6">
      <c r="A538" s="57"/>
      <c r="B538" s="57" t="s">
        <v>984</v>
      </c>
      <c r="C538" s="195"/>
      <c r="D538" s="58"/>
      <c r="E538" s="84"/>
      <c r="F538" s="113">
        <f>(F523+F535+F536+F537)*取费表!$H$12</f>
        <v>0.00625829848860217</v>
      </c>
    </row>
    <row r="539" s="307" customFormat="1" customHeight="1" spans="1:6">
      <c r="A539" s="57"/>
      <c r="B539" s="57" t="s">
        <v>278</v>
      </c>
      <c r="C539" s="58"/>
      <c r="D539" s="58"/>
      <c r="E539" s="57"/>
      <c r="F539" s="113">
        <f>F523+F535+F536+F537+F538</f>
        <v>0.214868248108675</v>
      </c>
    </row>
    <row r="540" s="307" customFormat="1" customHeight="1" spans="1:6">
      <c r="A540" s="175" t="s">
        <v>944</v>
      </c>
      <c r="B540" s="176"/>
      <c r="C540" s="176"/>
      <c r="D540" s="176"/>
      <c r="E540" s="176"/>
      <c r="F540" s="176"/>
    </row>
    <row r="541" s="307" customFormat="1" customHeight="1" spans="1:6">
      <c r="A541" s="205" t="s">
        <v>1055</v>
      </c>
      <c r="B541" s="205"/>
      <c r="C541" s="205"/>
      <c r="D541" s="205"/>
      <c r="E541" s="205"/>
      <c r="F541" s="205"/>
    </row>
    <row r="542" s="307" customFormat="1" customHeight="1" spans="1:6">
      <c r="A542" s="191" t="s">
        <v>1053</v>
      </c>
      <c r="B542" s="191"/>
      <c r="C542" s="168"/>
      <c r="D542" s="168"/>
      <c r="E542" s="191" t="s">
        <v>1054</v>
      </c>
      <c r="F542" s="191"/>
    </row>
    <row r="543" s="307" customFormat="1" customHeight="1" spans="1:6">
      <c r="A543" s="117" t="s">
        <v>952</v>
      </c>
      <c r="B543" s="192"/>
      <c r="C543" s="201"/>
      <c r="D543" s="201"/>
      <c r="E543" s="201"/>
      <c r="F543" s="202"/>
    </row>
    <row r="544" s="307" customFormat="1" customHeight="1" spans="1:6">
      <c r="A544" s="57" t="s">
        <v>354</v>
      </c>
      <c r="B544" s="57" t="s">
        <v>956</v>
      </c>
      <c r="C544" s="57" t="s">
        <v>52</v>
      </c>
      <c r="D544" s="57" t="s">
        <v>855</v>
      </c>
      <c r="E544" s="57" t="s">
        <v>53</v>
      </c>
      <c r="F544" s="57" t="s">
        <v>306</v>
      </c>
    </row>
    <row r="545" s="307" customFormat="1" customHeight="1" spans="1:6">
      <c r="A545" s="57" t="s">
        <v>959</v>
      </c>
      <c r="B545" s="57" t="s">
        <v>960</v>
      </c>
      <c r="C545" s="57"/>
      <c r="D545" s="57"/>
      <c r="E545" s="57"/>
      <c r="F545" s="84">
        <f>F546+F555</f>
        <v>0.169950294044445</v>
      </c>
    </row>
    <row r="546" s="307" customFormat="1" customHeight="1" spans="1:6">
      <c r="A546" s="57" t="s">
        <v>59</v>
      </c>
      <c r="B546" s="57" t="s">
        <v>957</v>
      </c>
      <c r="C546" s="57"/>
      <c r="D546" s="57"/>
      <c r="E546" s="57"/>
      <c r="F546" s="84">
        <f>F547+F550+F553</f>
        <v>0.162166311111111</v>
      </c>
    </row>
    <row r="547" s="307" customFormat="1" customHeight="1" spans="1:6">
      <c r="A547" s="57">
        <v>1</v>
      </c>
      <c r="B547" s="57" t="s">
        <v>964</v>
      </c>
      <c r="C547" s="57" t="s">
        <v>965</v>
      </c>
      <c r="D547" s="113"/>
      <c r="E547" s="92">
        <f>SUM(E548:E549)</f>
        <v>0.0210911111111111</v>
      </c>
      <c r="F547" s="113">
        <f>SUM(F548:F549)</f>
        <v>0.156096866666667</v>
      </c>
    </row>
    <row r="548" s="307" customFormat="1" customHeight="1" spans="1:6">
      <c r="A548" s="57"/>
      <c r="B548" s="57" t="s">
        <v>966</v>
      </c>
      <c r="C548" s="57" t="s">
        <v>965</v>
      </c>
      <c r="D548" s="113">
        <v>8.1</v>
      </c>
      <c r="E548" s="124">
        <f>6.644*8/3600</f>
        <v>0.0147644444444444</v>
      </c>
      <c r="F548" s="113">
        <f t="shared" ref="F548:F552" si="56">D548*E548</f>
        <v>0.119592</v>
      </c>
    </row>
    <row r="549" s="307" customFormat="1" customHeight="1" spans="1:6">
      <c r="A549" s="57"/>
      <c r="B549" s="57" t="s">
        <v>968</v>
      </c>
      <c r="C549" s="57" t="s">
        <v>965</v>
      </c>
      <c r="D549" s="113">
        <v>5.77</v>
      </c>
      <c r="E549" s="124">
        <f>2.847*8/3600</f>
        <v>0.00632666666666667</v>
      </c>
      <c r="F549" s="113">
        <f t="shared" si="56"/>
        <v>0.0365048666666667</v>
      </c>
    </row>
    <row r="550" s="307" customFormat="1" customHeight="1" spans="1:6">
      <c r="A550" s="57">
        <v>2</v>
      </c>
      <c r="B550" s="57" t="s">
        <v>967</v>
      </c>
      <c r="C550" s="57"/>
      <c r="D550" s="113"/>
      <c r="E550" s="124"/>
      <c r="F550" s="113">
        <f>SUM(F551:F552)</f>
        <v>0.00606944444444445</v>
      </c>
    </row>
    <row r="551" s="307" customFormat="1" customHeight="1" spans="1:6">
      <c r="A551" s="57"/>
      <c r="B551" s="57" t="s">
        <v>1056</v>
      </c>
      <c r="C551" s="57" t="s">
        <v>175</v>
      </c>
      <c r="D551" s="113"/>
      <c r="E551" s="124">
        <f>3744/3600</f>
        <v>1.04</v>
      </c>
      <c r="F551" s="113">
        <f t="shared" si="56"/>
        <v>0</v>
      </c>
    </row>
    <row r="552" s="307" customFormat="1" customHeight="1" spans="1:6">
      <c r="A552" s="57"/>
      <c r="B552" s="57" t="s">
        <v>1022</v>
      </c>
      <c r="C552" s="57" t="s">
        <v>1023</v>
      </c>
      <c r="D552" s="113">
        <f>材料预算价!$K$14</f>
        <v>4.37</v>
      </c>
      <c r="E552" s="124">
        <f>5/3600</f>
        <v>0.00138888888888889</v>
      </c>
      <c r="F552" s="113">
        <f t="shared" si="56"/>
        <v>0.00606944444444445</v>
      </c>
    </row>
    <row r="553" s="307" customFormat="1" customHeight="1" spans="1:6">
      <c r="A553" s="57">
        <v>3</v>
      </c>
      <c r="B553" s="57" t="s">
        <v>974</v>
      </c>
      <c r="C553" s="57"/>
      <c r="D553" s="57"/>
      <c r="E553" s="57"/>
      <c r="F553" s="113">
        <f>F554</f>
        <v>0</v>
      </c>
    </row>
    <row r="554" s="307" customFormat="1" customHeight="1" spans="1:6">
      <c r="A554" s="57"/>
      <c r="B554" s="57"/>
      <c r="C554" s="57"/>
      <c r="D554" s="84"/>
      <c r="E554" s="57"/>
      <c r="F554" s="113"/>
    </row>
    <row r="555" s="307" customFormat="1" customHeight="1" spans="1:6">
      <c r="A555" s="57" t="s">
        <v>70</v>
      </c>
      <c r="B555" s="57" t="s">
        <v>977</v>
      </c>
      <c r="C555" s="194">
        <f>取费表!$C$12</f>
        <v>0.048</v>
      </c>
      <c r="D555" s="58"/>
      <c r="E555" s="84">
        <f>F546</f>
        <v>0.162166311111111</v>
      </c>
      <c r="F555" s="113">
        <f t="shared" ref="F555:F559" si="57">E555*C555</f>
        <v>0.00778398293333335</v>
      </c>
    </row>
    <row r="556" s="307" customFormat="1" customHeight="1" spans="1:6">
      <c r="A556" s="57"/>
      <c r="B556" s="57"/>
      <c r="C556" s="194"/>
      <c r="D556" s="58"/>
      <c r="E556" s="84"/>
      <c r="F556" s="113"/>
    </row>
    <row r="557" s="307" customFormat="1" customHeight="1" spans="1:6">
      <c r="A557" s="57" t="s">
        <v>979</v>
      </c>
      <c r="B557" s="57" t="s">
        <v>973</v>
      </c>
      <c r="C557" s="194">
        <f>取费表!$E$12</f>
        <v>0.0725</v>
      </c>
      <c r="D557" s="58"/>
      <c r="E557" s="84">
        <f>F545</f>
        <v>0.169950294044445</v>
      </c>
      <c r="F557" s="113">
        <f t="shared" si="57"/>
        <v>0.0123213963182222</v>
      </c>
    </row>
    <row r="558" s="307" customFormat="1" customHeight="1" spans="1:6">
      <c r="A558" s="57" t="s">
        <v>162</v>
      </c>
      <c r="B558" s="57" t="s">
        <v>980</v>
      </c>
      <c r="C558" s="194">
        <f>取费表!$F$12</f>
        <v>0.05</v>
      </c>
      <c r="D558" s="58"/>
      <c r="E558" s="84">
        <f>F557+F545</f>
        <v>0.182271690362667</v>
      </c>
      <c r="F558" s="113">
        <f t="shared" si="57"/>
        <v>0.00911358451813335</v>
      </c>
    </row>
    <row r="559" s="307" customFormat="1" customHeight="1" spans="1:6">
      <c r="A559" s="57" t="s">
        <v>214</v>
      </c>
      <c r="B559" s="57" t="s">
        <v>976</v>
      </c>
      <c r="C559" s="195">
        <f>取费表!$G$12</f>
        <v>0.09</v>
      </c>
      <c r="D559" s="58"/>
      <c r="E559" s="84">
        <f>F558+F557+F545</f>
        <v>0.1913852748808</v>
      </c>
      <c r="F559" s="113">
        <f t="shared" si="57"/>
        <v>0.017224674739272</v>
      </c>
    </row>
    <row r="560" s="307" customFormat="1" customHeight="1" spans="1:6">
      <c r="A560" s="57"/>
      <c r="B560" s="57" t="s">
        <v>984</v>
      </c>
      <c r="C560" s="195"/>
      <c r="D560" s="58"/>
      <c r="E560" s="84"/>
      <c r="F560" s="113">
        <f>(F545+F557+F558+F559)*取费表!$H$12</f>
        <v>0.00625829848860217</v>
      </c>
    </row>
    <row r="561" s="307" customFormat="1" customHeight="1" spans="1:6">
      <c r="A561" s="57"/>
      <c r="B561" s="57" t="s">
        <v>278</v>
      </c>
      <c r="C561" s="58"/>
      <c r="D561" s="58"/>
      <c r="E561" s="57"/>
      <c r="F561" s="113">
        <f>F545+F557+F558+F559+F560</f>
        <v>0.214868248108675</v>
      </c>
    </row>
    <row r="562" s="307" customFormat="1" customHeight="1" spans="1:6">
      <c r="A562" s="175" t="s">
        <v>944</v>
      </c>
      <c r="B562" s="176"/>
      <c r="C562" s="176"/>
      <c r="D562" s="176"/>
      <c r="E562" s="176"/>
      <c r="F562" s="176"/>
    </row>
    <row r="563" s="307" customFormat="1" customHeight="1" spans="1:6">
      <c r="A563" s="205" t="s">
        <v>1057</v>
      </c>
      <c r="B563" s="205"/>
      <c r="C563" s="205"/>
      <c r="D563" s="205"/>
      <c r="E563" s="205"/>
      <c r="F563" s="205"/>
    </row>
    <row r="564" s="307" customFormat="1" customHeight="1" spans="1:6">
      <c r="A564" s="191" t="s">
        <v>1058</v>
      </c>
      <c r="B564" s="191"/>
      <c r="C564" s="168"/>
      <c r="D564" s="168"/>
      <c r="E564" s="191" t="s">
        <v>1054</v>
      </c>
      <c r="F564" s="191"/>
    </row>
    <row r="565" s="307" customFormat="1" customHeight="1" spans="1:6">
      <c r="A565" s="117" t="s">
        <v>952</v>
      </c>
      <c r="B565" s="192"/>
      <c r="C565" s="201"/>
      <c r="D565" s="201"/>
      <c r="E565" s="201"/>
      <c r="F565" s="202"/>
    </row>
    <row r="566" s="307" customFormat="1" customHeight="1" spans="1:6">
      <c r="A566" s="57" t="s">
        <v>354</v>
      </c>
      <c r="B566" s="57" t="s">
        <v>956</v>
      </c>
      <c r="C566" s="57" t="s">
        <v>52</v>
      </c>
      <c r="D566" s="57" t="s">
        <v>855</v>
      </c>
      <c r="E566" s="57" t="s">
        <v>53</v>
      </c>
      <c r="F566" s="57" t="s">
        <v>306</v>
      </c>
    </row>
    <row r="567" s="307" customFormat="1" customHeight="1" spans="1:6">
      <c r="A567" s="57" t="s">
        <v>959</v>
      </c>
      <c r="B567" s="57" t="s">
        <v>960</v>
      </c>
      <c r="C567" s="57"/>
      <c r="D567" s="57"/>
      <c r="E567" s="57"/>
      <c r="F567" s="84">
        <f>F568+F577</f>
        <v>0.233379166577778</v>
      </c>
    </row>
    <row r="568" s="307" customFormat="1" customHeight="1" spans="1:6">
      <c r="A568" s="57" t="s">
        <v>59</v>
      </c>
      <c r="B568" s="57" t="s">
        <v>957</v>
      </c>
      <c r="C568" s="57"/>
      <c r="D568" s="57"/>
      <c r="E568" s="57"/>
      <c r="F568" s="84">
        <f>F569+F572+F575</f>
        <v>0.222690044444444</v>
      </c>
    </row>
    <row r="569" s="307" customFormat="1" customHeight="1" spans="1:6">
      <c r="A569" s="57">
        <v>1</v>
      </c>
      <c r="B569" s="57" t="s">
        <v>964</v>
      </c>
      <c r="C569" s="57" t="s">
        <v>965</v>
      </c>
      <c r="D569" s="113"/>
      <c r="E569" s="92">
        <f>SUM(E570:E571)</f>
        <v>0.0292688888888889</v>
      </c>
      <c r="F569" s="113">
        <f>SUM(F570:F571)</f>
        <v>0.2166206</v>
      </c>
    </row>
    <row r="570" s="307" customFormat="1" customHeight="1" spans="1:6">
      <c r="A570" s="57"/>
      <c r="B570" s="57" t="s">
        <v>966</v>
      </c>
      <c r="C570" s="57" t="s">
        <v>965</v>
      </c>
      <c r="D570" s="113">
        <v>8.1</v>
      </c>
      <c r="E570" s="124">
        <f>9.22*8/3600</f>
        <v>0.0204888888888889</v>
      </c>
      <c r="F570" s="113">
        <f t="shared" ref="F570:F574" si="58">D570*E570</f>
        <v>0.16596</v>
      </c>
    </row>
    <row r="571" s="307" customFormat="1" customHeight="1" spans="1:6">
      <c r="A571" s="57"/>
      <c r="B571" s="57" t="s">
        <v>968</v>
      </c>
      <c r="C571" s="57" t="s">
        <v>965</v>
      </c>
      <c r="D571" s="113">
        <v>5.77</v>
      </c>
      <c r="E571" s="124">
        <f>3.951*8/3600</f>
        <v>0.00878</v>
      </c>
      <c r="F571" s="113">
        <f t="shared" si="58"/>
        <v>0.0506606</v>
      </c>
    </row>
    <row r="572" s="307" customFormat="1" customHeight="1" spans="1:6">
      <c r="A572" s="57">
        <v>2</v>
      </c>
      <c r="B572" s="57" t="s">
        <v>967</v>
      </c>
      <c r="C572" s="57"/>
      <c r="D572" s="113"/>
      <c r="E572" s="124"/>
      <c r="F572" s="113">
        <f>SUM(F573:F574)</f>
        <v>0.00606944444444445</v>
      </c>
    </row>
    <row r="573" s="307" customFormat="1" customHeight="1" spans="1:6">
      <c r="A573" s="57"/>
      <c r="B573" s="57" t="s">
        <v>1059</v>
      </c>
      <c r="C573" s="57" t="s">
        <v>175</v>
      </c>
      <c r="D573" s="113"/>
      <c r="E573" s="124">
        <f>3672/3600</f>
        <v>1.02</v>
      </c>
      <c r="F573" s="113">
        <f t="shared" si="58"/>
        <v>0</v>
      </c>
    </row>
    <row r="574" s="307" customFormat="1" customHeight="1" spans="1:6">
      <c r="A574" s="57"/>
      <c r="B574" s="57" t="s">
        <v>1022</v>
      </c>
      <c r="C574" s="57" t="s">
        <v>1023</v>
      </c>
      <c r="D574" s="113">
        <f>材料预算价!$K$14</f>
        <v>4.37</v>
      </c>
      <c r="E574" s="124">
        <f>5/3600</f>
        <v>0.00138888888888889</v>
      </c>
      <c r="F574" s="113">
        <f t="shared" si="58"/>
        <v>0.00606944444444445</v>
      </c>
    </row>
    <row r="575" s="307" customFormat="1" customHeight="1" spans="1:6">
      <c r="A575" s="57">
        <v>3</v>
      </c>
      <c r="B575" s="57" t="s">
        <v>974</v>
      </c>
      <c r="C575" s="57"/>
      <c r="D575" s="57"/>
      <c r="E575" s="57"/>
      <c r="F575" s="113">
        <f>F576</f>
        <v>0</v>
      </c>
    </row>
    <row r="576" s="307" customFormat="1" customHeight="1" spans="1:6">
      <c r="A576" s="57"/>
      <c r="B576" s="57"/>
      <c r="C576" s="57"/>
      <c r="D576" s="84"/>
      <c r="E576" s="57"/>
      <c r="F576" s="113"/>
    </row>
    <row r="577" s="307" customFormat="1" customHeight="1" spans="1:6">
      <c r="A577" s="57" t="s">
        <v>70</v>
      </c>
      <c r="B577" s="57" t="s">
        <v>977</v>
      </c>
      <c r="C577" s="194">
        <f>取费表!$C$12</f>
        <v>0.048</v>
      </c>
      <c r="D577" s="58"/>
      <c r="E577" s="84">
        <f>F568</f>
        <v>0.222690044444444</v>
      </c>
      <c r="F577" s="113">
        <f t="shared" ref="F577:F581" si="59">E577*C577</f>
        <v>0.0106891221333333</v>
      </c>
    </row>
    <row r="578" s="307" customFormat="1" customHeight="1" spans="1:6">
      <c r="A578" s="57"/>
      <c r="B578" s="57"/>
      <c r="C578" s="194"/>
      <c r="D578" s="58"/>
      <c r="E578" s="84"/>
      <c r="F578" s="113"/>
    </row>
    <row r="579" s="307" customFormat="1" customHeight="1" spans="1:6">
      <c r="A579" s="57" t="s">
        <v>979</v>
      </c>
      <c r="B579" s="57" t="s">
        <v>973</v>
      </c>
      <c r="C579" s="194">
        <f>取费表!$E$12</f>
        <v>0.0725</v>
      </c>
      <c r="D579" s="58"/>
      <c r="E579" s="84">
        <f>F567</f>
        <v>0.233379166577778</v>
      </c>
      <c r="F579" s="113">
        <f t="shared" si="59"/>
        <v>0.0169199895768889</v>
      </c>
    </row>
    <row r="580" s="307" customFormat="1" customHeight="1" spans="1:6">
      <c r="A580" s="57" t="s">
        <v>162</v>
      </c>
      <c r="B580" s="57" t="s">
        <v>980</v>
      </c>
      <c r="C580" s="194">
        <f>取费表!$F$12</f>
        <v>0.05</v>
      </c>
      <c r="D580" s="58"/>
      <c r="E580" s="84">
        <f>F579+F567</f>
        <v>0.250299156154667</v>
      </c>
      <c r="F580" s="113">
        <f t="shared" si="59"/>
        <v>0.0125149578077333</v>
      </c>
    </row>
    <row r="581" s="307" customFormat="1" customHeight="1" spans="1:6">
      <c r="A581" s="57" t="s">
        <v>214</v>
      </c>
      <c r="B581" s="57" t="s">
        <v>976</v>
      </c>
      <c r="C581" s="195">
        <f>取费表!$G$12</f>
        <v>0.09</v>
      </c>
      <c r="D581" s="58"/>
      <c r="E581" s="84">
        <f>F580+F579+F567</f>
        <v>0.2628141139624</v>
      </c>
      <c r="F581" s="113">
        <f t="shared" si="59"/>
        <v>0.023653270256616</v>
      </c>
    </row>
    <row r="582" s="307" customFormat="1" customHeight="1" spans="1:6">
      <c r="A582" s="57"/>
      <c r="B582" s="57" t="s">
        <v>984</v>
      </c>
      <c r="C582" s="195"/>
      <c r="D582" s="58"/>
      <c r="E582" s="84"/>
      <c r="F582" s="113">
        <f>(F567+F579+F580+F581)*取费表!$H$12</f>
        <v>0.00859402152657048</v>
      </c>
    </row>
    <row r="583" s="307" customFormat="1" customHeight="1" spans="1:6">
      <c r="A583" s="57"/>
      <c r="B583" s="57" t="s">
        <v>278</v>
      </c>
      <c r="C583" s="58"/>
      <c r="D583" s="58"/>
      <c r="E583" s="57"/>
      <c r="F583" s="113">
        <f>F567+F579+F580+F581+F582</f>
        <v>0.295061405745586</v>
      </c>
    </row>
    <row r="584" s="307" customFormat="1" customHeight="1" spans="1:6">
      <c r="A584" s="175" t="s">
        <v>944</v>
      </c>
      <c r="B584" s="176"/>
      <c r="C584" s="176"/>
      <c r="D584" s="176"/>
      <c r="E584" s="176"/>
      <c r="F584" s="176"/>
    </row>
    <row r="585" s="307" customFormat="1" customHeight="1" spans="1:6">
      <c r="A585" s="205" t="s">
        <v>1060</v>
      </c>
      <c r="B585" s="205"/>
      <c r="C585" s="205"/>
      <c r="D585" s="205"/>
      <c r="E585" s="205"/>
      <c r="F585" s="205"/>
    </row>
    <row r="586" s="307" customFormat="1" customHeight="1" spans="1:6">
      <c r="A586" s="191" t="s">
        <v>1053</v>
      </c>
      <c r="B586" s="191"/>
      <c r="C586" s="168"/>
      <c r="D586" s="168"/>
      <c r="E586" s="191" t="s">
        <v>1054</v>
      </c>
      <c r="F586" s="191"/>
    </row>
    <row r="587" s="307" customFormat="1" customHeight="1" spans="1:6">
      <c r="A587" s="117" t="s">
        <v>952</v>
      </c>
      <c r="B587" s="192"/>
      <c r="C587" s="201"/>
      <c r="D587" s="201"/>
      <c r="E587" s="201"/>
      <c r="F587" s="202"/>
    </row>
    <row r="588" s="307" customFormat="1" customHeight="1" spans="1:6">
      <c r="A588" s="57" t="s">
        <v>354</v>
      </c>
      <c r="B588" s="57" t="s">
        <v>956</v>
      </c>
      <c r="C588" s="57" t="s">
        <v>52</v>
      </c>
      <c r="D588" s="57" t="s">
        <v>855</v>
      </c>
      <c r="E588" s="57" t="s">
        <v>53</v>
      </c>
      <c r="F588" s="57" t="s">
        <v>306</v>
      </c>
    </row>
    <row r="589" s="307" customFormat="1" customHeight="1" spans="1:6">
      <c r="A589" s="57" t="s">
        <v>959</v>
      </c>
      <c r="B589" s="57" t="s">
        <v>960</v>
      </c>
      <c r="C589" s="57"/>
      <c r="D589" s="57"/>
      <c r="E589" s="57"/>
      <c r="F589" s="84">
        <f>F590+F599</f>
        <v>0.169950294044445</v>
      </c>
    </row>
    <row r="590" s="307" customFormat="1" customHeight="1" spans="1:6">
      <c r="A590" s="57" t="s">
        <v>59</v>
      </c>
      <c r="B590" s="57" t="s">
        <v>957</v>
      </c>
      <c r="C590" s="57"/>
      <c r="D590" s="57"/>
      <c r="E590" s="57"/>
      <c r="F590" s="84">
        <f>F591+F594+F597</f>
        <v>0.162166311111111</v>
      </c>
    </row>
    <row r="591" s="307" customFormat="1" customHeight="1" spans="1:6">
      <c r="A591" s="57">
        <v>1</v>
      </c>
      <c r="B591" s="57" t="s">
        <v>964</v>
      </c>
      <c r="C591" s="57" t="s">
        <v>965</v>
      </c>
      <c r="D591" s="113"/>
      <c r="E591" s="92">
        <f>SUM(E592:E593)</f>
        <v>0.0210911111111111</v>
      </c>
      <c r="F591" s="113">
        <f>SUM(F592:F593)</f>
        <v>0.156096866666667</v>
      </c>
    </row>
    <row r="592" s="307" customFormat="1" customHeight="1" spans="1:6">
      <c r="A592" s="57"/>
      <c r="B592" s="57" t="s">
        <v>966</v>
      </c>
      <c r="C592" s="57" t="s">
        <v>965</v>
      </c>
      <c r="D592" s="113">
        <v>8.1</v>
      </c>
      <c r="E592" s="124">
        <f>6.644*8/3600</f>
        <v>0.0147644444444444</v>
      </c>
      <c r="F592" s="113">
        <f t="shared" ref="F592:F596" si="60">D592*E592</f>
        <v>0.119592</v>
      </c>
    </row>
    <row r="593" s="307" customFormat="1" customHeight="1" spans="1:6">
      <c r="A593" s="57"/>
      <c r="B593" s="57" t="s">
        <v>968</v>
      </c>
      <c r="C593" s="57" t="s">
        <v>965</v>
      </c>
      <c r="D593" s="113">
        <v>5.77</v>
      </c>
      <c r="E593" s="124">
        <f>2.847*8/3600</f>
        <v>0.00632666666666667</v>
      </c>
      <c r="F593" s="113">
        <f t="shared" si="60"/>
        <v>0.0365048666666667</v>
      </c>
    </row>
    <row r="594" s="307" customFormat="1" customHeight="1" spans="1:6">
      <c r="A594" s="57">
        <v>2</v>
      </c>
      <c r="B594" s="57" t="s">
        <v>967</v>
      </c>
      <c r="C594" s="57"/>
      <c r="D594" s="113"/>
      <c r="E594" s="124"/>
      <c r="F594" s="113">
        <f>SUM(F595:F596)</f>
        <v>0.00606944444444445</v>
      </c>
    </row>
    <row r="595" s="307" customFormat="1" customHeight="1" spans="1:6">
      <c r="A595" s="57"/>
      <c r="B595" s="57" t="s">
        <v>1061</v>
      </c>
      <c r="C595" s="57" t="s">
        <v>175</v>
      </c>
      <c r="D595" s="113"/>
      <c r="E595" s="124">
        <f>3744/3600</f>
        <v>1.04</v>
      </c>
      <c r="F595" s="113">
        <f t="shared" si="60"/>
        <v>0</v>
      </c>
    </row>
    <row r="596" s="307" customFormat="1" customHeight="1" spans="1:6">
      <c r="A596" s="57"/>
      <c r="B596" s="57" t="s">
        <v>1022</v>
      </c>
      <c r="C596" s="57" t="s">
        <v>1023</v>
      </c>
      <c r="D596" s="113">
        <f>材料预算价!$K$14</f>
        <v>4.37</v>
      </c>
      <c r="E596" s="124">
        <f>5/3600</f>
        <v>0.00138888888888889</v>
      </c>
      <c r="F596" s="113">
        <f t="shared" si="60"/>
        <v>0.00606944444444445</v>
      </c>
    </row>
    <row r="597" s="307" customFormat="1" customHeight="1" spans="1:6">
      <c r="A597" s="57">
        <v>3</v>
      </c>
      <c r="B597" s="57" t="s">
        <v>974</v>
      </c>
      <c r="C597" s="57"/>
      <c r="D597" s="57"/>
      <c r="E597" s="57"/>
      <c r="F597" s="113">
        <f>F598</f>
        <v>0</v>
      </c>
    </row>
    <row r="598" s="307" customFormat="1" customHeight="1" spans="1:6">
      <c r="A598" s="57"/>
      <c r="B598" s="57"/>
      <c r="C598" s="57"/>
      <c r="D598" s="84"/>
      <c r="E598" s="57"/>
      <c r="F598" s="113"/>
    </row>
    <row r="599" s="307" customFormat="1" customHeight="1" spans="1:6">
      <c r="A599" s="57" t="s">
        <v>70</v>
      </c>
      <c r="B599" s="57" t="s">
        <v>977</v>
      </c>
      <c r="C599" s="194">
        <f>取费表!$C$12</f>
        <v>0.048</v>
      </c>
      <c r="D599" s="58"/>
      <c r="E599" s="84">
        <f>F590</f>
        <v>0.162166311111111</v>
      </c>
      <c r="F599" s="113">
        <f t="shared" ref="F599:F603" si="61">E599*C599</f>
        <v>0.00778398293333335</v>
      </c>
    </row>
    <row r="600" s="307" customFormat="1" customHeight="1" spans="1:6">
      <c r="A600" s="57"/>
      <c r="B600" s="57"/>
      <c r="C600" s="194"/>
      <c r="D600" s="58"/>
      <c r="E600" s="84"/>
      <c r="F600" s="113"/>
    </row>
    <row r="601" s="307" customFormat="1" customHeight="1" spans="1:6">
      <c r="A601" s="57" t="s">
        <v>979</v>
      </c>
      <c r="B601" s="57" t="s">
        <v>973</v>
      </c>
      <c r="C601" s="194">
        <f>取费表!$E$12</f>
        <v>0.0725</v>
      </c>
      <c r="D601" s="58"/>
      <c r="E601" s="84">
        <f>F589</f>
        <v>0.169950294044445</v>
      </c>
      <c r="F601" s="113">
        <f t="shared" si="61"/>
        <v>0.0123213963182222</v>
      </c>
    </row>
    <row r="602" s="307" customFormat="1" customHeight="1" spans="1:6">
      <c r="A602" s="57" t="s">
        <v>162</v>
      </c>
      <c r="B602" s="57" t="s">
        <v>980</v>
      </c>
      <c r="C602" s="194">
        <f>取费表!$F$12</f>
        <v>0.05</v>
      </c>
      <c r="D602" s="58"/>
      <c r="E602" s="84">
        <f>F601+F589</f>
        <v>0.182271690362667</v>
      </c>
      <c r="F602" s="113">
        <f t="shared" si="61"/>
        <v>0.00911358451813335</v>
      </c>
    </row>
    <row r="603" s="307" customFormat="1" customHeight="1" spans="1:6">
      <c r="A603" s="57" t="s">
        <v>214</v>
      </c>
      <c r="B603" s="57" t="s">
        <v>976</v>
      </c>
      <c r="C603" s="195">
        <f>取费表!$G$12</f>
        <v>0.09</v>
      </c>
      <c r="D603" s="58"/>
      <c r="E603" s="84">
        <f>F602+F601+F589</f>
        <v>0.1913852748808</v>
      </c>
      <c r="F603" s="113">
        <f t="shared" si="61"/>
        <v>0.017224674739272</v>
      </c>
    </row>
    <row r="604" s="307" customFormat="1" customHeight="1" spans="1:6">
      <c r="A604" s="57"/>
      <c r="B604" s="57" t="s">
        <v>984</v>
      </c>
      <c r="C604" s="195"/>
      <c r="D604" s="58"/>
      <c r="E604" s="84"/>
      <c r="F604" s="113">
        <f>(F589+F601+F602+F603)*取费表!$H$12</f>
        <v>0.00625829848860217</v>
      </c>
    </row>
    <row r="605" s="307" customFormat="1" customHeight="1" spans="1:6">
      <c r="A605" s="57"/>
      <c r="B605" s="57" t="s">
        <v>278</v>
      </c>
      <c r="C605" s="58"/>
      <c r="D605" s="58"/>
      <c r="E605" s="57"/>
      <c r="F605" s="113">
        <f>F589+F601+F602+F603+F604</f>
        <v>0.214868248108675</v>
      </c>
    </row>
    <row r="606" s="307" customFormat="1" customHeight="1" spans="1:6">
      <c r="A606" s="175" t="s">
        <v>944</v>
      </c>
      <c r="B606" s="176"/>
      <c r="C606" s="176"/>
      <c r="D606" s="176"/>
      <c r="E606" s="176"/>
      <c r="F606" s="176"/>
    </row>
    <row r="607" s="307" customFormat="1" customHeight="1" spans="1:6">
      <c r="A607" s="205" t="s">
        <v>1062</v>
      </c>
      <c r="B607" s="205"/>
      <c r="C607" s="205"/>
      <c r="D607" s="205"/>
      <c r="E607" s="205"/>
      <c r="F607" s="205"/>
    </row>
    <row r="608" s="307" customFormat="1" customHeight="1" spans="1:6">
      <c r="A608" s="191" t="s">
        <v>1063</v>
      </c>
      <c r="B608" s="191"/>
      <c r="C608" s="168"/>
      <c r="D608" s="168"/>
      <c r="E608" s="191" t="s">
        <v>1054</v>
      </c>
      <c r="F608" s="191"/>
    </row>
    <row r="609" s="307" customFormat="1" customHeight="1" spans="1:6">
      <c r="A609" s="117" t="s">
        <v>952</v>
      </c>
      <c r="B609" s="192"/>
      <c r="C609" s="201"/>
      <c r="D609" s="201"/>
      <c r="E609" s="201"/>
      <c r="F609" s="202"/>
    </row>
    <row r="610" s="307" customFormat="1" customHeight="1" spans="1:6">
      <c r="A610" s="57" t="s">
        <v>354</v>
      </c>
      <c r="B610" s="57" t="s">
        <v>956</v>
      </c>
      <c r="C610" s="57" t="s">
        <v>52</v>
      </c>
      <c r="D610" s="57" t="s">
        <v>855</v>
      </c>
      <c r="E610" s="57" t="s">
        <v>53</v>
      </c>
      <c r="F610" s="57" t="s">
        <v>306</v>
      </c>
    </row>
    <row r="611" s="307" customFormat="1" customHeight="1" spans="1:6">
      <c r="A611" s="57" t="s">
        <v>959</v>
      </c>
      <c r="B611" s="57" t="s">
        <v>960</v>
      </c>
      <c r="C611" s="57"/>
      <c r="D611" s="57"/>
      <c r="E611" s="57"/>
      <c r="F611" s="84">
        <f>F612+F621</f>
        <v>0.376348068096</v>
      </c>
    </row>
    <row r="612" s="307" customFormat="1" customHeight="1" spans="1:6">
      <c r="A612" s="57" t="s">
        <v>59</v>
      </c>
      <c r="B612" s="57" t="s">
        <v>957</v>
      </c>
      <c r="C612" s="57"/>
      <c r="D612" s="57"/>
      <c r="E612" s="57"/>
      <c r="F612" s="84">
        <f>F613+F616+F619</f>
        <v>0.359110752</v>
      </c>
    </row>
    <row r="613" s="307" customFormat="1" customHeight="1" spans="1:6">
      <c r="A613" s="57">
        <v>1</v>
      </c>
      <c r="B613" s="57" t="s">
        <v>964</v>
      </c>
      <c r="C613" s="57" t="s">
        <v>965</v>
      </c>
      <c r="D613" s="113"/>
      <c r="E613" s="92">
        <f>SUM(E614:E615)</f>
        <v>0.0473408</v>
      </c>
      <c r="F613" s="113">
        <f>SUM(F614:F615)</f>
        <v>0.350370752</v>
      </c>
    </row>
    <row r="614" s="307" customFormat="1" customHeight="1" spans="1:6">
      <c r="A614" s="57"/>
      <c r="B614" s="57" t="s">
        <v>966</v>
      </c>
      <c r="C614" s="57" t="s">
        <v>965</v>
      </c>
      <c r="D614" s="113">
        <v>8.1</v>
      </c>
      <c r="E614" s="124">
        <f>10.356*8/2500</f>
        <v>0.0331392</v>
      </c>
      <c r="F614" s="113">
        <f t="shared" ref="F614:F618" si="62">D614*E614</f>
        <v>0.26842752</v>
      </c>
    </row>
    <row r="615" s="307" customFormat="1" customHeight="1" spans="1:6">
      <c r="A615" s="57"/>
      <c r="B615" s="57" t="s">
        <v>968</v>
      </c>
      <c r="C615" s="57" t="s">
        <v>965</v>
      </c>
      <c r="D615" s="113">
        <v>5.77</v>
      </c>
      <c r="E615" s="124">
        <f>4.438*8/2500</f>
        <v>0.0142016</v>
      </c>
      <c r="F615" s="113">
        <f t="shared" si="62"/>
        <v>0.081943232</v>
      </c>
    </row>
    <row r="616" s="307" customFormat="1" customHeight="1" spans="1:6">
      <c r="A616" s="57">
        <v>2</v>
      </c>
      <c r="B616" s="57" t="s">
        <v>967</v>
      </c>
      <c r="C616" s="57"/>
      <c r="D616" s="113"/>
      <c r="E616" s="124"/>
      <c r="F616" s="113">
        <f>SUM(F617:F618)</f>
        <v>0.00874</v>
      </c>
    </row>
    <row r="617" s="307" customFormat="1" customHeight="1" spans="1:6">
      <c r="A617" s="57"/>
      <c r="B617" s="57" t="s">
        <v>1064</v>
      </c>
      <c r="C617" s="57" t="s">
        <v>175</v>
      </c>
      <c r="D617" s="113"/>
      <c r="E617" s="124">
        <f>2550/2500</f>
        <v>1.02</v>
      </c>
      <c r="F617" s="113">
        <f t="shared" si="62"/>
        <v>0</v>
      </c>
    </row>
    <row r="618" s="307" customFormat="1" customHeight="1" spans="1:6">
      <c r="A618" s="57"/>
      <c r="B618" s="57" t="s">
        <v>1022</v>
      </c>
      <c r="C618" s="57" t="s">
        <v>1023</v>
      </c>
      <c r="D618" s="113">
        <f>材料预算价!$K$14</f>
        <v>4.37</v>
      </c>
      <c r="E618" s="124">
        <f>5/2500</f>
        <v>0.002</v>
      </c>
      <c r="F618" s="113">
        <f t="shared" si="62"/>
        <v>0.00874</v>
      </c>
    </row>
    <row r="619" s="307" customFormat="1" customHeight="1" spans="1:6">
      <c r="A619" s="57">
        <v>3</v>
      </c>
      <c r="B619" s="57" t="s">
        <v>974</v>
      </c>
      <c r="C619" s="57"/>
      <c r="D619" s="57"/>
      <c r="E619" s="57"/>
      <c r="F619" s="113">
        <f>F620</f>
        <v>0</v>
      </c>
    </row>
    <row r="620" s="307" customFormat="1" customHeight="1" spans="1:6">
      <c r="A620" s="57"/>
      <c r="B620" s="57"/>
      <c r="C620" s="57"/>
      <c r="D620" s="84"/>
      <c r="E620" s="57"/>
      <c r="F620" s="113"/>
    </row>
    <row r="621" s="307" customFormat="1" customHeight="1" spans="1:6">
      <c r="A621" s="57" t="s">
        <v>70</v>
      </c>
      <c r="B621" s="57" t="s">
        <v>977</v>
      </c>
      <c r="C621" s="194">
        <f>取费表!$C$12</f>
        <v>0.048</v>
      </c>
      <c r="D621" s="58"/>
      <c r="E621" s="84">
        <f>F612</f>
        <v>0.359110752</v>
      </c>
      <c r="F621" s="113">
        <f t="shared" ref="F621:F625" si="63">E621*C621</f>
        <v>0.017237316096</v>
      </c>
    </row>
    <row r="622" s="307" customFormat="1" customHeight="1" spans="1:6">
      <c r="A622" s="57"/>
      <c r="B622" s="57"/>
      <c r="C622" s="194"/>
      <c r="D622" s="58"/>
      <c r="E622" s="84"/>
      <c r="F622" s="113"/>
    </row>
    <row r="623" s="307" customFormat="1" customHeight="1" spans="1:6">
      <c r="A623" s="57" t="s">
        <v>979</v>
      </c>
      <c r="B623" s="57" t="s">
        <v>973</v>
      </c>
      <c r="C623" s="194">
        <f>取费表!$E$12</f>
        <v>0.0725</v>
      </c>
      <c r="D623" s="58"/>
      <c r="E623" s="84">
        <f>F611</f>
        <v>0.376348068096</v>
      </c>
      <c r="F623" s="113">
        <f t="shared" si="63"/>
        <v>0.02728523493696</v>
      </c>
    </row>
    <row r="624" s="307" customFormat="1" customHeight="1" spans="1:6">
      <c r="A624" s="57" t="s">
        <v>162</v>
      </c>
      <c r="B624" s="57" t="s">
        <v>980</v>
      </c>
      <c r="C624" s="194">
        <f>取费表!$F$12</f>
        <v>0.05</v>
      </c>
      <c r="D624" s="58"/>
      <c r="E624" s="84">
        <f>F623+F611</f>
        <v>0.40363330303296</v>
      </c>
      <c r="F624" s="113">
        <f t="shared" si="63"/>
        <v>0.020181665151648</v>
      </c>
    </row>
    <row r="625" s="307" customFormat="1" customHeight="1" spans="1:6">
      <c r="A625" s="57" t="s">
        <v>214</v>
      </c>
      <c r="B625" s="57" t="s">
        <v>976</v>
      </c>
      <c r="C625" s="195">
        <f>取费表!$G$12</f>
        <v>0.09</v>
      </c>
      <c r="D625" s="58"/>
      <c r="E625" s="84">
        <f>F624+F623+F611</f>
        <v>0.423814968184608</v>
      </c>
      <c r="F625" s="113">
        <f t="shared" si="63"/>
        <v>0.0381433471366147</v>
      </c>
    </row>
    <row r="626" s="307" customFormat="1" customHeight="1" spans="1:6">
      <c r="A626" s="57"/>
      <c r="B626" s="57" t="s">
        <v>984</v>
      </c>
      <c r="C626" s="195"/>
      <c r="D626" s="58"/>
      <c r="E626" s="84"/>
      <c r="F626" s="113">
        <f>(F611+F623+F624+F625)*取费表!$H$12</f>
        <v>0.0138587494596367</v>
      </c>
    </row>
    <row r="627" s="307" customFormat="1" customHeight="1" spans="1:6">
      <c r="A627" s="57"/>
      <c r="B627" s="57" t="s">
        <v>278</v>
      </c>
      <c r="C627" s="58"/>
      <c r="D627" s="58"/>
      <c r="E627" s="57"/>
      <c r="F627" s="113">
        <f>F611+F623+F624+F625+F626</f>
        <v>0.475817064780859</v>
      </c>
    </row>
    <row r="628" s="307" customFormat="1" customHeight="1" spans="1:6">
      <c r="A628" s="175" t="s">
        <v>944</v>
      </c>
      <c r="B628" s="176"/>
      <c r="C628" s="176"/>
      <c r="D628" s="176"/>
      <c r="E628" s="176"/>
      <c r="F628" s="176"/>
    </row>
    <row r="629" s="307" customFormat="1" customHeight="1" spans="1:6">
      <c r="A629" s="205" t="s">
        <v>1065</v>
      </c>
      <c r="B629" s="205"/>
      <c r="C629" s="205"/>
      <c r="D629" s="205"/>
      <c r="E629" s="205"/>
      <c r="F629" s="205"/>
    </row>
    <row r="630" s="307" customFormat="1" customHeight="1" spans="1:6">
      <c r="A630" s="191" t="s">
        <v>1066</v>
      </c>
      <c r="B630" s="191"/>
      <c r="C630" s="168"/>
      <c r="D630" s="168"/>
      <c r="E630" s="191" t="s">
        <v>1054</v>
      </c>
      <c r="F630" s="191"/>
    </row>
    <row r="631" s="307" customFormat="1" customHeight="1" spans="1:6">
      <c r="A631" s="117" t="s">
        <v>952</v>
      </c>
      <c r="B631" s="192"/>
      <c r="C631" s="201"/>
      <c r="D631" s="201"/>
      <c r="E631" s="201"/>
      <c r="F631" s="202"/>
    </row>
    <row r="632" s="307" customFormat="1" customHeight="1" spans="1:6">
      <c r="A632" s="57" t="s">
        <v>354</v>
      </c>
      <c r="B632" s="57" t="s">
        <v>956</v>
      </c>
      <c r="C632" s="57" t="s">
        <v>52</v>
      </c>
      <c r="D632" s="57" t="s">
        <v>855</v>
      </c>
      <c r="E632" s="57" t="s">
        <v>53</v>
      </c>
      <c r="F632" s="57" t="s">
        <v>306</v>
      </c>
    </row>
    <row r="633" s="307" customFormat="1" customHeight="1" spans="1:6">
      <c r="A633" s="57" t="s">
        <v>959</v>
      </c>
      <c r="B633" s="57" t="s">
        <v>960</v>
      </c>
      <c r="C633" s="57"/>
      <c r="D633" s="57"/>
      <c r="E633" s="57"/>
      <c r="F633" s="84">
        <f>F634+F643</f>
        <v>0.225865228288</v>
      </c>
    </row>
    <row r="634" s="307" customFormat="1" customHeight="1" spans="1:6">
      <c r="A634" s="57" t="s">
        <v>59</v>
      </c>
      <c r="B634" s="57" t="s">
        <v>957</v>
      </c>
      <c r="C634" s="57"/>
      <c r="D634" s="57"/>
      <c r="E634" s="57"/>
      <c r="F634" s="84">
        <f>F635+F638+F641</f>
        <v>0.215520256</v>
      </c>
    </row>
    <row r="635" s="307" customFormat="1" customHeight="1" spans="1:6">
      <c r="A635" s="57">
        <v>1</v>
      </c>
      <c r="B635" s="57" t="s">
        <v>964</v>
      </c>
      <c r="C635" s="57" t="s">
        <v>965</v>
      </c>
      <c r="D635" s="113"/>
      <c r="E635" s="92">
        <f>SUM(E636:E637)</f>
        <v>0.0279392</v>
      </c>
      <c r="F635" s="113">
        <f>SUM(F636:F637)</f>
        <v>0.206780256</v>
      </c>
    </row>
    <row r="636" s="307" customFormat="1" customHeight="1" spans="1:6">
      <c r="A636" s="57"/>
      <c r="B636" s="57" t="s">
        <v>966</v>
      </c>
      <c r="C636" s="57" t="s">
        <v>965</v>
      </c>
      <c r="D636" s="113">
        <v>8.1</v>
      </c>
      <c r="E636" s="124">
        <f>6.112*8/2500</f>
        <v>0.0195584</v>
      </c>
      <c r="F636" s="113">
        <f t="shared" ref="F636:F640" si="64">D636*E636</f>
        <v>0.15842304</v>
      </c>
    </row>
    <row r="637" s="307" customFormat="1" customHeight="1" spans="1:6">
      <c r="A637" s="57"/>
      <c r="B637" s="57" t="s">
        <v>968</v>
      </c>
      <c r="C637" s="57" t="s">
        <v>965</v>
      </c>
      <c r="D637" s="113">
        <v>5.77</v>
      </c>
      <c r="E637" s="124">
        <f>2.619*8/2500</f>
        <v>0.0083808</v>
      </c>
      <c r="F637" s="113">
        <f t="shared" si="64"/>
        <v>0.048357216</v>
      </c>
    </row>
    <row r="638" s="307" customFormat="1" customHeight="1" spans="1:6">
      <c r="A638" s="57">
        <v>2</v>
      </c>
      <c r="B638" s="57" t="s">
        <v>967</v>
      </c>
      <c r="C638" s="57"/>
      <c r="D638" s="113"/>
      <c r="E638" s="124"/>
      <c r="F638" s="113">
        <f>SUM(F639:F640)</f>
        <v>0.00874</v>
      </c>
    </row>
    <row r="639" s="307" customFormat="1" customHeight="1" spans="1:6">
      <c r="A639" s="57"/>
      <c r="B639" s="57" t="s">
        <v>1067</v>
      </c>
      <c r="C639" s="57" t="s">
        <v>175</v>
      </c>
      <c r="D639" s="113"/>
      <c r="E639" s="124">
        <f>2600/2500</f>
        <v>1.04</v>
      </c>
      <c r="F639" s="113">
        <f t="shared" si="64"/>
        <v>0</v>
      </c>
    </row>
    <row r="640" s="307" customFormat="1" customHeight="1" spans="1:6">
      <c r="A640" s="57"/>
      <c r="B640" s="57" t="s">
        <v>1022</v>
      </c>
      <c r="C640" s="57" t="s">
        <v>1023</v>
      </c>
      <c r="D640" s="113">
        <f>材料预算价!$K$14</f>
        <v>4.37</v>
      </c>
      <c r="E640" s="124">
        <f>5/2500</f>
        <v>0.002</v>
      </c>
      <c r="F640" s="113">
        <f t="shared" si="64"/>
        <v>0.00874</v>
      </c>
    </row>
    <row r="641" s="307" customFormat="1" customHeight="1" spans="1:6">
      <c r="A641" s="57">
        <v>3</v>
      </c>
      <c r="B641" s="57" t="s">
        <v>974</v>
      </c>
      <c r="C641" s="57"/>
      <c r="D641" s="57"/>
      <c r="E641" s="57"/>
      <c r="F641" s="113">
        <f>F642</f>
        <v>0</v>
      </c>
    </row>
    <row r="642" s="307" customFormat="1" customHeight="1" spans="1:6">
      <c r="A642" s="57"/>
      <c r="B642" s="57"/>
      <c r="C642" s="57"/>
      <c r="D642" s="84"/>
      <c r="E642" s="57"/>
      <c r="F642" s="113"/>
    </row>
    <row r="643" s="307" customFormat="1" customHeight="1" spans="1:6">
      <c r="A643" s="57" t="s">
        <v>70</v>
      </c>
      <c r="B643" s="57" t="s">
        <v>977</v>
      </c>
      <c r="C643" s="194">
        <f>取费表!$C$12</f>
        <v>0.048</v>
      </c>
      <c r="D643" s="58"/>
      <c r="E643" s="84">
        <f>F634</f>
        <v>0.215520256</v>
      </c>
      <c r="F643" s="113">
        <f t="shared" ref="F643:F647" si="65">E643*C643</f>
        <v>0.010344972288</v>
      </c>
    </row>
    <row r="644" s="307" customFormat="1" customHeight="1" spans="1:6">
      <c r="A644" s="57"/>
      <c r="B644" s="57"/>
      <c r="C644" s="194"/>
      <c r="D644" s="58"/>
      <c r="E644" s="84"/>
      <c r="F644" s="113"/>
    </row>
    <row r="645" s="307" customFormat="1" customHeight="1" spans="1:6">
      <c r="A645" s="57" t="s">
        <v>979</v>
      </c>
      <c r="B645" s="57" t="s">
        <v>973</v>
      </c>
      <c r="C645" s="194">
        <f>取费表!$E$12</f>
        <v>0.0725</v>
      </c>
      <c r="D645" s="58"/>
      <c r="E645" s="84">
        <f>F633</f>
        <v>0.225865228288</v>
      </c>
      <c r="F645" s="113">
        <f t="shared" si="65"/>
        <v>0.01637522905088</v>
      </c>
    </row>
    <row r="646" s="307" customFormat="1" customHeight="1" spans="1:6">
      <c r="A646" s="57" t="s">
        <v>162</v>
      </c>
      <c r="B646" s="57" t="s">
        <v>980</v>
      </c>
      <c r="C646" s="194">
        <f>取费表!$F$12</f>
        <v>0.05</v>
      </c>
      <c r="D646" s="58"/>
      <c r="E646" s="84">
        <f>F645+F633</f>
        <v>0.24224045733888</v>
      </c>
      <c r="F646" s="113">
        <f t="shared" si="65"/>
        <v>0.012112022866944</v>
      </c>
    </row>
    <row r="647" s="307" customFormat="1" customHeight="1" spans="1:6">
      <c r="A647" s="57" t="s">
        <v>214</v>
      </c>
      <c r="B647" s="57" t="s">
        <v>976</v>
      </c>
      <c r="C647" s="195">
        <f>取费表!$G$12</f>
        <v>0.09</v>
      </c>
      <c r="D647" s="58"/>
      <c r="E647" s="84">
        <f>F646+F645+F633</f>
        <v>0.254352480205824</v>
      </c>
      <c r="F647" s="113">
        <f t="shared" si="65"/>
        <v>0.0228917232185242</v>
      </c>
    </row>
    <row r="648" s="307" customFormat="1" customHeight="1" spans="1:6">
      <c r="A648" s="57"/>
      <c r="B648" s="57" t="s">
        <v>984</v>
      </c>
      <c r="C648" s="195"/>
      <c r="D648" s="58"/>
      <c r="E648" s="84"/>
      <c r="F648" s="113">
        <f>(F633+F645+F646+F647)*取费表!$H$12</f>
        <v>0.00831732610273044</v>
      </c>
    </row>
    <row r="649" s="307" customFormat="1" customHeight="1" spans="1:6">
      <c r="A649" s="57"/>
      <c r="B649" s="57" t="s">
        <v>278</v>
      </c>
      <c r="C649" s="58"/>
      <c r="D649" s="58"/>
      <c r="E649" s="57"/>
      <c r="F649" s="113">
        <f>F633+F645+F646+F647+F648</f>
        <v>0.285561529527079</v>
      </c>
    </row>
    <row r="650" s="307" customFormat="1" customHeight="1" spans="1:6">
      <c r="A650" s="175" t="s">
        <v>944</v>
      </c>
      <c r="B650" s="176"/>
      <c r="C650" s="176"/>
      <c r="D650" s="176"/>
      <c r="E650" s="176"/>
      <c r="F650" s="176"/>
    </row>
    <row r="651" s="307" customFormat="1" customHeight="1" spans="1:6">
      <c r="A651" s="205" t="s">
        <v>1068</v>
      </c>
      <c r="B651" s="205"/>
      <c r="C651" s="205"/>
      <c r="D651" s="205"/>
      <c r="E651" s="205"/>
      <c r="F651" s="205"/>
    </row>
    <row r="652" s="307" customFormat="1" customHeight="1" spans="1:6">
      <c r="A652" s="191" t="s">
        <v>1053</v>
      </c>
      <c r="B652" s="191"/>
      <c r="C652" s="168"/>
      <c r="D652" s="168"/>
      <c r="E652" s="191" t="s">
        <v>1054</v>
      </c>
      <c r="F652" s="191"/>
    </row>
    <row r="653" s="307" customFormat="1" customHeight="1" spans="1:6">
      <c r="A653" s="117" t="s">
        <v>952</v>
      </c>
      <c r="B653" s="192"/>
      <c r="C653" s="201"/>
      <c r="D653" s="201"/>
      <c r="E653" s="201"/>
      <c r="F653" s="202"/>
    </row>
    <row r="654" s="307" customFormat="1" customHeight="1" spans="1:6">
      <c r="A654" s="57" t="s">
        <v>354</v>
      </c>
      <c r="B654" s="57" t="s">
        <v>956</v>
      </c>
      <c r="C654" s="57" t="s">
        <v>52</v>
      </c>
      <c r="D654" s="57" t="s">
        <v>855</v>
      </c>
      <c r="E654" s="57" t="s">
        <v>53</v>
      </c>
      <c r="F654" s="57" t="s">
        <v>306</v>
      </c>
    </row>
    <row r="655" s="307" customFormat="1" customHeight="1" spans="1:6">
      <c r="A655" s="57" t="s">
        <v>959</v>
      </c>
      <c r="B655" s="57" t="s">
        <v>960</v>
      </c>
      <c r="C655" s="57"/>
      <c r="D655" s="57"/>
      <c r="E655" s="57"/>
      <c r="F655" s="84">
        <f>F656+F665</f>
        <v>0.169950294044445</v>
      </c>
    </row>
    <row r="656" s="307" customFormat="1" customHeight="1" spans="1:6">
      <c r="A656" s="57" t="s">
        <v>59</v>
      </c>
      <c r="B656" s="57" t="s">
        <v>957</v>
      </c>
      <c r="C656" s="57"/>
      <c r="D656" s="57"/>
      <c r="E656" s="57"/>
      <c r="F656" s="84">
        <f>F657+F660+F663</f>
        <v>0.162166311111111</v>
      </c>
    </row>
    <row r="657" s="307" customFormat="1" customHeight="1" spans="1:6">
      <c r="A657" s="57">
        <v>1</v>
      </c>
      <c r="B657" s="57" t="s">
        <v>964</v>
      </c>
      <c r="C657" s="57" t="s">
        <v>965</v>
      </c>
      <c r="D657" s="113"/>
      <c r="E657" s="92">
        <f>SUM(E658:E659)</f>
        <v>0.0210911111111111</v>
      </c>
      <c r="F657" s="113">
        <f>SUM(F658:F659)</f>
        <v>0.156096866666667</v>
      </c>
    </row>
    <row r="658" s="307" customFormat="1" customHeight="1" spans="1:6">
      <c r="A658" s="57"/>
      <c r="B658" s="57" t="s">
        <v>966</v>
      </c>
      <c r="C658" s="57" t="s">
        <v>965</v>
      </c>
      <c r="D658" s="113">
        <v>8.1</v>
      </c>
      <c r="E658" s="124">
        <f>6.644*8/3600</f>
        <v>0.0147644444444444</v>
      </c>
      <c r="F658" s="113">
        <f t="shared" ref="F658:F662" si="66">D658*E658</f>
        <v>0.119592</v>
      </c>
    </row>
    <row r="659" s="307" customFormat="1" customHeight="1" spans="1:6">
      <c r="A659" s="57"/>
      <c r="B659" s="57" t="s">
        <v>968</v>
      </c>
      <c r="C659" s="57" t="s">
        <v>965</v>
      </c>
      <c r="D659" s="113">
        <v>5.77</v>
      </c>
      <c r="E659" s="124">
        <f>2.847*8/3600</f>
        <v>0.00632666666666667</v>
      </c>
      <c r="F659" s="113">
        <f t="shared" si="66"/>
        <v>0.0365048666666667</v>
      </c>
    </row>
    <row r="660" s="307" customFormat="1" customHeight="1" spans="1:6">
      <c r="A660" s="57">
        <v>2</v>
      </c>
      <c r="B660" s="57" t="s">
        <v>967</v>
      </c>
      <c r="C660" s="57"/>
      <c r="D660" s="113"/>
      <c r="E660" s="124"/>
      <c r="F660" s="113">
        <f>SUM(F661:F662)</f>
        <v>0.00606944444444445</v>
      </c>
    </row>
    <row r="661" s="307" customFormat="1" customHeight="1" spans="1:6">
      <c r="A661" s="57"/>
      <c r="B661" s="57" t="s">
        <v>1069</v>
      </c>
      <c r="C661" s="57" t="s">
        <v>175</v>
      </c>
      <c r="D661" s="113"/>
      <c r="E661" s="124">
        <f>3744/3600</f>
        <v>1.04</v>
      </c>
      <c r="F661" s="113">
        <f t="shared" si="66"/>
        <v>0</v>
      </c>
    </row>
    <row r="662" s="307" customFormat="1" customHeight="1" spans="1:6">
      <c r="A662" s="57"/>
      <c r="B662" s="57" t="s">
        <v>1022</v>
      </c>
      <c r="C662" s="57" t="s">
        <v>1023</v>
      </c>
      <c r="D662" s="113">
        <f>材料预算价!$K$14</f>
        <v>4.37</v>
      </c>
      <c r="E662" s="124">
        <f>5/3600</f>
        <v>0.00138888888888889</v>
      </c>
      <c r="F662" s="113">
        <f t="shared" si="66"/>
        <v>0.00606944444444445</v>
      </c>
    </row>
    <row r="663" s="307" customFormat="1" customHeight="1" spans="1:6">
      <c r="A663" s="57">
        <v>3</v>
      </c>
      <c r="B663" s="57" t="s">
        <v>974</v>
      </c>
      <c r="C663" s="57"/>
      <c r="D663" s="57"/>
      <c r="E663" s="57"/>
      <c r="F663" s="113">
        <f>F664</f>
        <v>0</v>
      </c>
    </row>
    <row r="664" s="307" customFormat="1" customHeight="1" spans="1:6">
      <c r="A664" s="57"/>
      <c r="B664" s="57"/>
      <c r="C664" s="57"/>
      <c r="D664" s="84"/>
      <c r="E664" s="57"/>
      <c r="F664" s="113"/>
    </row>
    <row r="665" s="307" customFormat="1" customHeight="1" spans="1:6">
      <c r="A665" s="57" t="s">
        <v>70</v>
      </c>
      <c r="B665" s="57" t="s">
        <v>977</v>
      </c>
      <c r="C665" s="194">
        <f>取费表!$C$12</f>
        <v>0.048</v>
      </c>
      <c r="D665" s="58"/>
      <c r="E665" s="84">
        <f>F656</f>
        <v>0.162166311111111</v>
      </c>
      <c r="F665" s="113">
        <f t="shared" ref="F665:F669" si="67">E665*C665</f>
        <v>0.00778398293333335</v>
      </c>
    </row>
    <row r="666" s="307" customFormat="1" customHeight="1" spans="1:6">
      <c r="A666" s="57"/>
      <c r="B666" s="57"/>
      <c r="C666" s="194"/>
      <c r="D666" s="58"/>
      <c r="E666" s="84"/>
      <c r="F666" s="113"/>
    </row>
    <row r="667" s="307" customFormat="1" customHeight="1" spans="1:6">
      <c r="A667" s="57" t="s">
        <v>979</v>
      </c>
      <c r="B667" s="57" t="s">
        <v>973</v>
      </c>
      <c r="C667" s="194">
        <f>取费表!$E$12</f>
        <v>0.0725</v>
      </c>
      <c r="D667" s="58"/>
      <c r="E667" s="84">
        <f>F655</f>
        <v>0.169950294044445</v>
      </c>
      <c r="F667" s="113">
        <f t="shared" si="67"/>
        <v>0.0123213963182222</v>
      </c>
    </row>
    <row r="668" s="307" customFormat="1" customHeight="1" spans="1:6">
      <c r="A668" s="57" t="s">
        <v>162</v>
      </c>
      <c r="B668" s="57" t="s">
        <v>980</v>
      </c>
      <c r="C668" s="194">
        <f>取费表!$F$12</f>
        <v>0.05</v>
      </c>
      <c r="D668" s="58"/>
      <c r="E668" s="84">
        <f>F667+F655</f>
        <v>0.182271690362667</v>
      </c>
      <c r="F668" s="113">
        <f t="shared" si="67"/>
        <v>0.00911358451813335</v>
      </c>
    </row>
    <row r="669" s="307" customFormat="1" customHeight="1" spans="1:6">
      <c r="A669" s="57" t="s">
        <v>214</v>
      </c>
      <c r="B669" s="57" t="s">
        <v>976</v>
      </c>
      <c r="C669" s="195">
        <f>取费表!$G$12</f>
        <v>0.09</v>
      </c>
      <c r="D669" s="58"/>
      <c r="E669" s="84">
        <f>F668+F667+F655</f>
        <v>0.1913852748808</v>
      </c>
      <c r="F669" s="113">
        <f t="shared" si="67"/>
        <v>0.017224674739272</v>
      </c>
    </row>
    <row r="670" s="307" customFormat="1" customHeight="1" spans="1:6">
      <c r="A670" s="57"/>
      <c r="B670" s="57" t="s">
        <v>984</v>
      </c>
      <c r="C670" s="195"/>
      <c r="D670" s="58"/>
      <c r="E670" s="84"/>
      <c r="F670" s="113">
        <f>(F655+F667+F668+F669)*取费表!$H$12</f>
        <v>0.00625829848860217</v>
      </c>
    </row>
    <row r="671" s="307" customFormat="1" customHeight="1" spans="1:6">
      <c r="A671" s="57"/>
      <c r="B671" s="57" t="s">
        <v>278</v>
      </c>
      <c r="C671" s="58"/>
      <c r="D671" s="58"/>
      <c r="E671" s="57"/>
      <c r="F671" s="113">
        <f>F655+F667+F668+F669+F670</f>
        <v>0.214868248108675</v>
      </c>
    </row>
    <row r="672" s="307" customFormat="1" customHeight="1" spans="1:6">
      <c r="A672" s="175" t="s">
        <v>944</v>
      </c>
      <c r="B672" s="176"/>
      <c r="C672" s="176"/>
      <c r="D672" s="176"/>
      <c r="E672" s="176"/>
      <c r="F672" s="176"/>
    </row>
    <row r="673" s="307" customFormat="1" customHeight="1" spans="1:6">
      <c r="A673" s="205" t="s">
        <v>1070</v>
      </c>
      <c r="B673" s="205"/>
      <c r="C673" s="205"/>
      <c r="D673" s="205"/>
      <c r="E673" s="205"/>
      <c r="F673" s="205"/>
    </row>
    <row r="674" s="307" customFormat="1" customHeight="1" spans="1:6">
      <c r="A674" s="191" t="s">
        <v>1071</v>
      </c>
      <c r="B674" s="191"/>
      <c r="C674" s="168"/>
      <c r="D674" s="168"/>
      <c r="E674" s="191" t="s">
        <v>1001</v>
      </c>
      <c r="F674" s="191"/>
    </row>
    <row r="675" s="307" customFormat="1" customHeight="1" spans="1:6">
      <c r="A675" s="117" t="s">
        <v>952</v>
      </c>
      <c r="B675" s="192"/>
      <c r="C675" s="201"/>
      <c r="D675" s="201"/>
      <c r="E675" s="201"/>
      <c r="F675" s="202"/>
    </row>
    <row r="676" s="307" customFormat="1" customHeight="1" spans="1:6">
      <c r="A676" s="57" t="s">
        <v>354</v>
      </c>
      <c r="B676" s="57" t="s">
        <v>956</v>
      </c>
      <c r="C676" s="57" t="s">
        <v>52</v>
      </c>
      <c r="D676" s="57" t="s">
        <v>855</v>
      </c>
      <c r="E676" s="57" t="s">
        <v>53</v>
      </c>
      <c r="F676" s="57" t="s">
        <v>306</v>
      </c>
    </row>
    <row r="677" s="307" customFormat="1" customHeight="1" spans="1:6">
      <c r="A677" s="57" t="s">
        <v>959</v>
      </c>
      <c r="B677" s="57" t="s">
        <v>960</v>
      </c>
      <c r="C677" s="57"/>
      <c r="D677" s="57"/>
      <c r="E677" s="57"/>
      <c r="F677" s="84">
        <f>F678+F687</f>
        <v>31.43270592</v>
      </c>
    </row>
    <row r="678" s="307" customFormat="1" customHeight="1" spans="1:6">
      <c r="A678" s="57" t="s">
        <v>59</v>
      </c>
      <c r="B678" s="57" t="s">
        <v>957</v>
      </c>
      <c r="C678" s="57"/>
      <c r="D678" s="57"/>
      <c r="E678" s="57"/>
      <c r="F678" s="84">
        <f>F679+F682+F685</f>
        <v>29.99304</v>
      </c>
    </row>
    <row r="679" s="307" customFormat="1" customHeight="1" spans="1:6">
      <c r="A679" s="57">
        <v>1</v>
      </c>
      <c r="B679" s="57" t="s">
        <v>964</v>
      </c>
      <c r="C679" s="57" t="s">
        <v>965</v>
      </c>
      <c r="D679" s="113"/>
      <c r="E679" s="92">
        <f>SUM(E680:E681)</f>
        <v>3.84</v>
      </c>
      <c r="F679" s="113">
        <f>SUM(F680:F681)</f>
        <v>28.41984</v>
      </c>
    </row>
    <row r="680" s="307" customFormat="1" customHeight="1" spans="1:6">
      <c r="A680" s="57"/>
      <c r="B680" s="57" t="s">
        <v>966</v>
      </c>
      <c r="C680" s="57" t="s">
        <v>965</v>
      </c>
      <c r="D680" s="113">
        <v>8.1</v>
      </c>
      <c r="E680" s="124">
        <f>0.336*8</f>
        <v>2.688</v>
      </c>
      <c r="F680" s="113">
        <f t="shared" ref="F680:F684" si="68">D680*E680</f>
        <v>21.7728</v>
      </c>
    </row>
    <row r="681" s="307" customFormat="1" customHeight="1" spans="1:6">
      <c r="A681" s="57"/>
      <c r="B681" s="57" t="s">
        <v>968</v>
      </c>
      <c r="C681" s="57" t="s">
        <v>965</v>
      </c>
      <c r="D681" s="113">
        <v>5.77</v>
      </c>
      <c r="E681" s="124">
        <f>0.144*8</f>
        <v>1.152</v>
      </c>
      <c r="F681" s="113">
        <f t="shared" si="68"/>
        <v>6.64704</v>
      </c>
    </row>
    <row r="682" s="307" customFormat="1" customHeight="1" spans="1:6">
      <c r="A682" s="57">
        <v>2</v>
      </c>
      <c r="B682" s="57" t="s">
        <v>967</v>
      </c>
      <c r="C682" s="57"/>
      <c r="D682" s="113"/>
      <c r="E682" s="124"/>
      <c r="F682" s="113">
        <f>SUM(F683:F684)</f>
        <v>1.5732</v>
      </c>
    </row>
    <row r="683" s="307" customFormat="1" customHeight="1" spans="1:6">
      <c r="A683" s="57"/>
      <c r="B683" s="57" t="s">
        <v>249</v>
      </c>
      <c r="C683" s="57" t="s">
        <v>175</v>
      </c>
      <c r="D683" s="113"/>
      <c r="E683" s="124">
        <v>10.1</v>
      </c>
      <c r="F683" s="113">
        <f t="shared" si="68"/>
        <v>0</v>
      </c>
    </row>
    <row r="684" s="307" customFormat="1" customHeight="1" spans="1:6">
      <c r="A684" s="57"/>
      <c r="B684" s="57" t="s">
        <v>1022</v>
      </c>
      <c r="C684" s="57" t="s">
        <v>1023</v>
      </c>
      <c r="D684" s="113">
        <f>材料预算价!$K$14</f>
        <v>4.37</v>
      </c>
      <c r="E684" s="124">
        <f>0.36</f>
        <v>0.36</v>
      </c>
      <c r="F684" s="113">
        <f t="shared" si="68"/>
        <v>1.5732</v>
      </c>
    </row>
    <row r="685" s="307" customFormat="1" customHeight="1" spans="1:6">
      <c r="A685" s="57">
        <v>3</v>
      </c>
      <c r="B685" s="57" t="s">
        <v>974</v>
      </c>
      <c r="C685" s="57"/>
      <c r="D685" s="57"/>
      <c r="E685" s="57"/>
      <c r="F685" s="113">
        <f>F686</f>
        <v>0</v>
      </c>
    </row>
    <row r="686" s="307" customFormat="1" customHeight="1" spans="1:6">
      <c r="A686" s="57"/>
      <c r="B686" s="57"/>
      <c r="C686" s="57"/>
      <c r="D686" s="84"/>
      <c r="E686" s="57"/>
      <c r="F686" s="113"/>
    </row>
    <row r="687" s="307" customFormat="1" customHeight="1" spans="1:6">
      <c r="A687" s="57" t="s">
        <v>70</v>
      </c>
      <c r="B687" s="57" t="s">
        <v>977</v>
      </c>
      <c r="C687" s="194">
        <f>取费表!$C$12</f>
        <v>0.048</v>
      </c>
      <c r="D687" s="58"/>
      <c r="E687" s="84">
        <f>F678</f>
        <v>29.99304</v>
      </c>
      <c r="F687" s="113">
        <f t="shared" ref="F687:F691" si="69">E687*C687</f>
        <v>1.43966592</v>
      </c>
    </row>
    <row r="688" s="307" customFormat="1" customHeight="1" spans="1:6">
      <c r="A688" s="57"/>
      <c r="B688" s="57"/>
      <c r="C688" s="194"/>
      <c r="D688" s="58"/>
      <c r="E688" s="84"/>
      <c r="F688" s="113"/>
    </row>
    <row r="689" s="307" customFormat="1" customHeight="1" spans="1:6">
      <c r="A689" s="57" t="s">
        <v>979</v>
      </c>
      <c r="B689" s="57" t="s">
        <v>973</v>
      </c>
      <c r="C689" s="194">
        <f>取费表!$E$12</f>
        <v>0.0725</v>
      </c>
      <c r="D689" s="58"/>
      <c r="E689" s="84">
        <f>F677</f>
        <v>31.43270592</v>
      </c>
      <c r="F689" s="113">
        <f t="shared" si="69"/>
        <v>2.2788711792</v>
      </c>
    </row>
    <row r="690" s="307" customFormat="1" customHeight="1" spans="1:6">
      <c r="A690" s="57" t="s">
        <v>162</v>
      </c>
      <c r="B690" s="57" t="s">
        <v>980</v>
      </c>
      <c r="C690" s="194">
        <f>取费表!$F$12</f>
        <v>0.05</v>
      </c>
      <c r="D690" s="58"/>
      <c r="E690" s="84">
        <f>F689+F677</f>
        <v>33.7115770992</v>
      </c>
      <c r="F690" s="113">
        <f t="shared" si="69"/>
        <v>1.68557885496</v>
      </c>
    </row>
    <row r="691" s="307" customFormat="1" customHeight="1" spans="1:6">
      <c r="A691" s="57" t="s">
        <v>214</v>
      </c>
      <c r="B691" s="57" t="s">
        <v>976</v>
      </c>
      <c r="C691" s="195">
        <f>取费表!$G$12</f>
        <v>0.09</v>
      </c>
      <c r="D691" s="58"/>
      <c r="E691" s="84">
        <f>F690+F689+F677</f>
        <v>35.39715595416</v>
      </c>
      <c r="F691" s="113">
        <f t="shared" si="69"/>
        <v>3.1857440358744</v>
      </c>
    </row>
    <row r="692" s="307" customFormat="1" customHeight="1" spans="1:6">
      <c r="A692" s="57"/>
      <c r="B692" s="57" t="s">
        <v>984</v>
      </c>
      <c r="C692" s="195"/>
      <c r="D692" s="58"/>
      <c r="E692" s="84"/>
      <c r="F692" s="113">
        <f>(F677+F689+F690+F691)*取费表!$H$12</f>
        <v>1.15748699970103</v>
      </c>
    </row>
    <row r="693" s="307" customFormat="1" customHeight="1" spans="1:6">
      <c r="A693" s="57"/>
      <c r="B693" s="57" t="s">
        <v>278</v>
      </c>
      <c r="C693" s="58"/>
      <c r="D693" s="58"/>
      <c r="E693" s="57"/>
      <c r="F693" s="113">
        <f>F677+F689+F690+F691+F692</f>
        <v>39.7403869897354</v>
      </c>
    </row>
    <row r="694" s="307" customFormat="1" customHeight="1" spans="1:6">
      <c r="A694" s="175" t="s">
        <v>944</v>
      </c>
      <c r="B694" s="176"/>
      <c r="C694" s="176"/>
      <c r="D694" s="176"/>
      <c r="E694" s="176"/>
      <c r="F694" s="176"/>
    </row>
    <row r="695" s="307" customFormat="1" customHeight="1" spans="1:6">
      <c r="A695" s="205" t="s">
        <v>1072</v>
      </c>
      <c r="B695" s="205"/>
      <c r="C695" s="205"/>
      <c r="D695" s="205"/>
      <c r="E695" s="205"/>
      <c r="F695" s="205"/>
    </row>
    <row r="696" s="307" customFormat="1" customHeight="1" spans="1:6">
      <c r="A696" s="191" t="s">
        <v>1071</v>
      </c>
      <c r="B696" s="191"/>
      <c r="C696" s="168"/>
      <c r="D696" s="168"/>
      <c r="E696" s="191" t="s">
        <v>1001</v>
      </c>
      <c r="F696" s="191"/>
    </row>
    <row r="697" s="307" customFormat="1" customHeight="1" spans="1:6">
      <c r="A697" s="117" t="s">
        <v>952</v>
      </c>
      <c r="B697" s="192"/>
      <c r="C697" s="201"/>
      <c r="D697" s="201"/>
      <c r="E697" s="201"/>
      <c r="F697" s="202"/>
    </row>
    <row r="698" s="307" customFormat="1" customHeight="1" spans="1:6">
      <c r="A698" s="57" t="s">
        <v>354</v>
      </c>
      <c r="B698" s="57" t="s">
        <v>956</v>
      </c>
      <c r="C698" s="57" t="s">
        <v>52</v>
      </c>
      <c r="D698" s="57" t="s">
        <v>855</v>
      </c>
      <c r="E698" s="57" t="s">
        <v>53</v>
      </c>
      <c r="F698" s="57" t="s">
        <v>306</v>
      </c>
    </row>
    <row r="699" s="307" customFormat="1" customHeight="1" spans="1:6">
      <c r="A699" s="57" t="s">
        <v>959</v>
      </c>
      <c r="B699" s="57" t="s">
        <v>960</v>
      </c>
      <c r="C699" s="57"/>
      <c r="D699" s="57"/>
      <c r="E699" s="57"/>
      <c r="F699" s="84">
        <f>F700+F709</f>
        <v>31.43270592</v>
      </c>
    </row>
    <row r="700" s="307" customFormat="1" customHeight="1" spans="1:6">
      <c r="A700" s="57" t="s">
        <v>59</v>
      </c>
      <c r="B700" s="57" t="s">
        <v>957</v>
      </c>
      <c r="C700" s="57"/>
      <c r="D700" s="57"/>
      <c r="E700" s="57"/>
      <c r="F700" s="84">
        <f>F701+F704+F707</f>
        <v>29.99304</v>
      </c>
    </row>
    <row r="701" s="307" customFormat="1" customHeight="1" spans="1:6">
      <c r="A701" s="57">
        <v>1</v>
      </c>
      <c r="B701" s="57" t="s">
        <v>964</v>
      </c>
      <c r="C701" s="57" t="s">
        <v>965</v>
      </c>
      <c r="D701" s="113"/>
      <c r="E701" s="92">
        <f>SUM(E702:E703)</f>
        <v>3.84</v>
      </c>
      <c r="F701" s="113">
        <f>SUM(F702:F703)</f>
        <v>28.41984</v>
      </c>
    </row>
    <row r="702" s="307" customFormat="1" customHeight="1" spans="1:6">
      <c r="A702" s="57"/>
      <c r="B702" s="57" t="s">
        <v>966</v>
      </c>
      <c r="C702" s="57" t="s">
        <v>965</v>
      </c>
      <c r="D702" s="113">
        <v>8.1</v>
      </c>
      <c r="E702" s="124">
        <f>0.336*8</f>
        <v>2.688</v>
      </c>
      <c r="F702" s="113">
        <f t="shared" ref="F702:F706" si="70">D702*E702</f>
        <v>21.7728</v>
      </c>
    </row>
    <row r="703" s="307" customFormat="1" customHeight="1" spans="1:6">
      <c r="A703" s="57"/>
      <c r="B703" s="57" t="s">
        <v>968</v>
      </c>
      <c r="C703" s="57" t="s">
        <v>965</v>
      </c>
      <c r="D703" s="113">
        <v>5.77</v>
      </c>
      <c r="E703" s="124">
        <f>0.144*8</f>
        <v>1.152</v>
      </c>
      <c r="F703" s="113">
        <f t="shared" si="70"/>
        <v>6.64704</v>
      </c>
    </row>
    <row r="704" s="307" customFormat="1" customHeight="1" spans="1:6">
      <c r="A704" s="57">
        <v>2</v>
      </c>
      <c r="B704" s="57" t="s">
        <v>967</v>
      </c>
      <c r="C704" s="57"/>
      <c r="D704" s="113"/>
      <c r="E704" s="124"/>
      <c r="F704" s="113">
        <f>SUM(F705:F706)</f>
        <v>1.5732</v>
      </c>
    </row>
    <row r="705" s="307" customFormat="1" customHeight="1" spans="1:6">
      <c r="A705" s="57"/>
      <c r="B705" s="57" t="s">
        <v>250</v>
      </c>
      <c r="C705" s="57" t="s">
        <v>175</v>
      </c>
      <c r="D705" s="113"/>
      <c r="E705" s="124">
        <v>10.1</v>
      </c>
      <c r="F705" s="113">
        <f t="shared" si="70"/>
        <v>0</v>
      </c>
    </row>
    <row r="706" s="307" customFormat="1" customHeight="1" spans="1:6">
      <c r="A706" s="57"/>
      <c r="B706" s="57" t="s">
        <v>1022</v>
      </c>
      <c r="C706" s="57" t="s">
        <v>1023</v>
      </c>
      <c r="D706" s="113">
        <f>材料预算价!$K$14</f>
        <v>4.37</v>
      </c>
      <c r="E706" s="124">
        <f>0.36</f>
        <v>0.36</v>
      </c>
      <c r="F706" s="113">
        <f t="shared" si="70"/>
        <v>1.5732</v>
      </c>
    </row>
    <row r="707" s="307" customFormat="1" customHeight="1" spans="1:6">
      <c r="A707" s="57">
        <v>3</v>
      </c>
      <c r="B707" s="57" t="s">
        <v>974</v>
      </c>
      <c r="C707" s="57"/>
      <c r="D707" s="57"/>
      <c r="E707" s="57"/>
      <c r="F707" s="113">
        <f>F708</f>
        <v>0</v>
      </c>
    </row>
    <row r="708" s="307" customFormat="1" customHeight="1" spans="1:6">
      <c r="A708" s="57"/>
      <c r="B708" s="57"/>
      <c r="C708" s="57"/>
      <c r="D708" s="84"/>
      <c r="E708" s="57"/>
      <c r="F708" s="113"/>
    </row>
    <row r="709" s="307" customFormat="1" customHeight="1" spans="1:6">
      <c r="A709" s="57" t="s">
        <v>70</v>
      </c>
      <c r="B709" s="57" t="s">
        <v>977</v>
      </c>
      <c r="C709" s="194">
        <f>取费表!$C$12</f>
        <v>0.048</v>
      </c>
      <c r="D709" s="58"/>
      <c r="E709" s="84">
        <f>F700</f>
        <v>29.99304</v>
      </c>
      <c r="F709" s="113">
        <f t="shared" ref="F709:F713" si="71">E709*C709</f>
        <v>1.43966592</v>
      </c>
    </row>
    <row r="710" s="307" customFormat="1" customHeight="1" spans="1:6">
      <c r="A710" s="57"/>
      <c r="B710" s="57"/>
      <c r="C710" s="194"/>
      <c r="D710" s="58"/>
      <c r="E710" s="84"/>
      <c r="F710" s="113"/>
    </row>
    <row r="711" s="307" customFormat="1" customHeight="1" spans="1:6">
      <c r="A711" s="57" t="s">
        <v>979</v>
      </c>
      <c r="B711" s="57" t="s">
        <v>973</v>
      </c>
      <c r="C711" s="194">
        <f>取费表!$E$12</f>
        <v>0.0725</v>
      </c>
      <c r="D711" s="58"/>
      <c r="E711" s="84">
        <f>F699</f>
        <v>31.43270592</v>
      </c>
      <c r="F711" s="113">
        <f t="shared" si="71"/>
        <v>2.2788711792</v>
      </c>
    </row>
    <row r="712" s="307" customFormat="1" customHeight="1" spans="1:6">
      <c r="A712" s="57" t="s">
        <v>162</v>
      </c>
      <c r="B712" s="57" t="s">
        <v>980</v>
      </c>
      <c r="C712" s="194">
        <f>取费表!$F$12</f>
        <v>0.05</v>
      </c>
      <c r="D712" s="58"/>
      <c r="E712" s="84">
        <f>F711+F699</f>
        <v>33.7115770992</v>
      </c>
      <c r="F712" s="113">
        <f t="shared" si="71"/>
        <v>1.68557885496</v>
      </c>
    </row>
    <row r="713" s="307" customFormat="1" customHeight="1" spans="1:6">
      <c r="A713" s="57" t="s">
        <v>214</v>
      </c>
      <c r="B713" s="57" t="s">
        <v>976</v>
      </c>
      <c r="C713" s="195">
        <f>取费表!$G$12</f>
        <v>0.09</v>
      </c>
      <c r="D713" s="58"/>
      <c r="E713" s="84">
        <f>F712+F711+F699</f>
        <v>35.39715595416</v>
      </c>
      <c r="F713" s="113">
        <f t="shared" si="71"/>
        <v>3.1857440358744</v>
      </c>
    </row>
    <row r="714" s="307" customFormat="1" customHeight="1" spans="1:6">
      <c r="A714" s="57"/>
      <c r="B714" s="57" t="s">
        <v>984</v>
      </c>
      <c r="C714" s="195"/>
      <c r="D714" s="58"/>
      <c r="E714" s="84"/>
      <c r="F714" s="113">
        <f>(F699+F711+F712+F713)*取费表!$H$12</f>
        <v>1.15748699970103</v>
      </c>
    </row>
    <row r="715" s="307" customFormat="1" customHeight="1" spans="1:6">
      <c r="A715" s="57"/>
      <c r="B715" s="57" t="s">
        <v>278</v>
      </c>
      <c r="C715" s="58"/>
      <c r="D715" s="58"/>
      <c r="E715" s="57"/>
      <c r="F715" s="113">
        <f>F699+F711+F712+F713+F714</f>
        <v>39.7403869897354</v>
      </c>
    </row>
    <row r="716" s="307" customFormat="1" customHeight="1" spans="1:6">
      <c r="A716" s="175" t="s">
        <v>944</v>
      </c>
      <c r="B716" s="176"/>
      <c r="C716" s="176"/>
      <c r="D716" s="176"/>
      <c r="E716" s="176"/>
      <c r="F716" s="176"/>
    </row>
    <row r="717" s="307" customFormat="1" customHeight="1" spans="1:6">
      <c r="A717" s="205" t="s">
        <v>1073</v>
      </c>
      <c r="B717" s="205"/>
      <c r="C717" s="205"/>
      <c r="D717" s="205"/>
      <c r="E717" s="205"/>
      <c r="F717" s="205"/>
    </row>
    <row r="718" s="307" customFormat="1" customHeight="1" spans="1:6">
      <c r="A718" s="191" t="s">
        <v>1074</v>
      </c>
      <c r="B718" s="191"/>
      <c r="C718" s="168"/>
      <c r="D718" s="168"/>
      <c r="E718" s="191" t="s">
        <v>1075</v>
      </c>
      <c r="F718" s="191"/>
    </row>
    <row r="719" s="307" customFormat="1" customHeight="1" spans="1:6">
      <c r="A719" s="117" t="s">
        <v>952</v>
      </c>
      <c r="B719" s="192"/>
      <c r="C719" s="201"/>
      <c r="D719" s="201"/>
      <c r="E719" s="201"/>
      <c r="F719" s="202"/>
    </row>
    <row r="720" s="307" customFormat="1" customHeight="1" spans="1:6">
      <c r="A720" s="57" t="s">
        <v>354</v>
      </c>
      <c r="B720" s="57" t="s">
        <v>956</v>
      </c>
      <c r="C720" s="57" t="s">
        <v>52</v>
      </c>
      <c r="D720" s="57" t="s">
        <v>855</v>
      </c>
      <c r="E720" s="57" t="s">
        <v>53</v>
      </c>
      <c r="F720" s="57" t="s">
        <v>306</v>
      </c>
    </row>
    <row r="721" s="307" customFormat="1" customHeight="1" spans="1:6">
      <c r="A721" s="57" t="s">
        <v>959</v>
      </c>
      <c r="B721" s="57" t="s">
        <v>960</v>
      </c>
      <c r="C721" s="57"/>
      <c r="D721" s="57"/>
      <c r="E721" s="57"/>
      <c r="F721" s="84">
        <f>F722+F732</f>
        <v>22.5694136</v>
      </c>
    </row>
    <row r="722" s="307" customFormat="1" customHeight="1" spans="1:6">
      <c r="A722" s="57" t="s">
        <v>59</v>
      </c>
      <c r="B722" s="57" t="s">
        <v>957</v>
      </c>
      <c r="C722" s="57"/>
      <c r="D722" s="57"/>
      <c r="E722" s="57"/>
      <c r="F722" s="84">
        <f>F723+F726+F730</f>
        <v>21.5357</v>
      </c>
    </row>
    <row r="723" s="307" customFormat="1" customHeight="1" spans="1:6">
      <c r="A723" s="57">
        <v>1</v>
      </c>
      <c r="B723" s="57" t="s">
        <v>964</v>
      </c>
      <c r="C723" s="57" t="s">
        <v>965</v>
      </c>
      <c r="D723" s="113"/>
      <c r="E723" s="92">
        <f>SUM(E724:E725)</f>
        <v>2.104</v>
      </c>
      <c r="F723" s="113">
        <f>SUM(F724:F725)</f>
        <v>15.56984</v>
      </c>
    </row>
    <row r="724" s="307" customFormat="1" customHeight="1" spans="1:6">
      <c r="A724" s="57"/>
      <c r="B724" s="57" t="s">
        <v>966</v>
      </c>
      <c r="C724" s="57" t="s">
        <v>965</v>
      </c>
      <c r="D724" s="113">
        <v>8.1</v>
      </c>
      <c r="E724" s="124">
        <f>(0.158+0.026)*8</f>
        <v>1.472</v>
      </c>
      <c r="F724" s="113">
        <f>D724*E724</f>
        <v>11.9232</v>
      </c>
    </row>
    <row r="725" s="307" customFormat="1" customHeight="1" spans="1:6">
      <c r="A725" s="57"/>
      <c r="B725" s="57" t="s">
        <v>968</v>
      </c>
      <c r="C725" s="57" t="s">
        <v>965</v>
      </c>
      <c r="D725" s="113">
        <v>5.77</v>
      </c>
      <c r="E725" s="124">
        <f>0.079*8</f>
        <v>0.632</v>
      </c>
      <c r="F725" s="113">
        <f>D725*E725</f>
        <v>3.64664</v>
      </c>
    </row>
    <row r="726" s="307" customFormat="1" customHeight="1" spans="1:6">
      <c r="A726" s="57">
        <v>2</v>
      </c>
      <c r="B726" s="57" t="s">
        <v>967</v>
      </c>
      <c r="C726" s="57"/>
      <c r="D726" s="113"/>
      <c r="E726" s="124"/>
      <c r="F726" s="113">
        <f>SUM(F727:F729)</f>
        <v>4.5161</v>
      </c>
    </row>
    <row r="727" s="307" customFormat="1" customHeight="1" spans="1:6">
      <c r="A727" s="57"/>
      <c r="B727" s="57" t="s">
        <v>1016</v>
      </c>
      <c r="C727" s="57" t="s">
        <v>184</v>
      </c>
      <c r="D727" s="113">
        <v>4.66</v>
      </c>
      <c r="E727" s="113">
        <v>0.465</v>
      </c>
      <c r="F727" s="113">
        <f>D727*E727</f>
        <v>2.1669</v>
      </c>
    </row>
    <row r="728" s="307" customFormat="1" customHeight="1" spans="1:6">
      <c r="A728" s="57"/>
      <c r="B728" s="57" t="s">
        <v>1017</v>
      </c>
      <c r="C728" s="57" t="s">
        <v>184</v>
      </c>
      <c r="D728" s="113">
        <v>50</v>
      </c>
      <c r="E728" s="113">
        <v>0.033</v>
      </c>
      <c r="F728" s="113">
        <f>D728*E728</f>
        <v>1.65</v>
      </c>
    </row>
    <row r="729" s="307" customFormat="1" customHeight="1" spans="1:6">
      <c r="A729" s="57"/>
      <c r="B729" s="57" t="s">
        <v>1022</v>
      </c>
      <c r="C729" s="57" t="s">
        <v>1023</v>
      </c>
      <c r="D729" s="113">
        <f>材料预算价!$K$14</f>
        <v>4.37</v>
      </c>
      <c r="E729" s="124">
        <f>0.16</f>
        <v>0.16</v>
      </c>
      <c r="F729" s="113">
        <f>D729*E729</f>
        <v>0.6992</v>
      </c>
    </row>
    <row r="730" s="307" customFormat="1" customHeight="1" spans="1:6">
      <c r="A730" s="57">
        <v>3</v>
      </c>
      <c r="B730" s="57" t="s">
        <v>974</v>
      </c>
      <c r="C730" s="57"/>
      <c r="D730" s="57"/>
      <c r="E730" s="57"/>
      <c r="F730" s="113">
        <f>F731</f>
        <v>1.44976</v>
      </c>
    </row>
    <row r="731" s="307" customFormat="1" customHeight="1" spans="1:6">
      <c r="A731" s="57"/>
      <c r="B731" s="57" t="s">
        <v>1018</v>
      </c>
      <c r="C731" s="57" t="s">
        <v>405</v>
      </c>
      <c r="D731" s="84">
        <v>362.44</v>
      </c>
      <c r="E731" s="57">
        <v>0.004</v>
      </c>
      <c r="F731" s="113">
        <f>D731*E731</f>
        <v>1.44976</v>
      </c>
    </row>
    <row r="732" s="307" customFormat="1" customHeight="1" spans="1:6">
      <c r="A732" s="57" t="s">
        <v>70</v>
      </c>
      <c r="B732" s="57" t="s">
        <v>977</v>
      </c>
      <c r="C732" s="194">
        <f>取费表!$C$12</f>
        <v>0.048</v>
      </c>
      <c r="D732" s="58"/>
      <c r="E732" s="84">
        <f>F722</f>
        <v>21.5357</v>
      </c>
      <c r="F732" s="113">
        <f t="shared" ref="F732:F736" si="72">E732*C732</f>
        <v>1.0337136</v>
      </c>
    </row>
    <row r="733" s="307" customFormat="1" customHeight="1" spans="1:6">
      <c r="A733" s="57"/>
      <c r="B733" s="57"/>
      <c r="C733" s="194"/>
      <c r="D733" s="58"/>
      <c r="E733" s="84"/>
      <c r="F733" s="113"/>
    </row>
    <row r="734" s="307" customFormat="1" customHeight="1" spans="1:6">
      <c r="A734" s="57" t="s">
        <v>979</v>
      </c>
      <c r="B734" s="57" t="s">
        <v>973</v>
      </c>
      <c r="C734" s="194">
        <f>取费表!$E$12</f>
        <v>0.0725</v>
      </c>
      <c r="D734" s="58"/>
      <c r="E734" s="84">
        <f>F721</f>
        <v>22.5694136</v>
      </c>
      <c r="F734" s="113">
        <f t="shared" si="72"/>
        <v>1.636282486</v>
      </c>
    </row>
    <row r="735" s="307" customFormat="1" customHeight="1" spans="1:6">
      <c r="A735" s="57" t="s">
        <v>162</v>
      </c>
      <c r="B735" s="57" t="s">
        <v>980</v>
      </c>
      <c r="C735" s="194">
        <f>取费表!$F$12</f>
        <v>0.05</v>
      </c>
      <c r="D735" s="58"/>
      <c r="E735" s="84">
        <f>F734+F721</f>
        <v>24.205696086</v>
      </c>
      <c r="F735" s="113">
        <f t="shared" si="72"/>
        <v>1.2102848043</v>
      </c>
    </row>
    <row r="736" s="307" customFormat="1" customHeight="1" spans="1:6">
      <c r="A736" s="57" t="s">
        <v>214</v>
      </c>
      <c r="B736" s="57" t="s">
        <v>976</v>
      </c>
      <c r="C736" s="195">
        <f>取费表!$G$12</f>
        <v>0.09</v>
      </c>
      <c r="D736" s="58"/>
      <c r="E736" s="84">
        <f>F735+F734+F721</f>
        <v>25.4159808903</v>
      </c>
      <c r="F736" s="113">
        <f t="shared" si="72"/>
        <v>2.287438280127</v>
      </c>
    </row>
    <row r="737" s="307" customFormat="1" customHeight="1" spans="1:6">
      <c r="A737" s="57"/>
      <c r="B737" s="57" t="s">
        <v>984</v>
      </c>
      <c r="C737" s="195"/>
      <c r="D737" s="58"/>
      <c r="E737" s="84"/>
      <c r="F737" s="113">
        <f>(F721+F734+F735+F736)*取费表!$H$12</f>
        <v>0.83110257511281</v>
      </c>
    </row>
    <row r="738" s="307" customFormat="1" customHeight="1" spans="1:6">
      <c r="A738" s="57"/>
      <c r="B738" s="57" t="s">
        <v>278</v>
      </c>
      <c r="C738" s="58"/>
      <c r="D738" s="58"/>
      <c r="E738" s="57"/>
      <c r="F738" s="113">
        <f>F721+F734+F735+F736+F737</f>
        <v>28.5345217455398</v>
      </c>
    </row>
    <row r="739" s="307" customFormat="1" customHeight="1" spans="1:6">
      <c r="A739" s="175" t="s">
        <v>944</v>
      </c>
      <c r="B739" s="176"/>
      <c r="C739" s="176"/>
      <c r="D739" s="176"/>
      <c r="E739" s="176"/>
      <c r="F739" s="176"/>
    </row>
    <row r="740" s="307" customFormat="1" customHeight="1" spans="1:6">
      <c r="A740" s="205" t="s">
        <v>1076</v>
      </c>
      <c r="B740" s="205"/>
      <c r="C740" s="205"/>
      <c r="D740" s="205"/>
      <c r="E740" s="205"/>
      <c r="F740" s="205"/>
    </row>
    <row r="741" s="307" customFormat="1" customHeight="1" spans="1:6">
      <c r="A741" s="191" t="s">
        <v>1077</v>
      </c>
      <c r="B741" s="191"/>
      <c r="C741" s="168"/>
      <c r="D741" s="168"/>
      <c r="E741" s="191" t="s">
        <v>1075</v>
      </c>
      <c r="F741" s="191"/>
    </row>
    <row r="742" s="307" customFormat="1" customHeight="1" spans="1:6">
      <c r="A742" s="117" t="s">
        <v>952</v>
      </c>
      <c r="B742" s="192"/>
      <c r="C742" s="201"/>
      <c r="D742" s="201"/>
      <c r="E742" s="201"/>
      <c r="F742" s="202"/>
    </row>
    <row r="743" s="307" customFormat="1" customHeight="1" spans="1:6">
      <c r="A743" s="57" t="s">
        <v>354</v>
      </c>
      <c r="B743" s="57" t="s">
        <v>956</v>
      </c>
      <c r="C743" s="57" t="s">
        <v>52</v>
      </c>
      <c r="D743" s="57" t="s">
        <v>855</v>
      </c>
      <c r="E743" s="57" t="s">
        <v>53</v>
      </c>
      <c r="F743" s="57" t="s">
        <v>306</v>
      </c>
    </row>
    <row r="744" s="307" customFormat="1" customHeight="1" spans="1:6">
      <c r="A744" s="57" t="s">
        <v>959</v>
      </c>
      <c r="B744" s="57" t="s">
        <v>960</v>
      </c>
      <c r="C744" s="57"/>
      <c r="D744" s="57"/>
      <c r="E744" s="57"/>
      <c r="F744" s="84">
        <f>F745+F755</f>
        <v>26.49088288</v>
      </c>
    </row>
    <row r="745" s="307" customFormat="1" customHeight="1" spans="1:6">
      <c r="A745" s="57" t="s">
        <v>59</v>
      </c>
      <c r="B745" s="57" t="s">
        <v>957</v>
      </c>
      <c r="C745" s="57"/>
      <c r="D745" s="57"/>
      <c r="E745" s="57"/>
      <c r="F745" s="84">
        <f>F746+F749+F753</f>
        <v>25.27756</v>
      </c>
    </row>
    <row r="746" s="307" customFormat="1" customHeight="1" spans="1:6">
      <c r="A746" s="57">
        <v>1</v>
      </c>
      <c r="B746" s="57" t="s">
        <v>964</v>
      </c>
      <c r="C746" s="57" t="s">
        <v>965</v>
      </c>
      <c r="D746" s="113"/>
      <c r="E746" s="92">
        <f>SUM(E747:E748)</f>
        <v>2.48</v>
      </c>
      <c r="F746" s="113">
        <f>SUM(F747:F748)</f>
        <v>18.35448</v>
      </c>
    </row>
    <row r="747" s="307" customFormat="1" customHeight="1" spans="1:6">
      <c r="A747" s="57"/>
      <c r="B747" s="57" t="s">
        <v>966</v>
      </c>
      <c r="C747" s="57" t="s">
        <v>965</v>
      </c>
      <c r="D747" s="113">
        <v>8.1</v>
      </c>
      <c r="E747" s="124">
        <f>(0.186+0.031)*8</f>
        <v>1.736</v>
      </c>
      <c r="F747" s="113">
        <f t="shared" ref="F747:F752" si="73">D747*E747</f>
        <v>14.0616</v>
      </c>
    </row>
    <row r="748" s="307" customFormat="1" customHeight="1" spans="1:6">
      <c r="A748" s="57"/>
      <c r="B748" s="57" t="s">
        <v>968</v>
      </c>
      <c r="C748" s="57" t="s">
        <v>965</v>
      </c>
      <c r="D748" s="113">
        <v>5.77</v>
      </c>
      <c r="E748" s="124">
        <f>0.093*8</f>
        <v>0.744</v>
      </c>
      <c r="F748" s="113">
        <f t="shared" si="73"/>
        <v>4.29288</v>
      </c>
    </row>
    <row r="749" s="307" customFormat="1" customHeight="1" spans="1:6">
      <c r="A749" s="57">
        <v>2</v>
      </c>
      <c r="B749" s="57" t="s">
        <v>967</v>
      </c>
      <c r="C749" s="57"/>
      <c r="D749" s="113"/>
      <c r="E749" s="124"/>
      <c r="F749" s="113">
        <f>SUM(F750:F752)</f>
        <v>5.11088</v>
      </c>
    </row>
    <row r="750" s="307" customFormat="1" customHeight="1" spans="1:6">
      <c r="A750" s="57"/>
      <c r="B750" s="57" t="s">
        <v>1016</v>
      </c>
      <c r="C750" s="57" t="s">
        <v>184</v>
      </c>
      <c r="D750" s="113">
        <v>4.66</v>
      </c>
      <c r="E750" s="113">
        <v>0.502</v>
      </c>
      <c r="F750" s="113">
        <f t="shared" si="73"/>
        <v>2.33932</v>
      </c>
    </row>
    <row r="751" s="307" customFormat="1" customHeight="1" spans="1:6">
      <c r="A751" s="57"/>
      <c r="B751" s="57" t="s">
        <v>1017</v>
      </c>
      <c r="C751" s="57" t="s">
        <v>184</v>
      </c>
      <c r="D751" s="113">
        <v>50</v>
      </c>
      <c r="E751" s="113">
        <v>0.039</v>
      </c>
      <c r="F751" s="113">
        <f t="shared" si="73"/>
        <v>1.95</v>
      </c>
    </row>
    <row r="752" s="307" customFormat="1" customHeight="1" spans="1:6">
      <c r="A752" s="57"/>
      <c r="B752" s="57" t="s">
        <v>1022</v>
      </c>
      <c r="C752" s="57" t="s">
        <v>1023</v>
      </c>
      <c r="D752" s="113">
        <f>材料预算价!$K$14</f>
        <v>4.37</v>
      </c>
      <c r="E752" s="124">
        <f>0.188</f>
        <v>0.188</v>
      </c>
      <c r="F752" s="113">
        <f t="shared" si="73"/>
        <v>0.82156</v>
      </c>
    </row>
    <row r="753" s="307" customFormat="1" customHeight="1" spans="1:6">
      <c r="A753" s="57">
        <v>3</v>
      </c>
      <c r="B753" s="57" t="s">
        <v>974</v>
      </c>
      <c r="C753" s="57"/>
      <c r="D753" s="57"/>
      <c r="E753" s="57"/>
      <c r="F753" s="113">
        <f>F754</f>
        <v>1.8122</v>
      </c>
    </row>
    <row r="754" s="307" customFormat="1" customHeight="1" spans="1:6">
      <c r="A754" s="57"/>
      <c r="B754" s="57" t="s">
        <v>1018</v>
      </c>
      <c r="C754" s="57" t="s">
        <v>405</v>
      </c>
      <c r="D754" s="84">
        <v>362.44</v>
      </c>
      <c r="E754" s="57">
        <v>0.005</v>
      </c>
      <c r="F754" s="113">
        <f>D754*E754</f>
        <v>1.8122</v>
      </c>
    </row>
    <row r="755" s="307" customFormat="1" customHeight="1" spans="1:6">
      <c r="A755" s="57" t="s">
        <v>70</v>
      </c>
      <c r="B755" s="57" t="s">
        <v>977</v>
      </c>
      <c r="C755" s="194">
        <f>取费表!$C$12</f>
        <v>0.048</v>
      </c>
      <c r="D755" s="58"/>
      <c r="E755" s="84">
        <f>F745</f>
        <v>25.27756</v>
      </c>
      <c r="F755" s="113">
        <f t="shared" ref="F755:F759" si="74">E755*C755</f>
        <v>1.21332288</v>
      </c>
    </row>
    <row r="756" s="307" customFormat="1" customHeight="1" spans="1:6">
      <c r="A756" s="57"/>
      <c r="B756" s="57"/>
      <c r="C756" s="194"/>
      <c r="D756" s="58"/>
      <c r="E756" s="84"/>
      <c r="F756" s="113"/>
    </row>
    <row r="757" s="307" customFormat="1" customHeight="1" spans="1:6">
      <c r="A757" s="57" t="s">
        <v>979</v>
      </c>
      <c r="B757" s="57" t="s">
        <v>973</v>
      </c>
      <c r="C757" s="194">
        <f>取费表!$E$12</f>
        <v>0.0725</v>
      </c>
      <c r="D757" s="58"/>
      <c r="E757" s="84">
        <f>F744</f>
        <v>26.49088288</v>
      </c>
      <c r="F757" s="113">
        <f t="shared" si="74"/>
        <v>1.9205890088</v>
      </c>
    </row>
    <row r="758" s="307" customFormat="1" customHeight="1" spans="1:6">
      <c r="A758" s="57" t="s">
        <v>162</v>
      </c>
      <c r="B758" s="57" t="s">
        <v>980</v>
      </c>
      <c r="C758" s="194">
        <f>取费表!$F$12</f>
        <v>0.05</v>
      </c>
      <c r="D758" s="58"/>
      <c r="E758" s="84">
        <f>F757+F744</f>
        <v>28.4114718888</v>
      </c>
      <c r="F758" s="113">
        <f t="shared" si="74"/>
        <v>1.42057359444</v>
      </c>
    </row>
    <row r="759" s="307" customFormat="1" customHeight="1" spans="1:6">
      <c r="A759" s="57" t="s">
        <v>214</v>
      </c>
      <c r="B759" s="57" t="s">
        <v>976</v>
      </c>
      <c r="C759" s="195">
        <f>取费表!$G$12</f>
        <v>0.09</v>
      </c>
      <c r="D759" s="58"/>
      <c r="E759" s="84">
        <f>F758+F757+F744</f>
        <v>29.83204548324</v>
      </c>
      <c r="F759" s="113">
        <f t="shared" si="74"/>
        <v>2.6848840934916</v>
      </c>
    </row>
    <row r="760" s="307" customFormat="1" customHeight="1" spans="1:6">
      <c r="A760" s="57"/>
      <c r="B760" s="57" t="s">
        <v>984</v>
      </c>
      <c r="C760" s="195"/>
      <c r="D760" s="58"/>
      <c r="E760" s="84"/>
      <c r="F760" s="113">
        <f>(F744+F757+F758+F759)*取费表!$H$12</f>
        <v>0.975507887301948</v>
      </c>
    </row>
    <row r="761" s="307" customFormat="1" customHeight="1" spans="1:6">
      <c r="A761" s="57"/>
      <c r="B761" s="57" t="s">
        <v>278</v>
      </c>
      <c r="C761" s="58"/>
      <c r="D761" s="58"/>
      <c r="E761" s="57"/>
      <c r="F761" s="113">
        <f>F744+F757+F758+F759+F760</f>
        <v>33.4924374640336</v>
      </c>
    </row>
    <row r="762" s="307" customFormat="1" customHeight="1" spans="1:6">
      <c r="A762" s="175" t="s">
        <v>944</v>
      </c>
      <c r="B762" s="176"/>
      <c r="C762" s="176"/>
      <c r="D762" s="176"/>
      <c r="E762" s="176"/>
      <c r="F762" s="176"/>
    </row>
    <row r="763" s="307" customFormat="1" customHeight="1" spans="1:6">
      <c r="A763" s="205" t="s">
        <v>1078</v>
      </c>
      <c r="B763" s="205"/>
      <c r="C763" s="205"/>
      <c r="D763" s="205"/>
      <c r="E763" s="205"/>
      <c r="F763" s="205"/>
    </row>
    <row r="764" s="307" customFormat="1" customHeight="1" spans="1:6">
      <c r="A764" s="191" t="s">
        <v>1079</v>
      </c>
      <c r="B764" s="191"/>
      <c r="C764" s="168"/>
      <c r="D764" s="168"/>
      <c r="E764" s="191" t="s">
        <v>1075</v>
      </c>
      <c r="F764" s="191"/>
    </row>
    <row r="765" s="307" customFormat="1" customHeight="1" spans="1:6">
      <c r="A765" s="117" t="s">
        <v>952</v>
      </c>
      <c r="B765" s="192"/>
      <c r="C765" s="201"/>
      <c r="D765" s="201"/>
      <c r="E765" s="201"/>
      <c r="F765" s="202"/>
    </row>
    <row r="766" s="307" customFormat="1" customHeight="1" spans="1:6">
      <c r="A766" s="57" t="s">
        <v>354</v>
      </c>
      <c r="B766" s="57" t="s">
        <v>956</v>
      </c>
      <c r="C766" s="57" t="s">
        <v>52</v>
      </c>
      <c r="D766" s="57" t="s">
        <v>855</v>
      </c>
      <c r="E766" s="57" t="s">
        <v>53</v>
      </c>
      <c r="F766" s="57" t="s">
        <v>306</v>
      </c>
    </row>
    <row r="767" s="307" customFormat="1" customHeight="1" spans="1:6">
      <c r="A767" s="57" t="s">
        <v>959</v>
      </c>
      <c r="B767" s="57" t="s">
        <v>960</v>
      </c>
      <c r="C767" s="57"/>
      <c r="D767" s="57"/>
      <c r="E767" s="57"/>
      <c r="F767" s="84">
        <f>F768+F778</f>
        <v>20.8249128</v>
      </c>
    </row>
    <row r="768" s="307" customFormat="1" customHeight="1" spans="1:6">
      <c r="A768" s="57" t="s">
        <v>59</v>
      </c>
      <c r="B768" s="57" t="s">
        <v>957</v>
      </c>
      <c r="C768" s="57"/>
      <c r="D768" s="57"/>
      <c r="E768" s="57"/>
      <c r="F768" s="84">
        <f>F769+F772+F776</f>
        <v>19.8711</v>
      </c>
    </row>
    <row r="769" s="307" customFormat="1" customHeight="1" spans="1:6">
      <c r="A769" s="57">
        <v>1</v>
      </c>
      <c r="B769" s="57" t="s">
        <v>964</v>
      </c>
      <c r="C769" s="57" t="s">
        <v>965</v>
      </c>
      <c r="D769" s="113"/>
      <c r="E769" s="92">
        <f>SUM(E770:E771)</f>
        <v>1.944</v>
      </c>
      <c r="F769" s="113">
        <f>SUM(F770:F771)</f>
        <v>14.38568</v>
      </c>
    </row>
    <row r="770" s="307" customFormat="1" customHeight="1" spans="1:6">
      <c r="A770" s="57"/>
      <c r="B770" s="57" t="s">
        <v>966</v>
      </c>
      <c r="C770" s="57" t="s">
        <v>965</v>
      </c>
      <c r="D770" s="113">
        <v>8.1</v>
      </c>
      <c r="E770" s="124">
        <f>(0.146+0.024)*8</f>
        <v>1.36</v>
      </c>
      <c r="F770" s="113">
        <f t="shared" ref="F770:F775" si="75">D770*E770</f>
        <v>11.016</v>
      </c>
    </row>
    <row r="771" s="307" customFormat="1" customHeight="1" spans="1:6">
      <c r="A771" s="57"/>
      <c r="B771" s="57" t="s">
        <v>968</v>
      </c>
      <c r="C771" s="57" t="s">
        <v>965</v>
      </c>
      <c r="D771" s="113">
        <v>5.77</v>
      </c>
      <c r="E771" s="124">
        <f>0.073*8</f>
        <v>0.584</v>
      </c>
      <c r="F771" s="113">
        <f t="shared" si="75"/>
        <v>3.36968</v>
      </c>
    </row>
    <row r="772" s="307" customFormat="1" customHeight="1" spans="1:6">
      <c r="A772" s="57">
        <v>2</v>
      </c>
      <c r="B772" s="57" t="s">
        <v>967</v>
      </c>
      <c r="C772" s="57"/>
      <c r="D772" s="113"/>
      <c r="E772" s="124"/>
      <c r="F772" s="113">
        <f>SUM(F773:F775)</f>
        <v>4.3981</v>
      </c>
    </row>
    <row r="773" s="307" customFormat="1" customHeight="1" spans="1:6">
      <c r="A773" s="57"/>
      <c r="B773" s="57" t="s">
        <v>1016</v>
      </c>
      <c r="C773" s="57" t="s">
        <v>184</v>
      </c>
      <c r="D773" s="113">
        <v>4.66</v>
      </c>
      <c r="E773" s="113">
        <v>0.5</v>
      </c>
      <c r="F773" s="113">
        <f t="shared" si="75"/>
        <v>2.33</v>
      </c>
    </row>
    <row r="774" s="307" customFormat="1" customHeight="1" spans="1:6">
      <c r="A774" s="57"/>
      <c r="B774" s="57" t="s">
        <v>1017</v>
      </c>
      <c r="C774" s="57" t="s">
        <v>184</v>
      </c>
      <c r="D774" s="113">
        <v>50</v>
      </c>
      <c r="E774" s="113">
        <v>0.03</v>
      </c>
      <c r="F774" s="113">
        <f t="shared" si="75"/>
        <v>1.5</v>
      </c>
    </row>
    <row r="775" s="307" customFormat="1" customHeight="1" spans="1:6">
      <c r="A775" s="57"/>
      <c r="B775" s="57" t="s">
        <v>1022</v>
      </c>
      <c r="C775" s="57" t="s">
        <v>1023</v>
      </c>
      <c r="D775" s="113">
        <f>材料预算价!$K$14</f>
        <v>4.37</v>
      </c>
      <c r="E775" s="124">
        <f>0.13</f>
        <v>0.13</v>
      </c>
      <c r="F775" s="113">
        <f t="shared" si="75"/>
        <v>0.5681</v>
      </c>
    </row>
    <row r="776" s="307" customFormat="1" customHeight="1" spans="1:6">
      <c r="A776" s="57">
        <v>3</v>
      </c>
      <c r="B776" s="57" t="s">
        <v>974</v>
      </c>
      <c r="C776" s="57"/>
      <c r="D776" s="57"/>
      <c r="E776" s="57"/>
      <c r="F776" s="113">
        <f>F777</f>
        <v>1.08732</v>
      </c>
    </row>
    <row r="777" s="307" customFormat="1" customHeight="1" spans="1:6">
      <c r="A777" s="57"/>
      <c r="B777" s="57" t="s">
        <v>1018</v>
      </c>
      <c r="C777" s="57" t="s">
        <v>405</v>
      </c>
      <c r="D777" s="84">
        <v>362.44</v>
      </c>
      <c r="E777" s="57">
        <v>0.003</v>
      </c>
      <c r="F777" s="113">
        <f>D777*E777</f>
        <v>1.08732</v>
      </c>
    </row>
    <row r="778" s="307" customFormat="1" customHeight="1" spans="1:6">
      <c r="A778" s="57" t="s">
        <v>70</v>
      </c>
      <c r="B778" s="57" t="s">
        <v>977</v>
      </c>
      <c r="C778" s="194">
        <f>取费表!$C$12</f>
        <v>0.048</v>
      </c>
      <c r="D778" s="58"/>
      <c r="E778" s="84">
        <f>F768</f>
        <v>19.8711</v>
      </c>
      <c r="F778" s="113">
        <f t="shared" ref="F778:F782" si="76">E778*C778</f>
        <v>0.9538128</v>
      </c>
    </row>
    <row r="779" s="307" customFormat="1" customHeight="1" spans="1:6">
      <c r="A779" s="57"/>
      <c r="B779" s="57"/>
      <c r="C779" s="194"/>
      <c r="D779" s="58"/>
      <c r="E779" s="84"/>
      <c r="F779" s="113"/>
    </row>
    <row r="780" s="307" customFormat="1" customHeight="1" spans="1:6">
      <c r="A780" s="57" t="s">
        <v>979</v>
      </c>
      <c r="B780" s="57" t="s">
        <v>973</v>
      </c>
      <c r="C780" s="194">
        <f>取费表!$E$12</f>
        <v>0.0725</v>
      </c>
      <c r="D780" s="58"/>
      <c r="E780" s="84">
        <f>F767</f>
        <v>20.8249128</v>
      </c>
      <c r="F780" s="113">
        <f t="shared" si="76"/>
        <v>1.509806178</v>
      </c>
    </row>
    <row r="781" s="307" customFormat="1" customHeight="1" spans="1:6">
      <c r="A781" s="57" t="s">
        <v>162</v>
      </c>
      <c r="B781" s="57" t="s">
        <v>980</v>
      </c>
      <c r="C781" s="194">
        <f>取费表!$F$12</f>
        <v>0.05</v>
      </c>
      <c r="D781" s="58"/>
      <c r="E781" s="84">
        <f>F780+F767</f>
        <v>22.334718978</v>
      </c>
      <c r="F781" s="113">
        <f t="shared" si="76"/>
        <v>1.1167359489</v>
      </c>
    </row>
    <row r="782" s="307" customFormat="1" customHeight="1" spans="1:6">
      <c r="A782" s="57" t="s">
        <v>214</v>
      </c>
      <c r="B782" s="57" t="s">
        <v>976</v>
      </c>
      <c r="C782" s="195">
        <f>取费表!$G$12</f>
        <v>0.09</v>
      </c>
      <c r="D782" s="58"/>
      <c r="E782" s="84">
        <f>F781+F780+F767</f>
        <v>23.4514549269</v>
      </c>
      <c r="F782" s="113">
        <f t="shared" si="76"/>
        <v>2.110630943421</v>
      </c>
    </row>
    <row r="783" s="307" customFormat="1" customHeight="1" spans="1:6">
      <c r="A783" s="57"/>
      <c r="B783" s="57" t="s">
        <v>984</v>
      </c>
      <c r="C783" s="195"/>
      <c r="D783" s="58"/>
      <c r="E783" s="84"/>
      <c r="F783" s="113">
        <f>(F767+F780+F781+F782)*取费表!$H$12</f>
        <v>0.76686257610963</v>
      </c>
    </row>
    <row r="784" s="307" customFormat="1" customHeight="1" spans="1:6">
      <c r="A784" s="57"/>
      <c r="B784" s="57" t="s">
        <v>278</v>
      </c>
      <c r="C784" s="58"/>
      <c r="D784" s="58"/>
      <c r="E784" s="57"/>
      <c r="F784" s="113">
        <f>F767+F780+F781+F782+F783</f>
        <v>26.3289484464306</v>
      </c>
    </row>
    <row r="785" s="307" customFormat="1" customHeight="1" spans="1:6">
      <c r="A785" s="175" t="s">
        <v>944</v>
      </c>
      <c r="B785" s="176"/>
      <c r="C785" s="176"/>
      <c r="D785" s="176"/>
      <c r="E785" s="176"/>
      <c r="F785" s="176"/>
    </row>
    <row r="786" s="307" customFormat="1" customHeight="1" spans="1:6">
      <c r="A786" s="205" t="s">
        <v>1080</v>
      </c>
      <c r="B786" s="205"/>
      <c r="C786" s="205"/>
      <c r="D786" s="205"/>
      <c r="E786" s="205"/>
      <c r="F786" s="205"/>
    </row>
    <row r="787" s="307" customFormat="1" customHeight="1" spans="1:6">
      <c r="A787" s="191" t="s">
        <v>1081</v>
      </c>
      <c r="B787" s="191"/>
      <c r="C787" s="168"/>
      <c r="D787" s="168"/>
      <c r="E787" s="191" t="s">
        <v>1075</v>
      </c>
      <c r="F787" s="191"/>
    </row>
    <row r="788" s="307" customFormat="1" customHeight="1" spans="1:6">
      <c r="A788" s="117" t="s">
        <v>952</v>
      </c>
      <c r="B788" s="192"/>
      <c r="C788" s="201"/>
      <c r="D788" s="201"/>
      <c r="E788" s="201"/>
      <c r="F788" s="202"/>
    </row>
    <row r="789" s="307" customFormat="1" customHeight="1" spans="1:6">
      <c r="A789" s="57" t="s">
        <v>354</v>
      </c>
      <c r="B789" s="57" t="s">
        <v>956</v>
      </c>
      <c r="C789" s="57" t="s">
        <v>52</v>
      </c>
      <c r="D789" s="57" t="s">
        <v>855</v>
      </c>
      <c r="E789" s="57" t="s">
        <v>53</v>
      </c>
      <c r="F789" s="57" t="s">
        <v>306</v>
      </c>
    </row>
    <row r="790" s="307" customFormat="1" customHeight="1" spans="1:6">
      <c r="A790" s="57" t="s">
        <v>959</v>
      </c>
      <c r="B790" s="57" t="s">
        <v>960</v>
      </c>
      <c r="C790" s="57"/>
      <c r="D790" s="57"/>
      <c r="E790" s="57"/>
      <c r="F790" s="84">
        <f>F791+F801</f>
        <v>7.71423368</v>
      </c>
    </row>
    <row r="791" s="307" customFormat="1" customHeight="1" spans="1:6">
      <c r="A791" s="57" t="s">
        <v>59</v>
      </c>
      <c r="B791" s="57" t="s">
        <v>957</v>
      </c>
      <c r="C791" s="57"/>
      <c r="D791" s="57"/>
      <c r="E791" s="57"/>
      <c r="F791" s="84">
        <f>F792+F795+F799</f>
        <v>7.36091</v>
      </c>
    </row>
    <row r="792" s="307" customFormat="1" customHeight="1" spans="1:6">
      <c r="A792" s="57">
        <v>1</v>
      </c>
      <c r="B792" s="57" t="s">
        <v>964</v>
      </c>
      <c r="C792" s="57" t="s">
        <v>965</v>
      </c>
      <c r="D792" s="113"/>
      <c r="E792" s="92">
        <f>SUM(E793:E794)</f>
        <v>0.64</v>
      </c>
      <c r="F792" s="113">
        <f>SUM(F793:F794)</f>
        <v>4.73664</v>
      </c>
    </row>
    <row r="793" s="307" customFormat="1" customHeight="1" spans="1:6">
      <c r="A793" s="57"/>
      <c r="B793" s="57" t="s">
        <v>966</v>
      </c>
      <c r="C793" s="57" t="s">
        <v>965</v>
      </c>
      <c r="D793" s="113">
        <v>8.1</v>
      </c>
      <c r="E793" s="124">
        <f>(0.008+0.048)*8</f>
        <v>0.448</v>
      </c>
      <c r="F793" s="113">
        <f t="shared" ref="F793:F798" si="77">D793*E793</f>
        <v>3.6288</v>
      </c>
    </row>
    <row r="794" s="307" customFormat="1" customHeight="1" spans="1:6">
      <c r="A794" s="57"/>
      <c r="B794" s="57" t="s">
        <v>968</v>
      </c>
      <c r="C794" s="57" t="s">
        <v>965</v>
      </c>
      <c r="D794" s="113">
        <v>5.77</v>
      </c>
      <c r="E794" s="124">
        <f>0.024*8</f>
        <v>0.192</v>
      </c>
      <c r="F794" s="113">
        <f t="shared" si="77"/>
        <v>1.10784</v>
      </c>
    </row>
    <row r="795" s="307" customFormat="1" customHeight="1" spans="1:6">
      <c r="A795" s="57">
        <v>2</v>
      </c>
      <c r="B795" s="57" t="s">
        <v>967</v>
      </c>
      <c r="C795" s="57"/>
      <c r="D795" s="113"/>
      <c r="E795" s="124"/>
      <c r="F795" s="113">
        <f>SUM(F796:F798)</f>
        <v>1.53695</v>
      </c>
    </row>
    <row r="796" s="307" customFormat="1" customHeight="1" spans="1:6">
      <c r="A796" s="57"/>
      <c r="B796" s="57" t="s">
        <v>1016</v>
      </c>
      <c r="C796" s="57" t="s">
        <v>184</v>
      </c>
      <c r="D796" s="113">
        <v>4.66</v>
      </c>
      <c r="E796" s="113">
        <v>0.066</v>
      </c>
      <c r="F796" s="113">
        <f t="shared" si="77"/>
        <v>0.30756</v>
      </c>
    </row>
    <row r="797" s="307" customFormat="1" customHeight="1" spans="1:6">
      <c r="A797" s="57"/>
      <c r="B797" s="57" t="s">
        <v>1017</v>
      </c>
      <c r="C797" s="57" t="s">
        <v>184</v>
      </c>
      <c r="D797" s="113">
        <v>50</v>
      </c>
      <c r="E797" s="124">
        <v>0.003</v>
      </c>
      <c r="F797" s="113">
        <f t="shared" si="77"/>
        <v>0.15</v>
      </c>
    </row>
    <row r="798" s="307" customFormat="1" customHeight="1" spans="1:6">
      <c r="A798" s="57"/>
      <c r="B798" s="57" t="s">
        <v>1022</v>
      </c>
      <c r="C798" s="57" t="s">
        <v>1023</v>
      </c>
      <c r="D798" s="113">
        <f>材料预算价!$K$14</f>
        <v>4.37</v>
      </c>
      <c r="E798" s="124">
        <f>0.247</f>
        <v>0.247</v>
      </c>
      <c r="F798" s="113">
        <f t="shared" si="77"/>
        <v>1.07939</v>
      </c>
    </row>
    <row r="799" s="307" customFormat="1" customHeight="1" spans="1:6">
      <c r="A799" s="57">
        <v>3</v>
      </c>
      <c r="B799" s="57" t="s">
        <v>974</v>
      </c>
      <c r="C799" s="57"/>
      <c r="D799" s="57"/>
      <c r="E799" s="57"/>
      <c r="F799" s="113">
        <f>F800</f>
        <v>1.08732</v>
      </c>
    </row>
    <row r="800" s="307" customFormat="1" customHeight="1" spans="1:6">
      <c r="A800" s="57"/>
      <c r="B800" s="57" t="s">
        <v>1018</v>
      </c>
      <c r="C800" s="57" t="s">
        <v>405</v>
      </c>
      <c r="D800" s="84">
        <v>362.44</v>
      </c>
      <c r="E800" s="57">
        <v>0.003</v>
      </c>
      <c r="F800" s="113">
        <f>D800*E800</f>
        <v>1.08732</v>
      </c>
    </row>
    <row r="801" s="307" customFormat="1" customHeight="1" spans="1:6">
      <c r="A801" s="57" t="s">
        <v>70</v>
      </c>
      <c r="B801" s="57" t="s">
        <v>977</v>
      </c>
      <c r="C801" s="194">
        <f>取费表!$C$12</f>
        <v>0.048</v>
      </c>
      <c r="D801" s="58"/>
      <c r="E801" s="84">
        <f>F791</f>
        <v>7.36091</v>
      </c>
      <c r="F801" s="113">
        <f t="shared" ref="F801:F805" si="78">E801*C801</f>
        <v>0.35332368</v>
      </c>
    </row>
    <row r="802" s="307" customFormat="1" customHeight="1" spans="1:6">
      <c r="A802" s="57"/>
      <c r="B802" s="57"/>
      <c r="C802" s="194"/>
      <c r="D802" s="58"/>
      <c r="E802" s="84"/>
      <c r="F802" s="113"/>
    </row>
    <row r="803" s="307" customFormat="1" customHeight="1" spans="1:6">
      <c r="A803" s="57" t="s">
        <v>979</v>
      </c>
      <c r="B803" s="57" t="s">
        <v>973</v>
      </c>
      <c r="C803" s="194">
        <f>取费表!$E$12</f>
        <v>0.0725</v>
      </c>
      <c r="D803" s="58"/>
      <c r="E803" s="84">
        <f>F790</f>
        <v>7.71423368</v>
      </c>
      <c r="F803" s="113">
        <f t="shared" si="78"/>
        <v>0.5592819418</v>
      </c>
    </row>
    <row r="804" s="307" customFormat="1" customHeight="1" spans="1:6">
      <c r="A804" s="57" t="s">
        <v>162</v>
      </c>
      <c r="B804" s="57" t="s">
        <v>980</v>
      </c>
      <c r="C804" s="194">
        <f>取费表!$F$12</f>
        <v>0.05</v>
      </c>
      <c r="D804" s="58"/>
      <c r="E804" s="84">
        <f>F803+F790</f>
        <v>8.2735156218</v>
      </c>
      <c r="F804" s="113">
        <f t="shared" si="78"/>
        <v>0.41367578109</v>
      </c>
    </row>
    <row r="805" s="307" customFormat="1" customHeight="1" spans="1:6">
      <c r="A805" s="57" t="s">
        <v>214</v>
      </c>
      <c r="B805" s="57" t="s">
        <v>976</v>
      </c>
      <c r="C805" s="195">
        <f>取费表!$G$12</f>
        <v>0.09</v>
      </c>
      <c r="D805" s="58"/>
      <c r="E805" s="84">
        <f>F804+F803+F790</f>
        <v>8.68719140289</v>
      </c>
      <c r="F805" s="113">
        <f t="shared" si="78"/>
        <v>0.7818472262601</v>
      </c>
    </row>
    <row r="806" s="307" customFormat="1" customHeight="1" spans="1:6">
      <c r="A806" s="57"/>
      <c r="B806" s="57" t="s">
        <v>984</v>
      </c>
      <c r="C806" s="195"/>
      <c r="D806" s="58"/>
      <c r="E806" s="84"/>
      <c r="F806" s="113">
        <f>(F790+F803+F804+F805)*取费表!$H$12</f>
        <v>0.284071158874503</v>
      </c>
    </row>
    <row r="807" s="307" customFormat="1" customHeight="1" spans="1:6">
      <c r="A807" s="57"/>
      <c r="B807" s="57" t="s">
        <v>278</v>
      </c>
      <c r="C807" s="58"/>
      <c r="D807" s="58"/>
      <c r="E807" s="57"/>
      <c r="F807" s="113">
        <f>F790+F803+F804+F805+F806</f>
        <v>9.7531097880246</v>
      </c>
    </row>
    <row r="808" s="307" customFormat="1" customHeight="1" spans="1:6">
      <c r="A808" s="175" t="s">
        <v>944</v>
      </c>
      <c r="B808" s="176"/>
      <c r="C808" s="176"/>
      <c r="D808" s="176"/>
      <c r="E808" s="176"/>
      <c r="F808" s="176"/>
    </row>
    <row r="809" s="307" customFormat="1" customHeight="1" spans="1:6">
      <c r="A809" s="205" t="s">
        <v>1082</v>
      </c>
      <c r="B809" s="205"/>
      <c r="C809" s="205"/>
      <c r="D809" s="205"/>
      <c r="E809" s="205"/>
      <c r="F809" s="205"/>
    </row>
    <row r="810" s="307" customFormat="1" customHeight="1" spans="1:6">
      <c r="A810" s="191" t="s">
        <v>1083</v>
      </c>
      <c r="B810" s="191"/>
      <c r="C810" s="168"/>
      <c r="D810" s="168"/>
      <c r="E810" s="191" t="s">
        <v>1084</v>
      </c>
      <c r="F810" s="191"/>
    </row>
    <row r="811" s="307" customFormat="1" customHeight="1" spans="1:6">
      <c r="A811" s="117" t="s">
        <v>952</v>
      </c>
      <c r="B811" s="192"/>
      <c r="C811" s="201"/>
      <c r="D811" s="201"/>
      <c r="E811" s="201"/>
      <c r="F811" s="202"/>
    </row>
    <row r="812" s="307" customFormat="1" customHeight="1" spans="1:6">
      <c r="A812" s="57" t="s">
        <v>354</v>
      </c>
      <c r="B812" s="57" t="s">
        <v>956</v>
      </c>
      <c r="C812" s="57" t="s">
        <v>52</v>
      </c>
      <c r="D812" s="57" t="s">
        <v>855</v>
      </c>
      <c r="E812" s="57" t="s">
        <v>53</v>
      </c>
      <c r="F812" s="57" t="s">
        <v>306</v>
      </c>
    </row>
    <row r="813" s="307" customFormat="1" customHeight="1" spans="1:6">
      <c r="A813" s="57" t="s">
        <v>959</v>
      </c>
      <c r="B813" s="57" t="s">
        <v>960</v>
      </c>
      <c r="C813" s="57"/>
      <c r="D813" s="57"/>
      <c r="E813" s="57"/>
      <c r="F813" s="84">
        <f>F814+F825</f>
        <v>0.065678981632</v>
      </c>
    </row>
    <row r="814" s="307" customFormat="1" customHeight="1" spans="1:6">
      <c r="A814" s="57" t="s">
        <v>59</v>
      </c>
      <c r="B814" s="57" t="s">
        <v>957</v>
      </c>
      <c r="C814" s="57"/>
      <c r="D814" s="57"/>
      <c r="E814" s="57"/>
      <c r="F814" s="84">
        <f>F815+F818+F822</f>
        <v>0.062670784</v>
      </c>
    </row>
    <row r="815" s="307" customFormat="1" customHeight="1" spans="1:6">
      <c r="A815" s="57">
        <v>1</v>
      </c>
      <c r="B815" s="57" t="s">
        <v>964</v>
      </c>
      <c r="C815" s="57" t="s">
        <v>965</v>
      </c>
      <c r="D815" s="113"/>
      <c r="E815" s="92">
        <f>SUM(E816:E817)</f>
        <v>0.0028544</v>
      </c>
      <c r="F815" s="113">
        <f>SUM(F816:F817)</f>
        <v>0.021122432</v>
      </c>
    </row>
    <row r="816" s="307" customFormat="1" customHeight="1" spans="1:6">
      <c r="A816" s="57"/>
      <c r="B816" s="57" t="s">
        <v>966</v>
      </c>
      <c r="C816" s="57" t="s">
        <v>965</v>
      </c>
      <c r="D816" s="113">
        <v>8.1</v>
      </c>
      <c r="E816" s="124">
        <f>(0.535+0.089)*8/2500</f>
        <v>0.0019968</v>
      </c>
      <c r="F816" s="113">
        <f t="shared" ref="F816:F821" si="79">D816*E816</f>
        <v>0.01617408</v>
      </c>
    </row>
    <row r="817" s="307" customFormat="1" customHeight="1" spans="1:6">
      <c r="A817" s="57"/>
      <c r="B817" s="57" t="s">
        <v>968</v>
      </c>
      <c r="C817" s="57" t="s">
        <v>965</v>
      </c>
      <c r="D817" s="113">
        <v>5.77</v>
      </c>
      <c r="E817" s="124">
        <f>0.268*8/2500</f>
        <v>0.0008576</v>
      </c>
      <c r="F817" s="113">
        <f t="shared" si="79"/>
        <v>0.004948352</v>
      </c>
    </row>
    <row r="818" s="307" customFormat="1" customHeight="1" spans="1:6">
      <c r="A818" s="57">
        <v>2</v>
      </c>
      <c r="B818" s="57" t="s">
        <v>967</v>
      </c>
      <c r="C818" s="57"/>
      <c r="D818" s="113"/>
      <c r="E818" s="124"/>
      <c r="F818" s="113">
        <f>SUM(F819:F821)</f>
        <v>0.018424</v>
      </c>
    </row>
    <row r="819" s="307" customFormat="1" customHeight="1" spans="1:6">
      <c r="A819" s="57"/>
      <c r="B819" s="57" t="s">
        <v>1016</v>
      </c>
      <c r="C819" s="57" t="s">
        <v>184</v>
      </c>
      <c r="D819" s="113">
        <v>4.66</v>
      </c>
      <c r="E819" s="113">
        <f>2.4/2500</f>
        <v>0.00096</v>
      </c>
      <c r="F819" s="113">
        <f t="shared" si="79"/>
        <v>0.0044736</v>
      </c>
    </row>
    <row r="820" s="307" customFormat="1" customHeight="1" spans="1:6">
      <c r="A820" s="57"/>
      <c r="B820" s="57" t="s">
        <v>1017</v>
      </c>
      <c r="C820" s="57" t="s">
        <v>184</v>
      </c>
      <c r="D820" s="113">
        <v>50</v>
      </c>
      <c r="E820" s="124">
        <f>0.278/2500</f>
        <v>0.0001112</v>
      </c>
      <c r="F820" s="113">
        <f t="shared" si="79"/>
        <v>0.00556</v>
      </c>
    </row>
    <row r="821" s="307" customFormat="1" customHeight="1" spans="1:6">
      <c r="A821" s="57"/>
      <c r="B821" s="57" t="s">
        <v>1022</v>
      </c>
      <c r="C821" s="57" t="s">
        <v>1023</v>
      </c>
      <c r="D821" s="113">
        <f>材料预算价!$K$14</f>
        <v>4.37</v>
      </c>
      <c r="E821" s="124">
        <f>4.8/2500</f>
        <v>0.00192</v>
      </c>
      <c r="F821" s="113">
        <f t="shared" si="79"/>
        <v>0.0083904</v>
      </c>
    </row>
    <row r="822" s="307" customFormat="1" customHeight="1" spans="1:6">
      <c r="A822" s="57">
        <v>3</v>
      </c>
      <c r="B822" s="57" t="s">
        <v>974</v>
      </c>
      <c r="C822" s="57"/>
      <c r="D822" s="57"/>
      <c r="E822" s="57"/>
      <c r="F822" s="113">
        <f>SUM(F823:F824)</f>
        <v>0.023124352</v>
      </c>
    </row>
    <row r="823" s="307" customFormat="1" customHeight="1" spans="1:6">
      <c r="A823" s="57"/>
      <c r="B823" s="57" t="s">
        <v>1018</v>
      </c>
      <c r="C823" s="57" t="s">
        <v>405</v>
      </c>
      <c r="D823" s="84">
        <v>362.44</v>
      </c>
      <c r="E823" s="57">
        <f>0.067/2500</f>
        <v>2.68e-5</v>
      </c>
      <c r="F823" s="113">
        <f>D823*E823</f>
        <v>0.009713392</v>
      </c>
    </row>
    <row r="824" s="307" customFormat="1" customHeight="1" spans="1:6">
      <c r="A824" s="57"/>
      <c r="B824" s="57" t="s">
        <v>1085</v>
      </c>
      <c r="C824" s="57" t="s">
        <v>405</v>
      </c>
      <c r="D824" s="84">
        <v>328.7</v>
      </c>
      <c r="E824" s="57">
        <f>0.102/2500</f>
        <v>4.08e-5</v>
      </c>
      <c r="F824" s="113">
        <f>D824*E824</f>
        <v>0.01341096</v>
      </c>
    </row>
    <row r="825" s="307" customFormat="1" customHeight="1" spans="1:6">
      <c r="A825" s="57" t="s">
        <v>70</v>
      </c>
      <c r="B825" s="57" t="s">
        <v>977</v>
      </c>
      <c r="C825" s="194">
        <f>取费表!$C$12</f>
        <v>0.048</v>
      </c>
      <c r="D825" s="58"/>
      <c r="E825" s="84">
        <f>F814</f>
        <v>0.062670784</v>
      </c>
      <c r="F825" s="113">
        <f t="shared" ref="F825:F829" si="80">E825*C825</f>
        <v>0.003008197632</v>
      </c>
    </row>
    <row r="826" s="307" customFormat="1" customHeight="1" spans="1:6">
      <c r="A826" s="57"/>
      <c r="B826" s="57"/>
      <c r="C826" s="194"/>
      <c r="D826" s="58"/>
      <c r="E826" s="84"/>
      <c r="F826" s="113"/>
    </row>
    <row r="827" s="307" customFormat="1" customHeight="1" spans="1:6">
      <c r="A827" s="57" t="s">
        <v>979</v>
      </c>
      <c r="B827" s="57" t="s">
        <v>973</v>
      </c>
      <c r="C827" s="194">
        <f>取费表!$E$12</f>
        <v>0.0725</v>
      </c>
      <c r="D827" s="58"/>
      <c r="E827" s="84">
        <f>F813</f>
        <v>0.065678981632</v>
      </c>
      <c r="F827" s="113">
        <f t="shared" si="80"/>
        <v>0.00476172616832</v>
      </c>
    </row>
    <row r="828" s="307" customFormat="1" customHeight="1" spans="1:6">
      <c r="A828" s="57" t="s">
        <v>162</v>
      </c>
      <c r="B828" s="57" t="s">
        <v>980</v>
      </c>
      <c r="C828" s="194">
        <f>取费表!$F$12</f>
        <v>0.05</v>
      </c>
      <c r="D828" s="58"/>
      <c r="E828" s="84">
        <f>F827+F813</f>
        <v>0.07044070780032</v>
      </c>
      <c r="F828" s="113">
        <f t="shared" si="80"/>
        <v>0.003522035390016</v>
      </c>
    </row>
    <row r="829" s="307" customFormat="1" customHeight="1" spans="1:6">
      <c r="A829" s="57" t="s">
        <v>214</v>
      </c>
      <c r="B829" s="57" t="s">
        <v>976</v>
      </c>
      <c r="C829" s="195">
        <f>取费表!$G$12</f>
        <v>0.09</v>
      </c>
      <c r="D829" s="58"/>
      <c r="E829" s="84">
        <f>F828+F827+F813</f>
        <v>0.073962743190336</v>
      </c>
      <c r="F829" s="113">
        <f t="shared" si="80"/>
        <v>0.00665664688713024</v>
      </c>
    </row>
    <row r="830" s="307" customFormat="1" customHeight="1" spans="1:6">
      <c r="A830" s="57"/>
      <c r="B830" s="57" t="s">
        <v>984</v>
      </c>
      <c r="C830" s="195"/>
      <c r="D830" s="58"/>
      <c r="E830" s="84"/>
      <c r="F830" s="113">
        <f>(F813+F827+F828+F829)*取费表!$H$12</f>
        <v>0.00241858170232399</v>
      </c>
    </row>
    <row r="831" s="307" customFormat="1" customHeight="1" spans="1:6">
      <c r="A831" s="57"/>
      <c r="B831" s="57" t="s">
        <v>278</v>
      </c>
      <c r="C831" s="58"/>
      <c r="D831" s="58"/>
      <c r="E831" s="57"/>
      <c r="F831" s="113">
        <f>F813+F827+F828+F829+F830</f>
        <v>0.0830379717797902</v>
      </c>
    </row>
    <row r="832" s="307" customFormat="1" customHeight="1" spans="1:6">
      <c r="A832" s="175" t="s">
        <v>944</v>
      </c>
      <c r="B832" s="176"/>
      <c r="C832" s="176"/>
      <c r="D832" s="176"/>
      <c r="E832" s="176"/>
      <c r="F832" s="176"/>
    </row>
    <row r="833" s="307" customFormat="1" customHeight="1" spans="1:6">
      <c r="A833" s="205" t="s">
        <v>1086</v>
      </c>
      <c r="B833" s="205"/>
      <c r="C833" s="205"/>
      <c r="D833" s="205"/>
      <c r="E833" s="205"/>
      <c r="F833" s="205"/>
    </row>
    <row r="834" s="307" customFormat="1" customHeight="1" spans="1:6">
      <c r="A834" s="191" t="s">
        <v>1087</v>
      </c>
      <c r="B834" s="191"/>
      <c r="C834" s="168"/>
      <c r="D834" s="168"/>
      <c r="E834" s="191" t="s">
        <v>1084</v>
      </c>
      <c r="F834" s="191"/>
    </row>
    <row r="835" s="307" customFormat="1" customHeight="1" spans="1:6">
      <c r="A835" s="117" t="s">
        <v>952</v>
      </c>
      <c r="B835" s="192"/>
      <c r="C835" s="201"/>
      <c r="D835" s="201"/>
      <c r="E835" s="201"/>
      <c r="F835" s="202"/>
    </row>
    <row r="836" s="307" customFormat="1" customHeight="1" spans="1:6">
      <c r="A836" s="57" t="s">
        <v>354</v>
      </c>
      <c r="B836" s="57" t="s">
        <v>956</v>
      </c>
      <c r="C836" s="57" t="s">
        <v>52</v>
      </c>
      <c r="D836" s="57" t="s">
        <v>855</v>
      </c>
      <c r="E836" s="57" t="s">
        <v>53</v>
      </c>
      <c r="F836" s="57" t="s">
        <v>306</v>
      </c>
    </row>
    <row r="837" s="307" customFormat="1" customHeight="1" spans="1:6">
      <c r="A837" s="57" t="s">
        <v>959</v>
      </c>
      <c r="B837" s="57" t="s">
        <v>960</v>
      </c>
      <c r="C837" s="57"/>
      <c r="D837" s="57"/>
      <c r="E837" s="57"/>
      <c r="F837" s="84">
        <f>F838+F849</f>
        <v>0.0768210724</v>
      </c>
    </row>
    <row r="838" s="307" customFormat="1" customHeight="1" spans="1:6">
      <c r="A838" s="57" t="s">
        <v>59</v>
      </c>
      <c r="B838" s="57" t="s">
        <v>957</v>
      </c>
      <c r="C838" s="57"/>
      <c r="D838" s="57"/>
      <c r="E838" s="57"/>
      <c r="F838" s="88">
        <f>F839+F842+F846</f>
        <v>0.07330255</v>
      </c>
    </row>
    <row r="839" s="307" customFormat="1" customHeight="1" spans="1:6">
      <c r="A839" s="57">
        <v>1</v>
      </c>
      <c r="B839" s="57" t="s">
        <v>964</v>
      </c>
      <c r="C839" s="57" t="s">
        <v>965</v>
      </c>
      <c r="D839" s="113"/>
      <c r="E839" s="416">
        <f>SUM(E840:E841)</f>
        <v>0.00396666666666667</v>
      </c>
      <c r="F839" s="88">
        <f>SUM(F840:F841)</f>
        <v>0.0293573</v>
      </c>
    </row>
    <row r="840" s="307" customFormat="1" customHeight="1" spans="1:6">
      <c r="A840" s="57"/>
      <c r="B840" s="57" t="s">
        <v>966</v>
      </c>
      <c r="C840" s="57" t="s">
        <v>965</v>
      </c>
      <c r="D840" s="113">
        <v>8.1</v>
      </c>
      <c r="E840" s="416">
        <f>(0.714+0.119)*8/2400</f>
        <v>0.00277666666666667</v>
      </c>
      <c r="F840" s="88">
        <f t="shared" ref="F840:F845" si="81">D840*E840</f>
        <v>0.022491</v>
      </c>
    </row>
    <row r="841" s="307" customFormat="1" customHeight="1" spans="1:6">
      <c r="A841" s="57"/>
      <c r="B841" s="57" t="s">
        <v>968</v>
      </c>
      <c r="C841" s="57" t="s">
        <v>965</v>
      </c>
      <c r="D841" s="113">
        <v>5.77</v>
      </c>
      <c r="E841" s="416">
        <f>0.357*8/2400</f>
        <v>0.00119</v>
      </c>
      <c r="F841" s="88">
        <f t="shared" si="81"/>
        <v>0.0068663</v>
      </c>
    </row>
    <row r="842" s="307" customFormat="1" customHeight="1" spans="1:6">
      <c r="A842" s="57">
        <v>2</v>
      </c>
      <c r="B842" s="57" t="s">
        <v>967</v>
      </c>
      <c r="C842" s="57"/>
      <c r="D842" s="113"/>
      <c r="E842" s="416"/>
      <c r="F842" s="88">
        <f>SUM(F843:F845)</f>
        <v>0.0379045833333333</v>
      </c>
    </row>
    <row r="843" s="307" customFormat="1" customHeight="1" spans="1:6">
      <c r="A843" s="57"/>
      <c r="B843" s="57" t="s">
        <v>1016</v>
      </c>
      <c r="C843" s="57" t="s">
        <v>184</v>
      </c>
      <c r="D843" s="113">
        <v>4.66</v>
      </c>
      <c r="E843" s="416">
        <f>3.5/2400</f>
        <v>0.00145833333333333</v>
      </c>
      <c r="F843" s="88">
        <f t="shared" si="81"/>
        <v>0.00679583333333333</v>
      </c>
    </row>
    <row r="844" s="307" customFormat="1" customHeight="1" spans="1:6">
      <c r="A844" s="57"/>
      <c r="B844" s="57" t="s">
        <v>1017</v>
      </c>
      <c r="C844" s="57" t="s">
        <v>184</v>
      </c>
      <c r="D844" s="113">
        <v>50</v>
      </c>
      <c r="E844" s="416">
        <f>1.03/2400</f>
        <v>0.000429166666666667</v>
      </c>
      <c r="F844" s="88">
        <f t="shared" si="81"/>
        <v>0.0214583333333333</v>
      </c>
    </row>
    <row r="845" s="307" customFormat="1" customHeight="1" spans="1:6">
      <c r="A845" s="57"/>
      <c r="B845" s="57" t="s">
        <v>1022</v>
      </c>
      <c r="C845" s="57" t="s">
        <v>1023</v>
      </c>
      <c r="D845" s="113">
        <f>材料预算价!$K$14</f>
        <v>4.37</v>
      </c>
      <c r="E845" s="416">
        <f>5.3/2400</f>
        <v>0.00220833333333333</v>
      </c>
      <c r="F845" s="88">
        <f t="shared" si="81"/>
        <v>0.00965041666666665</v>
      </c>
    </row>
    <row r="846" s="307" customFormat="1" customHeight="1" spans="1:6">
      <c r="A846" s="57">
        <v>3</v>
      </c>
      <c r="B846" s="57" t="s">
        <v>974</v>
      </c>
      <c r="C846" s="57"/>
      <c r="D846" s="57"/>
      <c r="E846" s="416"/>
      <c r="F846" s="88">
        <f>SUM(F847:F848)</f>
        <v>0.00604066666666667</v>
      </c>
    </row>
    <row r="847" s="307" customFormat="1" customHeight="1" spans="1:6">
      <c r="A847" s="57"/>
      <c r="B847" s="57" t="s">
        <v>1018</v>
      </c>
      <c r="C847" s="57" t="s">
        <v>405</v>
      </c>
      <c r="D847" s="84">
        <v>362.44</v>
      </c>
      <c r="E847" s="416">
        <f>0.04/2400</f>
        <v>1.66666666666667e-5</v>
      </c>
      <c r="F847" s="88">
        <f>D847*E847</f>
        <v>0.00604066666666667</v>
      </c>
    </row>
    <row r="848" s="307" customFormat="1" customHeight="1" spans="1:6">
      <c r="A848" s="57"/>
      <c r="B848" s="57"/>
      <c r="C848" s="57"/>
      <c r="D848" s="84"/>
      <c r="E848" s="416"/>
      <c r="F848" s="88"/>
    </row>
    <row r="849" s="307" customFormat="1" customHeight="1" spans="1:6">
      <c r="A849" s="57" t="s">
        <v>70</v>
      </c>
      <c r="B849" s="57" t="s">
        <v>977</v>
      </c>
      <c r="C849" s="194">
        <f>取费表!$C$12</f>
        <v>0.048</v>
      </c>
      <c r="D849" s="58"/>
      <c r="E849" s="84">
        <f>F838</f>
        <v>0.07330255</v>
      </c>
      <c r="F849" s="88">
        <f t="shared" ref="F849:F853" si="82">E849*C849</f>
        <v>0.0035185224</v>
      </c>
    </row>
    <row r="850" s="307" customFormat="1" customHeight="1" spans="1:6">
      <c r="A850" s="57"/>
      <c r="B850" s="57"/>
      <c r="C850" s="194"/>
      <c r="D850" s="58"/>
      <c r="E850" s="84"/>
      <c r="F850" s="88"/>
    </row>
    <row r="851" s="307" customFormat="1" customHeight="1" spans="1:6">
      <c r="A851" s="57" t="s">
        <v>979</v>
      </c>
      <c r="B851" s="57" t="s">
        <v>973</v>
      </c>
      <c r="C851" s="194">
        <f>取费表!$E$12</f>
        <v>0.0725</v>
      </c>
      <c r="D851" s="58"/>
      <c r="E851" s="84">
        <f>F837</f>
        <v>0.0768210724</v>
      </c>
      <c r="F851" s="88">
        <f t="shared" si="82"/>
        <v>0.005569527749</v>
      </c>
    </row>
    <row r="852" s="307" customFormat="1" customHeight="1" spans="1:6">
      <c r="A852" s="57" t="s">
        <v>162</v>
      </c>
      <c r="B852" s="57" t="s">
        <v>980</v>
      </c>
      <c r="C852" s="194">
        <f>取费表!$F$12</f>
        <v>0.05</v>
      </c>
      <c r="D852" s="58"/>
      <c r="E852" s="84">
        <f>F851+F837</f>
        <v>0.0823906001489999</v>
      </c>
      <c r="F852" s="88">
        <f t="shared" si="82"/>
        <v>0.00411953000745</v>
      </c>
    </row>
    <row r="853" s="307" customFormat="1" customHeight="1" spans="1:6">
      <c r="A853" s="57" t="s">
        <v>214</v>
      </c>
      <c r="B853" s="57" t="s">
        <v>976</v>
      </c>
      <c r="C853" s="195">
        <f>取费表!$G$12</f>
        <v>0.09</v>
      </c>
      <c r="D853" s="58"/>
      <c r="E853" s="84">
        <f>F852+F851+F837</f>
        <v>0.08651013015645</v>
      </c>
      <c r="F853" s="88">
        <f t="shared" si="82"/>
        <v>0.0077859117140805</v>
      </c>
    </row>
    <row r="854" s="307" customFormat="1" customHeight="1" spans="1:6">
      <c r="A854" s="57"/>
      <c r="B854" s="57" t="s">
        <v>984</v>
      </c>
      <c r="C854" s="195"/>
      <c r="D854" s="58"/>
      <c r="E854" s="84"/>
      <c r="F854" s="88">
        <f>(F837+F851+F852+F853)*取费表!$H$12</f>
        <v>0.00282888125611591</v>
      </c>
    </row>
    <row r="855" s="307" customFormat="1" customHeight="1" spans="1:6">
      <c r="A855" s="57"/>
      <c r="B855" s="57" t="s">
        <v>278</v>
      </c>
      <c r="C855" s="58"/>
      <c r="D855" s="58"/>
      <c r="E855" s="57"/>
      <c r="F855" s="113">
        <f>F837+F851+F852+F853+F854</f>
        <v>0.0971249231266463</v>
      </c>
    </row>
  </sheetData>
  <mergeCells count="94">
    <mergeCell ref="A1:F1"/>
    <mergeCell ref="I1:N1"/>
    <mergeCell ref="A2:F2"/>
    <mergeCell ref="I2:J2"/>
    <mergeCell ref="K2:L2"/>
    <mergeCell ref="M2:N2"/>
    <mergeCell ref="I3:N3"/>
    <mergeCell ref="I16:J16"/>
    <mergeCell ref="I18:N18"/>
    <mergeCell ref="I19:J19"/>
    <mergeCell ref="K19:L19"/>
    <mergeCell ref="M19:N19"/>
    <mergeCell ref="I20:N20"/>
    <mergeCell ref="A22:F22"/>
    <mergeCell ref="A23:F23"/>
    <mergeCell ref="I39:N39"/>
    <mergeCell ref="I40:J40"/>
    <mergeCell ref="K40:L40"/>
    <mergeCell ref="M40:N40"/>
    <mergeCell ref="I41:N41"/>
    <mergeCell ref="A43:F43"/>
    <mergeCell ref="A44:F44"/>
    <mergeCell ref="A64:F64"/>
    <mergeCell ref="A65:F65"/>
    <mergeCell ref="A85:F85"/>
    <mergeCell ref="A86:F86"/>
    <mergeCell ref="A106:F106"/>
    <mergeCell ref="A107:F107"/>
    <mergeCell ref="A127:F127"/>
    <mergeCell ref="A128:F128"/>
    <mergeCell ref="A148:F148"/>
    <mergeCell ref="A149:F149"/>
    <mergeCell ref="A169:F169"/>
    <mergeCell ref="A170:F170"/>
    <mergeCell ref="A190:F190"/>
    <mergeCell ref="A191:F191"/>
    <mergeCell ref="A211:F211"/>
    <mergeCell ref="A212:F212"/>
    <mergeCell ref="A232:F232"/>
    <mergeCell ref="A233:F233"/>
    <mergeCell ref="A254:F254"/>
    <mergeCell ref="A255:F255"/>
    <mergeCell ref="A276:F276"/>
    <mergeCell ref="A277:F277"/>
    <mergeCell ref="A298:F298"/>
    <mergeCell ref="A299:F299"/>
    <mergeCell ref="A320:F320"/>
    <mergeCell ref="A321:F321"/>
    <mergeCell ref="A342:F342"/>
    <mergeCell ref="A343:F343"/>
    <mergeCell ref="A364:F364"/>
    <mergeCell ref="A365:F365"/>
    <mergeCell ref="A386:F386"/>
    <mergeCell ref="A387:F387"/>
    <mergeCell ref="A408:F408"/>
    <mergeCell ref="A409:F409"/>
    <mergeCell ref="A430:F430"/>
    <mergeCell ref="A431:F431"/>
    <mergeCell ref="A452:F452"/>
    <mergeCell ref="A453:F453"/>
    <mergeCell ref="A474:F474"/>
    <mergeCell ref="A475:F475"/>
    <mergeCell ref="A496:F496"/>
    <mergeCell ref="A497:F497"/>
    <mergeCell ref="A518:F518"/>
    <mergeCell ref="A519:F519"/>
    <mergeCell ref="A540:F540"/>
    <mergeCell ref="A541:F541"/>
    <mergeCell ref="A562:F562"/>
    <mergeCell ref="A563:F563"/>
    <mergeCell ref="A584:F584"/>
    <mergeCell ref="A585:F585"/>
    <mergeCell ref="A606:F606"/>
    <mergeCell ref="A607:F607"/>
    <mergeCell ref="A628:F628"/>
    <mergeCell ref="A629:F629"/>
    <mergeCell ref="A650:F650"/>
    <mergeCell ref="A651:F651"/>
    <mergeCell ref="A672:F672"/>
    <mergeCell ref="A673:F673"/>
    <mergeCell ref="A694:F694"/>
    <mergeCell ref="A695:F695"/>
    <mergeCell ref="A716:F716"/>
    <mergeCell ref="A717:F717"/>
    <mergeCell ref="A739:F739"/>
    <mergeCell ref="A740:F740"/>
    <mergeCell ref="A762:F762"/>
    <mergeCell ref="A763:F763"/>
    <mergeCell ref="A785:F785"/>
    <mergeCell ref="A786:F786"/>
    <mergeCell ref="A808:F808"/>
    <mergeCell ref="A809:F809"/>
    <mergeCell ref="A832:F832"/>
    <mergeCell ref="A833:F833"/>
  </mergeCells>
  <printOptions horizontalCentered="1" verticalCentered="1"/>
  <pageMargins left="0.747916666666667" right="0.747916666666667" top="0.984027777777778" bottom="0.786805555555556" header="0.510416666666667" footer="0.510416666666667"/>
  <pageSetup paperSize="9" orientation="portrait"/>
  <headerFooter alignWithMargins="0" scaleWithDoc="0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P20"/>
  <sheetViews>
    <sheetView workbookViewId="0">
      <selection activeCell="L20" sqref="A1:L20"/>
    </sheetView>
  </sheetViews>
  <sheetFormatPr defaultColWidth="9" defaultRowHeight="30" customHeight="1"/>
  <cols>
    <col min="1" max="1" width="24.125" style="430" customWidth="1"/>
    <col min="2" max="2" width="15.875" style="430" customWidth="1"/>
    <col min="3" max="3" width="4.5" style="430" customWidth="1"/>
    <col min="4" max="4" width="10.125" style="430" customWidth="1"/>
    <col min="5" max="6" width="6.75" style="430" customWidth="1"/>
    <col min="7" max="8" width="9" style="430"/>
    <col min="9" max="9" width="7.5" style="430" customWidth="1"/>
    <col min="10" max="10" width="9" style="430"/>
    <col min="11" max="11" width="9.375" style="430" customWidth="1"/>
    <col min="12" max="12" width="8.75" style="430" customWidth="1"/>
    <col min="13" max="13" width="9" style="430"/>
    <col min="14" max="14" width="10.5" style="430" customWidth="1"/>
    <col min="15" max="16384" width="9" style="430"/>
  </cols>
  <sheetData>
    <row r="1" ht="23.1" customHeight="1" spans="1:12">
      <c r="A1" s="431" t="s">
        <v>1088</v>
      </c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</row>
    <row r="2" ht="21" customHeight="1" spans="1:10">
      <c r="A2" s="432" t="s">
        <v>1089</v>
      </c>
      <c r="B2" s="432"/>
      <c r="C2" s="432"/>
      <c r="D2" s="432"/>
      <c r="E2" s="432"/>
      <c r="F2" s="432"/>
      <c r="G2" s="432"/>
      <c r="H2" s="433"/>
      <c r="I2" s="433"/>
      <c r="J2" s="433"/>
    </row>
    <row r="3" ht="21" customHeight="1" spans="1:12">
      <c r="A3" s="434" t="s">
        <v>1090</v>
      </c>
      <c r="B3" s="434" t="s">
        <v>1091</v>
      </c>
      <c r="C3" s="434" t="s">
        <v>52</v>
      </c>
      <c r="D3" s="434" t="s">
        <v>1092</v>
      </c>
      <c r="E3" s="434" t="s">
        <v>1093</v>
      </c>
      <c r="F3" s="434" t="s">
        <v>1094</v>
      </c>
      <c r="G3" s="434" t="s">
        <v>1095</v>
      </c>
      <c r="H3" s="434" t="s">
        <v>1096</v>
      </c>
      <c r="I3" s="434" t="s">
        <v>1097</v>
      </c>
      <c r="J3" s="434" t="s">
        <v>1098</v>
      </c>
      <c r="K3" s="434" t="s">
        <v>1099</v>
      </c>
      <c r="L3" s="434" t="s">
        <v>1100</v>
      </c>
    </row>
    <row r="4" ht="21" customHeight="1" spans="1:14">
      <c r="A4" s="434" t="s">
        <v>1101</v>
      </c>
      <c r="B4" s="434" t="s">
        <v>1102</v>
      </c>
      <c r="C4" s="434" t="s">
        <v>69</v>
      </c>
      <c r="D4" s="435">
        <v>3531.6</v>
      </c>
      <c r="E4" s="434" t="s">
        <v>1103</v>
      </c>
      <c r="F4" s="436">
        <v>30</v>
      </c>
      <c r="G4" s="434">
        <v>0.52</v>
      </c>
      <c r="H4" s="437">
        <f t="shared" ref="H4:H11" si="0">G4*F4</f>
        <v>15.6</v>
      </c>
      <c r="I4" s="446">
        <v>5.5</v>
      </c>
      <c r="J4" s="437">
        <f>(I4+H4+D4)*0.02*1.1</f>
        <v>78.1594</v>
      </c>
      <c r="K4" s="437">
        <f>J4+I4+H4+D4</f>
        <v>3630.8594</v>
      </c>
      <c r="L4" s="434">
        <v>2560</v>
      </c>
      <c r="N4" s="447"/>
    </row>
    <row r="5" ht="21" customHeight="1" spans="1:14">
      <c r="A5" s="434" t="s">
        <v>1104</v>
      </c>
      <c r="B5" s="434" t="s">
        <v>1105</v>
      </c>
      <c r="C5" s="434" t="s">
        <v>69</v>
      </c>
      <c r="D5" s="438">
        <v>362.83</v>
      </c>
      <c r="E5" s="434" t="s">
        <v>1103</v>
      </c>
      <c r="F5" s="436">
        <v>58</v>
      </c>
      <c r="G5" s="434">
        <v>0.52</v>
      </c>
      <c r="H5" s="437">
        <f t="shared" si="0"/>
        <v>30.16</v>
      </c>
      <c r="I5" s="446">
        <f>I4</f>
        <v>5.5</v>
      </c>
      <c r="J5" s="437">
        <f t="shared" ref="J5:J9" si="1">(I5+H5+D5)*0.03*1.1</f>
        <v>13.15017</v>
      </c>
      <c r="K5" s="437">
        <f t="shared" ref="K5:K11" si="2">J5+I5+H5+D5</f>
        <v>411.64017</v>
      </c>
      <c r="L5" s="434">
        <v>255</v>
      </c>
      <c r="N5" s="447"/>
    </row>
    <row r="6" ht="21" customHeight="1" spans="1:14">
      <c r="A6" s="434" t="s">
        <v>1106</v>
      </c>
      <c r="B6" s="434" t="s">
        <v>1107</v>
      </c>
      <c r="C6" s="434" t="s">
        <v>69</v>
      </c>
      <c r="D6" s="438">
        <v>508.85</v>
      </c>
      <c r="E6" s="434" t="s">
        <v>1103</v>
      </c>
      <c r="F6" s="436">
        <v>75</v>
      </c>
      <c r="G6" s="434">
        <v>0.52</v>
      </c>
      <c r="H6" s="437">
        <f t="shared" si="0"/>
        <v>39</v>
      </c>
      <c r="I6" s="446">
        <f>I5</f>
        <v>5.5</v>
      </c>
      <c r="J6" s="437">
        <f t="shared" si="1"/>
        <v>18.26055</v>
      </c>
      <c r="K6" s="437">
        <f t="shared" si="2"/>
        <v>571.61055</v>
      </c>
      <c r="L6" s="434">
        <v>255</v>
      </c>
      <c r="N6" s="447"/>
    </row>
    <row r="7" ht="21" customHeight="1" spans="1:16">
      <c r="A7" s="434" t="s">
        <v>1108</v>
      </c>
      <c r="B7" s="434" t="s">
        <v>1109</v>
      </c>
      <c r="C7" s="434" t="s">
        <v>76</v>
      </c>
      <c r="D7" s="439">
        <v>63.11</v>
      </c>
      <c r="E7" s="434" t="s">
        <v>1103</v>
      </c>
      <c r="F7" s="436">
        <v>60</v>
      </c>
      <c r="G7" s="437">
        <f>0.48*1.56</f>
        <v>0.7488</v>
      </c>
      <c r="H7" s="437">
        <f t="shared" si="0"/>
        <v>44.928</v>
      </c>
      <c r="I7" s="446">
        <f>2*1.56</f>
        <v>3.12</v>
      </c>
      <c r="J7" s="437">
        <f t="shared" si="1"/>
        <v>3.668214</v>
      </c>
      <c r="K7" s="437">
        <f t="shared" si="2"/>
        <v>114.826214</v>
      </c>
      <c r="L7" s="434">
        <v>70</v>
      </c>
      <c r="N7" s="447"/>
      <c r="P7" s="448"/>
    </row>
    <row r="8" ht="21" customHeight="1" spans="1:14">
      <c r="A8" s="434" t="s">
        <v>1110</v>
      </c>
      <c r="B8" s="434" t="str">
        <f>B7</f>
        <v>西夏区镇北堡</v>
      </c>
      <c r="C8" s="434" t="s">
        <v>76</v>
      </c>
      <c r="D8" s="440">
        <v>36.89</v>
      </c>
      <c r="E8" s="434" t="s">
        <v>1103</v>
      </c>
      <c r="F8" s="436">
        <v>60</v>
      </c>
      <c r="G8" s="437">
        <f>0.48*1.65</f>
        <v>0.792</v>
      </c>
      <c r="H8" s="437">
        <f t="shared" si="0"/>
        <v>47.52</v>
      </c>
      <c r="I8" s="446">
        <f>2*1.65</f>
        <v>3.3</v>
      </c>
      <c r="J8" s="437">
        <f t="shared" si="1"/>
        <v>2.89443</v>
      </c>
      <c r="K8" s="437">
        <f t="shared" si="2"/>
        <v>90.60443</v>
      </c>
      <c r="L8" s="434">
        <f t="shared" ref="L8:L9" si="3">L7</f>
        <v>70</v>
      </c>
      <c r="N8" s="447"/>
    </row>
    <row r="9" ht="21" customHeight="1" spans="1:14">
      <c r="A9" s="434" t="s">
        <v>1111</v>
      </c>
      <c r="B9" s="231" t="s">
        <v>1112</v>
      </c>
      <c r="C9" s="434" t="s">
        <v>76</v>
      </c>
      <c r="D9" s="440">
        <v>78.64</v>
      </c>
      <c r="E9" s="434" t="s">
        <v>1103</v>
      </c>
      <c r="F9" s="436">
        <v>65</v>
      </c>
      <c r="G9" s="437">
        <f>0.48*1.8</f>
        <v>0.864</v>
      </c>
      <c r="H9" s="437">
        <f t="shared" si="0"/>
        <v>56.16</v>
      </c>
      <c r="I9" s="446">
        <f>2*1.8</f>
        <v>3.6</v>
      </c>
      <c r="J9" s="437">
        <f t="shared" si="1"/>
        <v>4.5672</v>
      </c>
      <c r="K9" s="437">
        <f t="shared" si="2"/>
        <v>142.9672</v>
      </c>
      <c r="L9" s="434">
        <f t="shared" si="3"/>
        <v>70</v>
      </c>
      <c r="N9" s="447"/>
    </row>
    <row r="10" ht="21" customHeight="1" spans="1:14">
      <c r="A10" s="434" t="s">
        <v>1113</v>
      </c>
      <c r="B10" s="434" t="str">
        <f>B4</f>
        <v>平罗县</v>
      </c>
      <c r="C10" s="434" t="s">
        <v>76</v>
      </c>
      <c r="D10" s="206">
        <v>2150.25</v>
      </c>
      <c r="E10" s="434" t="s">
        <v>1103</v>
      </c>
      <c r="F10" s="436">
        <v>33</v>
      </c>
      <c r="G10" s="434">
        <f t="shared" ref="F10:I10" si="4">G4</f>
        <v>0.52</v>
      </c>
      <c r="H10" s="437">
        <f t="shared" si="0"/>
        <v>17.16</v>
      </c>
      <c r="I10" s="446">
        <f t="shared" si="4"/>
        <v>5.5</v>
      </c>
      <c r="J10" s="437">
        <f>(I10+H10+D10)*0.025*1.1</f>
        <v>59.755025</v>
      </c>
      <c r="K10" s="437">
        <f t="shared" si="2"/>
        <v>2232.665025</v>
      </c>
      <c r="L10" s="434"/>
      <c r="N10" s="447"/>
    </row>
    <row r="11" ht="21" customHeight="1" spans="1:14">
      <c r="A11" s="441" t="s">
        <v>1114</v>
      </c>
      <c r="B11" s="434" t="s">
        <v>1115</v>
      </c>
      <c r="C11" s="434" t="s">
        <v>76</v>
      </c>
      <c r="D11" s="442">
        <v>50</v>
      </c>
      <c r="E11" s="434" t="s">
        <v>1103</v>
      </c>
      <c r="F11" s="436">
        <v>76</v>
      </c>
      <c r="G11" s="434">
        <f>0.48*1.65</f>
        <v>0.792</v>
      </c>
      <c r="H11" s="437">
        <f t="shared" si="0"/>
        <v>60.192</v>
      </c>
      <c r="I11" s="446">
        <f t="shared" ref="I11:I16" si="5">2*1.65</f>
        <v>3.3</v>
      </c>
      <c r="J11" s="437">
        <f t="shared" ref="J11:J16" si="6">(I11+H11+D11)*0.03*1.1</f>
        <v>3.745236</v>
      </c>
      <c r="K11" s="437">
        <f t="shared" si="2"/>
        <v>117.237236</v>
      </c>
      <c r="L11" s="434">
        <v>70</v>
      </c>
      <c r="N11" s="447"/>
    </row>
    <row r="12" ht="21" customHeight="1" spans="1:12">
      <c r="A12" s="434" t="s">
        <v>1116</v>
      </c>
      <c r="B12" s="434" t="s">
        <v>1117</v>
      </c>
      <c r="C12" s="434" t="s">
        <v>69</v>
      </c>
      <c r="D12" s="442"/>
      <c r="E12" s="434" t="s">
        <v>1103</v>
      </c>
      <c r="F12" s="434"/>
      <c r="G12" s="434"/>
      <c r="H12" s="437"/>
      <c r="I12" s="434"/>
      <c r="J12" s="437"/>
      <c r="K12" s="437">
        <v>7.85</v>
      </c>
      <c r="L12" s="434">
        <v>2.99</v>
      </c>
    </row>
    <row r="13" ht="21" customHeight="1" spans="1:13">
      <c r="A13" s="434" t="s">
        <v>1118</v>
      </c>
      <c r="B13" s="434" t="s">
        <v>1117</v>
      </c>
      <c r="C13" s="434" t="s">
        <v>69</v>
      </c>
      <c r="D13" s="442"/>
      <c r="E13" s="434" t="s">
        <v>1103</v>
      </c>
      <c r="F13" s="434"/>
      <c r="G13" s="434"/>
      <c r="H13" s="437"/>
      <c r="I13" s="434"/>
      <c r="J13" s="437"/>
      <c r="K13" s="437">
        <v>9.3</v>
      </c>
      <c r="L13" s="434">
        <v>3.075</v>
      </c>
      <c r="M13" s="449"/>
    </row>
    <row r="14" ht="21" customHeight="1" spans="1:12">
      <c r="A14" s="434" t="s">
        <v>1022</v>
      </c>
      <c r="B14" s="434" t="s">
        <v>1119</v>
      </c>
      <c r="C14" s="434" t="s">
        <v>76</v>
      </c>
      <c r="D14" s="443"/>
      <c r="E14" s="434" t="s">
        <v>1103</v>
      </c>
      <c r="F14" s="434"/>
      <c r="G14" s="434"/>
      <c r="H14" s="437"/>
      <c r="I14" s="434"/>
      <c r="J14" s="437"/>
      <c r="K14" s="437">
        <v>4.37</v>
      </c>
      <c r="L14" s="434"/>
    </row>
    <row r="15" ht="21" customHeight="1" spans="1:12">
      <c r="A15" s="434" t="s">
        <v>1120</v>
      </c>
      <c r="B15" s="434" t="s">
        <v>1117</v>
      </c>
      <c r="C15" s="434" t="s">
        <v>76</v>
      </c>
      <c r="D15" s="444">
        <v>30</v>
      </c>
      <c r="E15" s="434" t="s">
        <v>1103</v>
      </c>
      <c r="F15" s="436">
        <v>20</v>
      </c>
      <c r="G15" s="437">
        <f>0.54*1.65</f>
        <v>0.891</v>
      </c>
      <c r="H15" s="437">
        <f>G15*F15</f>
        <v>17.82</v>
      </c>
      <c r="I15" s="446">
        <f t="shared" si="5"/>
        <v>3.3</v>
      </c>
      <c r="J15" s="437">
        <f t="shared" si="6"/>
        <v>1.68696</v>
      </c>
      <c r="K15" s="437">
        <f>J15+I15+H15+D15</f>
        <v>52.80696</v>
      </c>
      <c r="L15" s="446">
        <f>K15</f>
        <v>52.80696</v>
      </c>
    </row>
    <row r="16" ht="21" customHeight="1" spans="1:12">
      <c r="A16" s="434" t="s">
        <v>1121</v>
      </c>
      <c r="B16" s="434" t="s">
        <v>1117</v>
      </c>
      <c r="C16" s="434" t="s">
        <v>76</v>
      </c>
      <c r="D16" s="444">
        <v>32</v>
      </c>
      <c r="E16" s="434" t="s">
        <v>1103</v>
      </c>
      <c r="F16" s="436">
        <v>45</v>
      </c>
      <c r="G16" s="437">
        <f>0.48*1.65</f>
        <v>0.792</v>
      </c>
      <c r="H16" s="437">
        <f>G16*F16</f>
        <v>35.64</v>
      </c>
      <c r="I16" s="446">
        <f t="shared" si="5"/>
        <v>3.3</v>
      </c>
      <c r="J16" s="437">
        <f t="shared" si="6"/>
        <v>2.34102</v>
      </c>
      <c r="K16" s="437">
        <f>J16+I16+H16+D16</f>
        <v>73.28102</v>
      </c>
      <c r="L16" s="446">
        <f>K16</f>
        <v>73.28102</v>
      </c>
    </row>
    <row r="17" ht="21" customHeight="1" spans="1:12">
      <c r="A17" s="434" t="s">
        <v>1122</v>
      </c>
      <c r="B17" s="434"/>
      <c r="C17" s="445"/>
      <c r="D17" s="437"/>
      <c r="E17" s="445"/>
      <c r="F17" s="445"/>
      <c r="G17" s="445"/>
      <c r="H17" s="445"/>
      <c r="I17" s="445"/>
      <c r="J17" s="445"/>
      <c r="K17" s="434">
        <v>0.11</v>
      </c>
      <c r="L17" s="445"/>
    </row>
    <row r="18" ht="21" customHeight="1" spans="1:12">
      <c r="A18" s="434" t="s">
        <v>1123</v>
      </c>
      <c r="B18" s="434"/>
      <c r="C18" s="445"/>
      <c r="D18" s="445"/>
      <c r="E18" s="445"/>
      <c r="F18" s="445"/>
      <c r="G18" s="445"/>
      <c r="H18" s="445"/>
      <c r="I18" s="445"/>
      <c r="J18" s="445"/>
      <c r="K18" s="434">
        <v>0.51</v>
      </c>
      <c r="L18" s="445"/>
    </row>
    <row r="19" ht="21" customHeight="1" spans="1:12">
      <c r="A19" s="434" t="s">
        <v>968</v>
      </c>
      <c r="B19" s="434"/>
      <c r="C19" s="445"/>
      <c r="D19" s="445"/>
      <c r="E19" s="445"/>
      <c r="F19" s="445"/>
      <c r="G19" s="445"/>
      <c r="H19" s="445"/>
      <c r="I19" s="445"/>
      <c r="J19" s="445"/>
      <c r="K19" s="446">
        <v>5.77</v>
      </c>
      <c r="L19" s="445"/>
    </row>
    <row r="20" ht="21" customHeight="1" spans="1:12">
      <c r="A20" s="434" t="s">
        <v>966</v>
      </c>
      <c r="B20" s="434"/>
      <c r="C20" s="445"/>
      <c r="D20" s="445"/>
      <c r="E20" s="445"/>
      <c r="F20" s="445"/>
      <c r="G20" s="445"/>
      <c r="H20" s="445"/>
      <c r="I20" s="445"/>
      <c r="J20" s="445"/>
      <c r="K20" s="446">
        <v>8.1</v>
      </c>
      <c r="L20" s="450"/>
    </row>
  </sheetData>
  <mergeCells count="2">
    <mergeCell ref="A1:L1"/>
    <mergeCell ref="A2:G2"/>
  </mergeCells>
  <pageMargins left="0.75" right="0.75" top="1" bottom="1" header="0.5" footer="0.5"/>
  <pageSetup paperSize="9" orientation="landscape"/>
  <headerFooter alignWithMargins="0" scaleWithDoc="0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5" tint="0.799920651875362"/>
  </sheetPr>
  <dimension ref="A1:E42"/>
  <sheetViews>
    <sheetView workbookViewId="0">
      <selection activeCell="D122" sqref="D122"/>
    </sheetView>
  </sheetViews>
  <sheetFormatPr defaultColWidth="9" defaultRowHeight="20.1" customHeight="1" outlineLevelCol="4"/>
  <cols>
    <col min="1" max="1" width="8" style="110" customWidth="1"/>
    <col min="2" max="2" width="36.75" style="110" customWidth="1"/>
    <col min="3" max="3" width="10.25" style="110" customWidth="1"/>
    <col min="4" max="4" width="16.75" style="110" customWidth="1"/>
    <col min="5" max="5" width="39.375" style="426" customWidth="1"/>
  </cols>
  <sheetData>
    <row r="1" ht="33" customHeight="1" spans="1:5">
      <c r="A1" s="167" t="s">
        <v>1124</v>
      </c>
      <c r="B1" s="427"/>
      <c r="C1" s="427"/>
      <c r="D1" s="427"/>
      <c r="E1" s="428"/>
    </row>
    <row r="2" customHeight="1" spans="1:5">
      <c r="A2" s="55" t="s">
        <v>354</v>
      </c>
      <c r="B2" s="55" t="s">
        <v>956</v>
      </c>
      <c r="C2" s="55" t="s">
        <v>52</v>
      </c>
      <c r="D2" s="55" t="s">
        <v>855</v>
      </c>
      <c r="E2" s="429" t="s">
        <v>56</v>
      </c>
    </row>
    <row r="3" customHeight="1" spans="1:5">
      <c r="A3" s="57">
        <v>1</v>
      </c>
      <c r="B3" s="57" t="s">
        <v>972</v>
      </c>
      <c r="C3" s="57" t="s">
        <v>182</v>
      </c>
      <c r="D3" s="60">
        <v>0.78</v>
      </c>
      <c r="E3" s="245"/>
    </row>
    <row r="4" customHeight="1" spans="1:5">
      <c r="A4" s="57">
        <v>2</v>
      </c>
      <c r="B4" s="57" t="s">
        <v>989</v>
      </c>
      <c r="C4" s="57" t="s">
        <v>182</v>
      </c>
      <c r="D4" s="60">
        <f>D3</f>
        <v>0.78</v>
      </c>
      <c r="E4" s="245"/>
    </row>
    <row r="5" customHeight="1" spans="1:5">
      <c r="A5" s="57">
        <v>3</v>
      </c>
      <c r="B5" s="57" t="s">
        <v>992</v>
      </c>
      <c r="C5" s="57" t="s">
        <v>182</v>
      </c>
      <c r="D5" s="67">
        <f>0.95</f>
        <v>0.95</v>
      </c>
      <c r="E5" s="245"/>
    </row>
    <row r="6" customHeight="1" spans="1:5">
      <c r="A6" s="57">
        <v>4</v>
      </c>
      <c r="B6" s="57" t="s">
        <v>996</v>
      </c>
      <c r="C6" s="57" t="s">
        <v>182</v>
      </c>
      <c r="D6" s="60">
        <f>D4</f>
        <v>0.78</v>
      </c>
      <c r="E6" s="245"/>
    </row>
    <row r="7" customHeight="1" spans="1:5">
      <c r="A7" s="57">
        <v>5</v>
      </c>
      <c r="B7" s="57" t="s">
        <v>998</v>
      </c>
      <c r="C7" s="57" t="s">
        <v>182</v>
      </c>
      <c r="D7" s="60">
        <f>D6</f>
        <v>0.78</v>
      </c>
      <c r="E7" s="245"/>
    </row>
    <row r="8" customHeight="1" spans="1:5">
      <c r="A8" s="57">
        <v>6</v>
      </c>
      <c r="B8" s="57" t="s">
        <v>1125</v>
      </c>
      <c r="C8" s="57" t="s">
        <v>175</v>
      </c>
      <c r="D8" s="67">
        <v>7.85</v>
      </c>
      <c r="E8" s="245" t="s">
        <v>1126</v>
      </c>
    </row>
    <row r="9" customHeight="1" spans="1:5">
      <c r="A9" s="57">
        <v>7</v>
      </c>
      <c r="B9" s="57" t="e">
        <f>#REF!</f>
        <v>#REF!</v>
      </c>
      <c r="C9" s="57" t="s">
        <v>182</v>
      </c>
      <c r="D9" s="60">
        <f>D4</f>
        <v>0.78</v>
      </c>
      <c r="E9" s="245"/>
    </row>
    <row r="10" customHeight="1" spans="1:5">
      <c r="A10" s="57">
        <v>8</v>
      </c>
      <c r="B10" s="57" t="s">
        <v>1010</v>
      </c>
      <c r="C10" s="57" t="s">
        <v>182</v>
      </c>
      <c r="D10" s="60">
        <f>D9</f>
        <v>0.78</v>
      </c>
      <c r="E10" s="245"/>
    </row>
    <row r="11" customHeight="1" spans="1:5">
      <c r="A11" s="57">
        <v>9</v>
      </c>
      <c r="B11" s="57" t="s">
        <v>1012</v>
      </c>
      <c r="C11" s="57" t="s">
        <v>182</v>
      </c>
      <c r="D11" s="60">
        <f>D10</f>
        <v>0.78</v>
      </c>
      <c r="E11" s="245"/>
    </row>
    <row r="12" customHeight="1" spans="1:5">
      <c r="A12" s="57">
        <v>10</v>
      </c>
      <c r="B12" s="57" t="s">
        <v>1127</v>
      </c>
      <c r="C12" s="57" t="s">
        <v>175</v>
      </c>
      <c r="D12" s="67">
        <v>2.75</v>
      </c>
      <c r="E12" s="245"/>
    </row>
    <row r="13" customHeight="1" spans="1:5">
      <c r="A13" s="57"/>
      <c r="B13" s="57"/>
      <c r="C13" s="57"/>
      <c r="D13" s="67"/>
      <c r="E13" s="245"/>
    </row>
    <row r="14" customHeight="1" spans="1:5">
      <c r="A14" s="57"/>
      <c r="B14" s="57"/>
      <c r="C14" s="57"/>
      <c r="D14" s="67"/>
      <c r="E14" s="245"/>
    </row>
    <row r="15" customHeight="1" spans="1:5">
      <c r="A15" s="57"/>
      <c r="B15" s="57"/>
      <c r="C15" s="57"/>
      <c r="D15" s="67"/>
      <c r="E15" s="245"/>
    </row>
    <row r="16" customHeight="1" spans="1:5">
      <c r="A16" s="57"/>
      <c r="B16" s="57"/>
      <c r="C16" s="57"/>
      <c r="D16" s="67"/>
      <c r="E16" s="245"/>
    </row>
    <row r="17" customHeight="1" spans="1:5">
      <c r="A17" s="57"/>
      <c r="B17" s="57"/>
      <c r="C17" s="57"/>
      <c r="D17" s="67"/>
      <c r="E17" s="245"/>
    </row>
    <row r="18" customHeight="1" spans="1:5">
      <c r="A18" s="57"/>
      <c r="B18" s="57"/>
      <c r="C18" s="57"/>
      <c r="D18" s="67"/>
      <c r="E18" s="245"/>
    </row>
    <row r="19" customHeight="1" spans="1:5">
      <c r="A19" s="57"/>
      <c r="B19" s="57"/>
      <c r="C19" s="57"/>
      <c r="D19" s="67"/>
      <c r="E19" s="245"/>
    </row>
    <row r="20" customHeight="1" spans="1:5">
      <c r="A20" s="57"/>
      <c r="B20" s="57"/>
      <c r="C20" s="57"/>
      <c r="D20" s="67"/>
      <c r="E20" s="245"/>
    </row>
    <row r="21" ht="30" hidden="1" customHeight="1" spans="1:5">
      <c r="A21" s="167" t="s">
        <v>1128</v>
      </c>
      <c r="B21" s="427"/>
      <c r="C21" s="427"/>
      <c r="D21" s="427"/>
      <c r="E21" s="428"/>
    </row>
    <row r="22" ht="30" hidden="1" customHeight="1" spans="1:5">
      <c r="A22" s="55" t="s">
        <v>354</v>
      </c>
      <c r="B22" s="55" t="s">
        <v>956</v>
      </c>
      <c r="C22" s="55" t="s">
        <v>52</v>
      </c>
      <c r="D22" s="55" t="s">
        <v>855</v>
      </c>
      <c r="E22" s="429" t="s">
        <v>56</v>
      </c>
    </row>
    <row r="23" ht="18.95" hidden="1" customHeight="1" spans="1:5">
      <c r="A23" s="57">
        <v>1</v>
      </c>
      <c r="B23" s="57" t="s">
        <v>1021</v>
      </c>
      <c r="C23" s="57" t="s">
        <v>175</v>
      </c>
      <c r="D23" s="57">
        <v>302.75</v>
      </c>
      <c r="E23" s="245" t="s">
        <v>237</v>
      </c>
    </row>
    <row r="24" ht="18.95" hidden="1" customHeight="1" spans="1:5">
      <c r="A24" s="57">
        <v>2</v>
      </c>
      <c r="B24" s="57" t="s">
        <v>1025</v>
      </c>
      <c r="C24" s="57" t="s">
        <v>175</v>
      </c>
      <c r="D24" s="57">
        <v>348.62</v>
      </c>
      <c r="E24" s="245" t="s">
        <v>222</v>
      </c>
    </row>
    <row r="25" ht="18.95" hidden="1" customHeight="1" spans="1:5">
      <c r="A25" s="57">
        <v>3</v>
      </c>
      <c r="B25" s="57" t="s">
        <v>1129</v>
      </c>
      <c r="C25" s="57" t="s">
        <v>175</v>
      </c>
      <c r="D25" s="57">
        <v>366.97</v>
      </c>
      <c r="E25" s="245" t="s">
        <v>222</v>
      </c>
    </row>
    <row r="26" ht="18.95" hidden="1" customHeight="1" spans="1:5">
      <c r="A26" s="57">
        <v>4</v>
      </c>
      <c r="B26" s="57" t="s">
        <v>1032</v>
      </c>
      <c r="C26" s="57" t="s">
        <v>175</v>
      </c>
      <c r="D26" s="57">
        <v>256.88</v>
      </c>
      <c r="E26" s="245" t="s">
        <v>1130</v>
      </c>
    </row>
    <row r="27" ht="18.95" hidden="1" customHeight="1" spans="1:5">
      <c r="A27" s="57">
        <v>5</v>
      </c>
      <c r="B27" s="57" t="s">
        <v>1035</v>
      </c>
      <c r="C27" s="57" t="s">
        <v>175</v>
      </c>
      <c r="D27" s="57">
        <v>94.08</v>
      </c>
      <c r="E27" s="245" t="s">
        <v>228</v>
      </c>
    </row>
    <row r="28" ht="18.95" hidden="1" customHeight="1" spans="1:5">
      <c r="A28" s="57">
        <v>6</v>
      </c>
      <c r="B28" s="57" t="s">
        <v>1037</v>
      </c>
      <c r="C28" s="57" t="s">
        <v>175</v>
      </c>
      <c r="D28" s="57">
        <v>458.72</v>
      </c>
      <c r="E28" s="245" t="s">
        <v>228</v>
      </c>
    </row>
    <row r="29" ht="18.95" hidden="1" customHeight="1" spans="1:5">
      <c r="A29" s="57">
        <v>7</v>
      </c>
      <c r="B29" s="57" t="s">
        <v>1039</v>
      </c>
      <c r="C29" s="57" t="s">
        <v>175</v>
      </c>
      <c r="D29" s="57">
        <v>825.69</v>
      </c>
      <c r="E29" s="245" t="s">
        <v>1131</v>
      </c>
    </row>
    <row r="30" ht="18.95" hidden="1" customHeight="1" spans="1:5">
      <c r="A30" s="57">
        <v>8</v>
      </c>
      <c r="B30" s="57" t="s">
        <v>232</v>
      </c>
      <c r="C30" s="57" t="s">
        <v>175</v>
      </c>
      <c r="D30" s="57">
        <v>18.35</v>
      </c>
      <c r="E30" s="245" t="s">
        <v>233</v>
      </c>
    </row>
    <row r="31" ht="18.95" hidden="1" customHeight="1" spans="1:5">
      <c r="A31" s="57">
        <v>9</v>
      </c>
      <c r="B31" s="57" t="s">
        <v>1043</v>
      </c>
      <c r="C31" s="57" t="s">
        <v>175</v>
      </c>
      <c r="D31" s="92">
        <v>129.8</v>
      </c>
      <c r="E31" s="245" t="s">
        <v>235</v>
      </c>
    </row>
    <row r="32" ht="18.95" hidden="1" customHeight="1" spans="1:5">
      <c r="A32" s="57">
        <v>10</v>
      </c>
      <c r="B32" s="57" t="s">
        <v>1046</v>
      </c>
      <c r="C32" s="57" t="s">
        <v>175</v>
      </c>
      <c r="D32" s="57">
        <v>229.36</v>
      </c>
      <c r="E32" s="245" t="s">
        <v>237</v>
      </c>
    </row>
    <row r="33" ht="18.95" hidden="1" customHeight="1" spans="1:5">
      <c r="A33" s="57">
        <v>11</v>
      </c>
      <c r="B33" s="57" t="s">
        <v>238</v>
      </c>
      <c r="C33" s="57" t="s">
        <v>175</v>
      </c>
      <c r="D33" s="57">
        <v>32.11</v>
      </c>
      <c r="E33" s="245" t="s">
        <v>239</v>
      </c>
    </row>
    <row r="34" ht="18.95" hidden="1" customHeight="1" spans="1:5">
      <c r="A34" s="57">
        <v>12</v>
      </c>
      <c r="B34" s="57" t="s">
        <v>240</v>
      </c>
      <c r="C34" s="57" t="s">
        <v>175</v>
      </c>
      <c r="D34" s="57">
        <v>25.69</v>
      </c>
      <c r="E34" s="245" t="s">
        <v>239</v>
      </c>
    </row>
    <row r="35" ht="18.95" hidden="1" customHeight="1" spans="1:5">
      <c r="A35" s="57">
        <v>13</v>
      </c>
      <c r="B35" s="57" t="s">
        <v>992</v>
      </c>
      <c r="C35" s="57" t="s">
        <v>175</v>
      </c>
      <c r="D35" s="57">
        <v>0.73</v>
      </c>
      <c r="E35" s="245" t="s">
        <v>1132</v>
      </c>
    </row>
    <row r="36" ht="18.95" hidden="1" customHeight="1" spans="1:5">
      <c r="A36" s="57">
        <v>14</v>
      </c>
      <c r="B36" s="57" t="s">
        <v>1059</v>
      </c>
      <c r="C36" s="57" t="s">
        <v>175</v>
      </c>
      <c r="D36" s="57">
        <v>1.38</v>
      </c>
      <c r="E36" s="245" t="s">
        <v>1133</v>
      </c>
    </row>
    <row r="37" ht="18.95" hidden="1" customHeight="1" spans="1:5">
      <c r="A37" s="57">
        <v>15</v>
      </c>
      <c r="B37" s="57" t="s">
        <v>1061</v>
      </c>
      <c r="C37" s="57" t="s">
        <v>175</v>
      </c>
      <c r="D37" s="57">
        <v>0.64</v>
      </c>
      <c r="E37" s="245" t="s">
        <v>1132</v>
      </c>
    </row>
    <row r="38" ht="18.95" hidden="1" customHeight="1" spans="1:5">
      <c r="A38" s="57">
        <v>16</v>
      </c>
      <c r="B38" s="57" t="s">
        <v>1064</v>
      </c>
      <c r="C38" s="57" t="s">
        <v>175</v>
      </c>
      <c r="D38" s="57">
        <v>0.55</v>
      </c>
      <c r="E38" s="245" t="s">
        <v>1134</v>
      </c>
    </row>
    <row r="39" ht="18.95" hidden="1" customHeight="1" spans="1:5">
      <c r="A39" s="57">
        <v>17</v>
      </c>
      <c r="B39" s="57" t="s">
        <v>247</v>
      </c>
      <c r="C39" s="57" t="s">
        <v>175</v>
      </c>
      <c r="D39" s="57">
        <v>1.5</v>
      </c>
      <c r="E39" s="245" t="s">
        <v>1134</v>
      </c>
    </row>
    <row r="40" ht="18.95" hidden="1" customHeight="1" spans="1:5">
      <c r="A40" s="57">
        <v>18</v>
      </c>
      <c r="B40" s="57" t="s">
        <v>1135</v>
      </c>
      <c r="C40" s="57" t="s">
        <v>175</v>
      </c>
      <c r="D40" s="57">
        <v>0.88</v>
      </c>
      <c r="E40" s="245" t="s">
        <v>1132</v>
      </c>
    </row>
    <row r="41" ht="18.95" hidden="1" customHeight="1" spans="1:5">
      <c r="A41" s="57">
        <v>19</v>
      </c>
      <c r="B41" s="57" t="s">
        <v>249</v>
      </c>
      <c r="C41" s="57" t="s">
        <v>175</v>
      </c>
      <c r="D41" s="57">
        <v>20.18</v>
      </c>
      <c r="E41" s="245" t="s">
        <v>239</v>
      </c>
    </row>
    <row r="42" ht="18.95" hidden="1" customHeight="1" spans="1:5">
      <c r="A42" s="57">
        <v>20</v>
      </c>
      <c r="B42" s="57" t="s">
        <v>250</v>
      </c>
      <c r="C42" s="57" t="s">
        <v>175</v>
      </c>
      <c r="D42" s="57">
        <v>32.11</v>
      </c>
      <c r="E42" s="245" t="s">
        <v>239</v>
      </c>
    </row>
  </sheetData>
  <mergeCells count="2">
    <mergeCell ref="A1:E1"/>
    <mergeCell ref="A21:E21"/>
  </mergeCells>
  <pageMargins left="1.33819444444444" right="0.747916666666667" top="0.984027777777778" bottom="0.984027777777778" header="0.511805555555556" footer="0.511805555555556"/>
  <pageSetup paperSize="9" orientation="landscape" horizontalDpi="300" verticalDpi="300"/>
  <headerFooter alignWithMargins="0" scaleWithDoc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XEP367"/>
  <sheetViews>
    <sheetView view="pageBreakPreview" zoomScaleNormal="100" topLeftCell="A169" workbookViewId="0">
      <selection activeCell="D122" sqref="D122"/>
    </sheetView>
  </sheetViews>
  <sheetFormatPr defaultColWidth="26.25" defaultRowHeight="23.25" customHeight="1"/>
  <cols>
    <col min="1" max="1" width="6.375" style="787" customWidth="1"/>
    <col min="2" max="2" width="31.375" style="788" customWidth="1"/>
    <col min="3" max="3" width="7" style="787" customWidth="1"/>
    <col min="4" max="4" width="10.875" style="787" customWidth="1"/>
    <col min="5" max="5" width="10.75" style="787" customWidth="1"/>
    <col min="6" max="6" width="12.625" style="787" customWidth="1"/>
    <col min="7" max="7" width="12.5" style="787" customWidth="1"/>
    <col min="8" max="16384" width="26.25" style="789"/>
  </cols>
  <sheetData>
    <row r="1" ht="26.1" customHeight="1" spans="1:7">
      <c r="A1" s="790" t="s">
        <v>48</v>
      </c>
      <c r="B1" s="791"/>
      <c r="C1" s="790"/>
      <c r="D1" s="790"/>
      <c r="E1" s="790"/>
      <c r="F1" s="790"/>
      <c r="G1" s="790"/>
    </row>
    <row r="2" ht="25.15" customHeight="1" spans="1:1">
      <c r="A2" s="788" t="s">
        <v>49</v>
      </c>
    </row>
    <row r="3" ht="22.15" customHeight="1" spans="1:7">
      <c r="A3" s="441" t="s">
        <v>50</v>
      </c>
      <c r="B3" s="792" t="s">
        <v>51</v>
      </c>
      <c r="C3" s="441" t="s">
        <v>52</v>
      </c>
      <c r="D3" s="441" t="s">
        <v>53</v>
      </c>
      <c r="E3" s="441" t="s">
        <v>54</v>
      </c>
      <c r="F3" s="441" t="s">
        <v>55</v>
      </c>
      <c r="G3" s="441" t="s">
        <v>56</v>
      </c>
    </row>
    <row r="4" s="780" customFormat="1" ht="21.95" customHeight="1" spans="1:7">
      <c r="A4" s="793" t="s">
        <v>57</v>
      </c>
      <c r="B4" s="794" t="s">
        <v>58</v>
      </c>
      <c r="C4" s="793"/>
      <c r="D4" s="795"/>
      <c r="E4" s="796"/>
      <c r="F4" s="797" t="e">
        <f>F5+F13</f>
        <v>#REF!</v>
      </c>
      <c r="G4" s="795"/>
    </row>
    <row r="5" s="780" customFormat="1" ht="21.95" customHeight="1" spans="1:7">
      <c r="A5" s="793" t="s">
        <v>59</v>
      </c>
      <c r="B5" s="794" t="s">
        <v>60</v>
      </c>
      <c r="C5" s="793"/>
      <c r="D5" s="795"/>
      <c r="E5" s="796"/>
      <c r="F5" s="797" t="e">
        <f>SUM(F6:F12)</f>
        <v>#REF!</v>
      </c>
      <c r="G5" s="795"/>
    </row>
    <row r="6" s="781" customFormat="1" ht="21.95" customHeight="1" spans="1:7">
      <c r="A6" s="181"/>
      <c r="B6" s="274" t="s">
        <v>61</v>
      </c>
      <c r="C6" s="181" t="s">
        <v>62</v>
      </c>
      <c r="D6" s="181">
        <f>D7*1.15</f>
        <v>226.32</v>
      </c>
      <c r="E6" s="798" t="e">
        <f>E22</f>
        <v>#REF!</v>
      </c>
      <c r="F6" s="799" t="e">
        <f t="shared" ref="F6:F12" si="0">D6*E6</f>
        <v>#REF!</v>
      </c>
      <c r="G6" s="800"/>
    </row>
    <row r="7" s="781" customFormat="1" ht="21.95" customHeight="1" spans="1:7">
      <c r="A7" s="181"/>
      <c r="B7" s="274" t="s">
        <v>63</v>
      </c>
      <c r="C7" s="181" t="s">
        <v>62</v>
      </c>
      <c r="D7" s="181">
        <f>984*0.2</f>
        <v>196.8</v>
      </c>
      <c r="E7" s="798">
        <f>单价汇总表!D11/100</f>
        <v>21.7295909758467</v>
      </c>
      <c r="F7" s="799">
        <f t="shared" si="0"/>
        <v>4276.38350404664</v>
      </c>
      <c r="G7" s="800"/>
    </row>
    <row r="8" s="781" customFormat="1" ht="21.95" customHeight="1" spans="1:7">
      <c r="A8" s="181"/>
      <c r="B8" s="274" t="s">
        <v>64</v>
      </c>
      <c r="C8" s="181" t="s">
        <v>62</v>
      </c>
      <c r="D8" s="399">
        <f>984*1.3*1.07-D6</f>
        <v>1142.424</v>
      </c>
      <c r="E8" s="798">
        <f>E24</f>
        <v>26.6321919205244</v>
      </c>
      <c r="F8" s="799">
        <f t="shared" si="0"/>
        <v>30425.2552226132</v>
      </c>
      <c r="G8" s="800"/>
    </row>
    <row r="9" s="781" customFormat="1" ht="21.95" customHeight="1" spans="1:7">
      <c r="A9" s="181"/>
      <c r="B9" s="274" t="s">
        <v>65</v>
      </c>
      <c r="C9" s="181" t="s">
        <v>62</v>
      </c>
      <c r="D9" s="399">
        <f>(14.6*30*0.4+0.8*14.6*2*0.4+30*0*0.4*2)*1.15</f>
        <v>212.2256</v>
      </c>
      <c r="E9" s="798" t="e">
        <f>单价汇总表!#REF!/100</f>
        <v>#REF!</v>
      </c>
      <c r="F9" s="799" t="e">
        <f t="shared" si="0"/>
        <v>#REF!</v>
      </c>
      <c r="G9" s="800"/>
    </row>
    <row r="10" s="781" customFormat="1" ht="21.95" customHeight="1" spans="1:7">
      <c r="A10" s="181"/>
      <c r="B10" s="274" t="s">
        <v>66</v>
      </c>
      <c r="C10" s="181" t="s">
        <v>62</v>
      </c>
      <c r="D10" s="181">
        <f>14.6*30*0.1*1.15</f>
        <v>50.37</v>
      </c>
      <c r="E10" s="798">
        <f>单价汇总表!D19/100</f>
        <v>491.881744284308</v>
      </c>
      <c r="F10" s="799">
        <f t="shared" si="0"/>
        <v>24776.0834596006</v>
      </c>
      <c r="G10" s="800"/>
    </row>
    <row r="11" s="781" customFormat="1" ht="21.95" customHeight="1" spans="1:7">
      <c r="A11" s="181"/>
      <c r="B11" s="274" t="s">
        <v>67</v>
      </c>
      <c r="C11" s="181" t="s">
        <v>62</v>
      </c>
      <c r="D11" s="181">
        <f>14.6*30*1*1.15</f>
        <v>503.7</v>
      </c>
      <c r="E11" s="798">
        <f>材料预算价!K11*1.09+单价汇总表!D11/100</f>
        <v>149.518178215847</v>
      </c>
      <c r="F11" s="799">
        <f t="shared" si="0"/>
        <v>75312.306367322</v>
      </c>
      <c r="G11" s="800"/>
    </row>
    <row r="12" s="781" customFormat="1" ht="21.95" customHeight="1" spans="1:7">
      <c r="A12" s="181"/>
      <c r="B12" s="274" t="s">
        <v>68</v>
      </c>
      <c r="C12" s="181" t="s">
        <v>69</v>
      </c>
      <c r="D12" s="399">
        <f>7.8976*(14.6*30+14.6*0.8*2+30*0*2)/1000*1.15</f>
        <v>4.1901822464</v>
      </c>
      <c r="E12" s="798">
        <f>单价汇总表!D14</f>
        <v>6220.99382408393</v>
      </c>
      <c r="F12" s="799">
        <f t="shared" si="0"/>
        <v>26067.0978766405</v>
      </c>
      <c r="G12" s="800"/>
    </row>
    <row r="13" s="780" customFormat="1" ht="21.95" customHeight="1" spans="1:7">
      <c r="A13" s="793" t="s">
        <v>70</v>
      </c>
      <c r="B13" s="794" t="s">
        <v>71</v>
      </c>
      <c r="C13" s="793"/>
      <c r="D13" s="793"/>
      <c r="E13" s="796"/>
      <c r="F13" s="797" t="e">
        <f>SUM(F14:F19)</f>
        <v>#REF!</v>
      </c>
      <c r="G13" s="795"/>
    </row>
    <row r="14" s="781" customFormat="1" ht="21.95" customHeight="1" spans="1:7">
      <c r="A14" s="181"/>
      <c r="B14" s="274" t="s">
        <v>61</v>
      </c>
      <c r="C14" s="181" t="s">
        <v>62</v>
      </c>
      <c r="D14" s="181">
        <f>30.64*5*2</f>
        <v>306.4</v>
      </c>
      <c r="E14" s="798" t="e">
        <f>E6</f>
        <v>#REF!</v>
      </c>
      <c r="F14" s="799" t="e">
        <f t="shared" ref="F14:F19" si="1">D14*E14</f>
        <v>#REF!</v>
      </c>
      <c r="G14" s="800"/>
    </row>
    <row r="15" s="781" customFormat="1" ht="21.95" customHeight="1" spans="1:7">
      <c r="A15" s="181"/>
      <c r="B15" s="274" t="s">
        <v>63</v>
      </c>
      <c r="C15" s="181" t="s">
        <v>62</v>
      </c>
      <c r="D15" s="181">
        <f>D14*0.2</f>
        <v>61.28</v>
      </c>
      <c r="E15" s="798">
        <f>E7</f>
        <v>21.7295909758467</v>
      </c>
      <c r="F15" s="799">
        <f t="shared" si="1"/>
        <v>1331.58933499989</v>
      </c>
      <c r="G15" s="800"/>
    </row>
    <row r="16" s="781" customFormat="1" ht="21.95" customHeight="1" spans="1:7">
      <c r="A16" s="181"/>
      <c r="B16" s="274" t="s">
        <v>65</v>
      </c>
      <c r="C16" s="181" t="s">
        <v>62</v>
      </c>
      <c r="D16" s="181">
        <f>(14.6*30*0.4+0.8*14.6*2*0.4+30*0*0.4*2)*1.15</f>
        <v>212.2256</v>
      </c>
      <c r="E16" s="798" t="e">
        <f t="shared" ref="E16:E19" si="2">E9</f>
        <v>#REF!</v>
      </c>
      <c r="F16" s="799" t="e">
        <f t="shared" si="1"/>
        <v>#REF!</v>
      </c>
      <c r="G16" s="800"/>
    </row>
    <row r="17" s="781" customFormat="1" ht="21.95" customHeight="1" spans="1:7">
      <c r="A17" s="181"/>
      <c r="B17" s="274" t="s">
        <v>66</v>
      </c>
      <c r="C17" s="181" t="s">
        <v>62</v>
      </c>
      <c r="D17" s="181">
        <f>30.64*4*2*0.1*1.15</f>
        <v>28.1888</v>
      </c>
      <c r="E17" s="798">
        <f t="shared" si="2"/>
        <v>491.881744284308</v>
      </c>
      <c r="F17" s="799">
        <f t="shared" si="1"/>
        <v>13865.5561132815</v>
      </c>
      <c r="G17" s="800"/>
    </row>
    <row r="18" s="781" customFormat="1" ht="21.95" customHeight="1" spans="1:7">
      <c r="A18" s="181"/>
      <c r="B18" s="274" t="str">
        <f>B11</f>
        <v>卵石填充</v>
      </c>
      <c r="C18" s="181" t="s">
        <v>62</v>
      </c>
      <c r="D18" s="181">
        <f>30.64*5*0.5</f>
        <v>76.6</v>
      </c>
      <c r="E18" s="798">
        <f t="shared" si="2"/>
        <v>149.518178215847</v>
      </c>
      <c r="F18" s="799">
        <f t="shared" si="1"/>
        <v>11453.0924513339</v>
      </c>
      <c r="G18" s="800"/>
    </row>
    <row r="19" s="781" customFormat="1" ht="21.95" customHeight="1" spans="1:7">
      <c r="A19" s="181"/>
      <c r="B19" s="274" t="str">
        <f>B12</f>
        <v>钢筋制安</v>
      </c>
      <c r="C19" s="181" t="s">
        <v>69</v>
      </c>
      <c r="D19" s="399">
        <f>7.8976*(30.64*2*4)/1000*1.15</f>
        <v>2.2262386688</v>
      </c>
      <c r="E19" s="798">
        <f t="shared" si="2"/>
        <v>6220.99382408393</v>
      </c>
      <c r="F19" s="799">
        <f t="shared" si="1"/>
        <v>13849.4170095416</v>
      </c>
      <c r="G19" s="800"/>
    </row>
    <row r="20" s="781" customFormat="1" ht="18.6" customHeight="1" spans="1:7">
      <c r="A20" s="801" t="s">
        <v>72</v>
      </c>
      <c r="B20" s="802" t="s">
        <v>73</v>
      </c>
      <c r="C20" s="801" t="s">
        <v>74</v>
      </c>
      <c r="D20" s="803">
        <v>1</v>
      </c>
      <c r="E20" s="804"/>
      <c r="F20" s="797" t="e">
        <f>F21+F25+F39+F52+F64+F67+F69</f>
        <v>#REF!</v>
      </c>
      <c r="G20" s="800"/>
    </row>
    <row r="21" s="781" customFormat="1" ht="18.6" customHeight="1" spans="1:7">
      <c r="A21" s="797" t="s">
        <v>59</v>
      </c>
      <c r="B21" s="802" t="s">
        <v>75</v>
      </c>
      <c r="C21" s="801"/>
      <c r="D21" s="803"/>
      <c r="E21" s="804"/>
      <c r="F21" s="797" t="e">
        <f>F22+F23+F24</f>
        <v>#REF!</v>
      </c>
      <c r="G21" s="800"/>
    </row>
    <row r="22" s="781" customFormat="1" ht="18.6" customHeight="1" spans="1:7">
      <c r="A22" s="805"/>
      <c r="B22" s="806" t="s">
        <v>61</v>
      </c>
      <c r="C22" s="807" t="s">
        <v>76</v>
      </c>
      <c r="D22" s="808">
        <f>D23*1.15</f>
        <v>1217.8063</v>
      </c>
      <c r="E22" s="808" t="e">
        <f>单价汇总表!D6/100+单价汇总表!#REF!/100*0.85</f>
        <v>#REF!</v>
      </c>
      <c r="F22" s="799" t="e">
        <f t="shared" ref="F22:F24" si="3">D22*E22</f>
        <v>#REF!</v>
      </c>
      <c r="G22" s="800"/>
    </row>
    <row r="23" s="781" customFormat="1" ht="18.6" customHeight="1" spans="1:7">
      <c r="A23" s="805"/>
      <c r="B23" s="806" t="s">
        <v>63</v>
      </c>
      <c r="C23" s="807" t="s">
        <v>76</v>
      </c>
      <c r="D23" s="808">
        <v>1058.962</v>
      </c>
      <c r="E23" s="808">
        <f>单价汇总表!D10/100*0.5+单价汇总表!D11/100*0.5</f>
        <v>14.0219711820305</v>
      </c>
      <c r="F23" s="799">
        <f t="shared" si="3"/>
        <v>14848.7346468654</v>
      </c>
      <c r="G23" s="800"/>
    </row>
    <row r="24" s="781" customFormat="1" ht="18.6" customHeight="1" spans="1:7">
      <c r="A24" s="805"/>
      <c r="B24" s="806" t="s">
        <v>77</v>
      </c>
      <c r="C24" s="807" t="s">
        <v>76</v>
      </c>
      <c r="D24" s="808">
        <f>4103.89*1.07-D22</f>
        <v>3173.356</v>
      </c>
      <c r="E24" s="808">
        <f>单价汇总表!D9/100</f>
        <v>26.6321919205244</v>
      </c>
      <c r="F24" s="799">
        <f t="shared" si="3"/>
        <v>84513.4260241478</v>
      </c>
      <c r="G24" s="800"/>
    </row>
    <row r="25" s="781" customFormat="1" ht="18.6" customHeight="1" spans="1:7">
      <c r="A25" s="809" t="s">
        <v>70</v>
      </c>
      <c r="B25" s="810" t="s">
        <v>78</v>
      </c>
      <c r="C25" s="795"/>
      <c r="D25" s="808"/>
      <c r="E25" s="801"/>
      <c r="F25" s="797" t="e">
        <f>SUM(F26:F38)</f>
        <v>#REF!</v>
      </c>
      <c r="G25" s="800"/>
    </row>
    <row r="26" s="781" customFormat="1" ht="19.15" customHeight="1" spans="1:7">
      <c r="A26" s="805"/>
      <c r="B26" s="811" t="s">
        <v>79</v>
      </c>
      <c r="C26" s="812" t="s">
        <v>76</v>
      </c>
      <c r="D26" s="808">
        <f>16.3*0.1*10+0.6*0.1*12.6+(0.6+0.6*1.414)*0.1*20</f>
        <v>19.9528</v>
      </c>
      <c r="E26" s="808">
        <f>单价汇总表!D19/100</f>
        <v>491.881744284308</v>
      </c>
      <c r="F26" s="799">
        <f t="shared" ref="F26:F38" si="4">D26*E26</f>
        <v>9814.41806735593</v>
      </c>
      <c r="G26" s="800"/>
    </row>
    <row r="27" s="781" customFormat="1" ht="25.9" customHeight="1" spans="1:7">
      <c r="A27" s="805"/>
      <c r="B27" s="813" t="s">
        <v>80</v>
      </c>
      <c r="C27" s="812" t="s">
        <v>76</v>
      </c>
      <c r="D27" s="808">
        <f>16.3*0.4*10+(0.6+1.2)*0.3*20</f>
        <v>76</v>
      </c>
      <c r="E27" s="808" t="e">
        <f>单价汇总表!#REF!/100</f>
        <v>#REF!</v>
      </c>
      <c r="F27" s="799" t="e">
        <f t="shared" si="4"/>
        <v>#REF!</v>
      </c>
      <c r="G27" s="800"/>
    </row>
    <row r="28" s="781" customFormat="1" ht="27" customHeight="1" spans="1:7">
      <c r="A28" s="805"/>
      <c r="B28" s="813" t="s">
        <v>81</v>
      </c>
      <c r="C28" s="812" t="s">
        <v>76</v>
      </c>
      <c r="D28" s="808">
        <f>0.6*2.2*12.6</f>
        <v>16.632</v>
      </c>
      <c r="E28" s="808" t="e">
        <f>单价汇总表!#REF!/100</f>
        <v>#REF!</v>
      </c>
      <c r="F28" s="799" t="e">
        <f t="shared" si="4"/>
        <v>#REF!</v>
      </c>
      <c r="G28" s="800"/>
    </row>
    <row r="29" s="781" customFormat="1" ht="18.6" customHeight="1" spans="1:7">
      <c r="A29" s="805"/>
      <c r="B29" s="811" t="s">
        <v>82</v>
      </c>
      <c r="C29" s="812" t="s">
        <v>76</v>
      </c>
      <c r="D29" s="808">
        <v>19.2</v>
      </c>
      <c r="E29" s="808">
        <f>单价汇总表!D12/100</f>
        <v>505.429795898414</v>
      </c>
      <c r="F29" s="799">
        <f t="shared" si="4"/>
        <v>9704.25208124954</v>
      </c>
      <c r="G29" s="800"/>
    </row>
    <row r="30" s="781" customFormat="1" ht="18.6" customHeight="1" spans="1:7">
      <c r="A30" s="805"/>
      <c r="B30" s="811" t="s">
        <v>83</v>
      </c>
      <c r="C30" s="812" t="s">
        <v>76</v>
      </c>
      <c r="D30" s="808">
        <f>5.7*0.3*2*10</f>
        <v>34.2</v>
      </c>
      <c r="E30" s="808">
        <f>单价汇总表!D13/100</f>
        <v>595.214434120762</v>
      </c>
      <c r="F30" s="799">
        <f t="shared" si="4"/>
        <v>20356.3336469301</v>
      </c>
      <c r="G30" s="800"/>
    </row>
    <row r="31" s="781" customFormat="1" ht="18.6" customHeight="1" spans="1:7">
      <c r="A31" s="805"/>
      <c r="B31" s="811" t="s">
        <v>84</v>
      </c>
      <c r="C31" s="812" t="s">
        <v>76</v>
      </c>
      <c r="D31" s="808">
        <f>5.7*0.2*2*10</f>
        <v>22.8</v>
      </c>
      <c r="E31" s="808" t="e">
        <f>单价汇总表!#REF!/100</f>
        <v>#REF!</v>
      </c>
      <c r="F31" s="799" t="e">
        <f t="shared" si="4"/>
        <v>#REF!</v>
      </c>
      <c r="G31" s="800"/>
    </row>
    <row r="32" s="781" customFormat="1" ht="18.6" customHeight="1" spans="1:7">
      <c r="A32" s="805"/>
      <c r="B32" s="811" t="s">
        <v>85</v>
      </c>
      <c r="C32" s="812" t="s">
        <v>62</v>
      </c>
      <c r="D32" s="808">
        <v>0.05</v>
      </c>
      <c r="E32" s="808">
        <v>5800</v>
      </c>
      <c r="F32" s="799">
        <f t="shared" si="4"/>
        <v>290</v>
      </c>
      <c r="G32" s="800"/>
    </row>
    <row r="33" s="781" customFormat="1" ht="18.6" customHeight="1" spans="1:7">
      <c r="A33" s="805"/>
      <c r="B33" s="811" t="s">
        <v>86</v>
      </c>
      <c r="C33" s="812" t="s">
        <v>76</v>
      </c>
      <c r="D33" s="808">
        <f>D32</f>
        <v>0.05</v>
      </c>
      <c r="E33" s="808">
        <v>24000</v>
      </c>
      <c r="F33" s="799">
        <f t="shared" si="4"/>
        <v>1200</v>
      </c>
      <c r="G33" s="800"/>
    </row>
    <row r="34" s="781" customFormat="1" ht="18.6" customHeight="1" spans="1:7">
      <c r="A34" s="805"/>
      <c r="B34" s="811" t="s">
        <v>87</v>
      </c>
      <c r="C34" s="812" t="s">
        <v>88</v>
      </c>
      <c r="D34" s="808">
        <f>0.03*10+0.03*20</f>
        <v>0.9</v>
      </c>
      <c r="E34" s="808" t="e">
        <f>单价汇总表!#REF!/100</f>
        <v>#REF!</v>
      </c>
      <c r="F34" s="799" t="e">
        <f t="shared" si="4"/>
        <v>#REF!</v>
      </c>
      <c r="G34" s="800"/>
    </row>
    <row r="35" s="781" customFormat="1" ht="18.6" customHeight="1" spans="1:7">
      <c r="A35" s="805"/>
      <c r="B35" s="811" t="s">
        <v>89</v>
      </c>
      <c r="C35" s="812" t="s">
        <v>90</v>
      </c>
      <c r="D35" s="808">
        <v>34.4</v>
      </c>
      <c r="E35" s="808" t="e">
        <f>单价汇总表!#REF!/100</f>
        <v>#REF!</v>
      </c>
      <c r="F35" s="799" t="e">
        <f t="shared" si="4"/>
        <v>#REF!</v>
      </c>
      <c r="G35" s="800"/>
    </row>
    <row r="36" s="781" customFormat="1" ht="18.6" customHeight="1" spans="1:7">
      <c r="A36" s="805"/>
      <c r="B36" s="811" t="s">
        <v>91</v>
      </c>
      <c r="C36" s="812" t="s">
        <v>76</v>
      </c>
      <c r="D36" s="808">
        <f>0.03*1.85*30</f>
        <v>1.665</v>
      </c>
      <c r="E36" s="808">
        <v>470</v>
      </c>
      <c r="F36" s="799">
        <f t="shared" si="4"/>
        <v>782.55</v>
      </c>
      <c r="G36" s="800"/>
    </row>
    <row r="37" s="781" customFormat="1" ht="18.6" customHeight="1" spans="1:7">
      <c r="A37" s="805"/>
      <c r="B37" s="811" t="s">
        <v>92</v>
      </c>
      <c r="C37" s="812" t="s">
        <v>62</v>
      </c>
      <c r="D37" s="808">
        <f>19*2*10</f>
        <v>380</v>
      </c>
      <c r="E37" s="808" t="e">
        <f>单价汇总表!#REF!/100</f>
        <v>#REF!</v>
      </c>
      <c r="F37" s="799" t="e">
        <f t="shared" si="4"/>
        <v>#REF!</v>
      </c>
      <c r="G37" s="800"/>
    </row>
    <row r="38" s="781" customFormat="1" ht="18.6" customHeight="1" spans="1:7">
      <c r="A38" s="805"/>
      <c r="B38" s="811" t="s">
        <v>68</v>
      </c>
      <c r="C38" s="812" t="s">
        <v>69</v>
      </c>
      <c r="D38" s="808">
        <v>7.596</v>
      </c>
      <c r="E38" s="808">
        <f>单价汇总表!D14</f>
        <v>6220.99382408393</v>
      </c>
      <c r="F38" s="799">
        <f t="shared" si="4"/>
        <v>47254.6690877415</v>
      </c>
      <c r="G38" s="800"/>
    </row>
    <row r="39" s="781" customFormat="1" ht="18.6" customHeight="1" spans="1:7">
      <c r="A39" s="809" t="s">
        <v>93</v>
      </c>
      <c r="B39" s="810" t="s">
        <v>94</v>
      </c>
      <c r="C39" s="795"/>
      <c r="D39" s="808"/>
      <c r="E39" s="801"/>
      <c r="F39" s="797" t="e">
        <f>SUM(F40:F51)</f>
        <v>#REF!</v>
      </c>
      <c r="G39" s="800"/>
    </row>
    <row r="40" s="781" customFormat="1" ht="18.6" customHeight="1" spans="1:7">
      <c r="A40" s="805"/>
      <c r="B40" s="811" t="s">
        <v>95</v>
      </c>
      <c r="C40" s="812" t="s">
        <v>76</v>
      </c>
      <c r="D40" s="808">
        <f>24.4*0.5</f>
        <v>12.2</v>
      </c>
      <c r="E40" s="808" t="e">
        <f>单价汇总表!#REF!/100</f>
        <v>#REF!</v>
      </c>
      <c r="F40" s="799" t="e">
        <f t="shared" ref="F40:F51" si="5">D40*E40</f>
        <v>#REF!</v>
      </c>
      <c r="G40" s="800"/>
    </row>
    <row r="41" s="781" customFormat="1" ht="18.6" customHeight="1" spans="1:7">
      <c r="A41" s="805"/>
      <c r="B41" s="811" t="s">
        <v>79</v>
      </c>
      <c r="C41" s="812" t="s">
        <v>76</v>
      </c>
      <c r="D41" s="808">
        <f>24.4*0.1*10</f>
        <v>24.4</v>
      </c>
      <c r="E41" s="808">
        <f>E26</f>
        <v>491.881744284308</v>
      </c>
      <c r="F41" s="799">
        <f t="shared" si="5"/>
        <v>12001.9145605371</v>
      </c>
      <c r="G41" s="800"/>
    </row>
    <row r="42" s="781" customFormat="1" ht="35.1" customHeight="1" spans="1:7">
      <c r="A42" s="805"/>
      <c r="B42" s="811" t="s">
        <v>96</v>
      </c>
      <c r="C42" s="812" t="s">
        <v>76</v>
      </c>
      <c r="D42" s="808">
        <f>488-4*2*10</f>
        <v>408</v>
      </c>
      <c r="E42" s="808" t="e">
        <f>E27</f>
        <v>#REF!</v>
      </c>
      <c r="F42" s="799" t="e">
        <f t="shared" si="5"/>
        <v>#REF!</v>
      </c>
      <c r="G42" s="800"/>
    </row>
    <row r="43" s="781" customFormat="1" ht="32.1" customHeight="1" spans="1:7">
      <c r="A43" s="805"/>
      <c r="B43" s="811" t="s">
        <v>97</v>
      </c>
      <c r="C43" s="812" t="s">
        <v>76</v>
      </c>
      <c r="D43" s="808">
        <v>112</v>
      </c>
      <c r="E43" s="808" t="e">
        <f>单价汇总表!#REF!/100</f>
        <v>#REF!</v>
      </c>
      <c r="F43" s="799" t="e">
        <f t="shared" si="5"/>
        <v>#REF!</v>
      </c>
      <c r="G43" s="800"/>
    </row>
    <row r="44" s="781" customFormat="1" ht="32.1" customHeight="1" spans="1:7">
      <c r="A44" s="805"/>
      <c r="B44" s="811" t="s">
        <v>85</v>
      </c>
      <c r="C44" s="812" t="s">
        <v>62</v>
      </c>
      <c r="D44" s="808">
        <v>0.06</v>
      </c>
      <c r="E44" s="808">
        <f t="shared" ref="E44:E50" si="6">E32</f>
        <v>5800</v>
      </c>
      <c r="F44" s="799">
        <f t="shared" si="5"/>
        <v>348</v>
      </c>
      <c r="G44" s="800"/>
    </row>
    <row r="45" s="781" customFormat="1" ht="18.6" customHeight="1" spans="1:7">
      <c r="A45" s="805"/>
      <c r="B45" s="811" t="str">
        <f>B33</f>
        <v>双组份聚油密封膏</v>
      </c>
      <c r="C45" s="812" t="s">
        <v>76</v>
      </c>
      <c r="D45" s="808">
        <f>D44</f>
        <v>0.06</v>
      </c>
      <c r="E45" s="808">
        <f t="shared" si="6"/>
        <v>24000</v>
      </c>
      <c r="F45" s="799">
        <f t="shared" si="5"/>
        <v>1440</v>
      </c>
      <c r="G45" s="800"/>
    </row>
    <row r="46" s="781" customFormat="1" ht="18.6" customHeight="1" spans="1:7">
      <c r="A46" s="805"/>
      <c r="B46" s="811" t="s">
        <v>87</v>
      </c>
      <c r="C46" s="812" t="s">
        <v>88</v>
      </c>
      <c r="D46" s="808">
        <f>0.03*20+0.03*20</f>
        <v>1.2</v>
      </c>
      <c r="E46" s="808" t="e">
        <f t="shared" si="6"/>
        <v>#REF!</v>
      </c>
      <c r="F46" s="799" t="e">
        <f t="shared" si="5"/>
        <v>#REF!</v>
      </c>
      <c r="G46" s="800"/>
    </row>
    <row r="47" s="781" customFormat="1" ht="18.6" customHeight="1" spans="1:7">
      <c r="A47" s="805"/>
      <c r="B47" s="811" t="s">
        <v>89</v>
      </c>
      <c r="C47" s="812" t="s">
        <v>90</v>
      </c>
      <c r="D47" s="808">
        <v>44.4</v>
      </c>
      <c r="E47" s="808" t="e">
        <f t="shared" si="6"/>
        <v>#REF!</v>
      </c>
      <c r="F47" s="799" t="e">
        <f t="shared" si="5"/>
        <v>#REF!</v>
      </c>
      <c r="G47" s="800"/>
    </row>
    <row r="48" s="781" customFormat="1" ht="18.6" customHeight="1" spans="1:7">
      <c r="A48" s="805"/>
      <c r="B48" s="811" t="s">
        <v>91</v>
      </c>
      <c r="C48" s="812" t="s">
        <v>76</v>
      </c>
      <c r="D48" s="808">
        <f>0.03*0.25*40</f>
        <v>0.3</v>
      </c>
      <c r="E48" s="808">
        <f t="shared" si="6"/>
        <v>470</v>
      </c>
      <c r="F48" s="799">
        <f t="shared" si="5"/>
        <v>141</v>
      </c>
      <c r="G48" s="800"/>
    </row>
    <row r="49" s="781" customFormat="1" ht="18.6" customHeight="1" spans="1:7">
      <c r="A49" s="805"/>
      <c r="B49" s="811" t="s">
        <v>92</v>
      </c>
      <c r="C49" s="812" t="s">
        <v>62</v>
      </c>
      <c r="D49" s="808">
        <f>24.4*2*10</f>
        <v>488</v>
      </c>
      <c r="E49" s="808" t="e">
        <f t="shared" si="6"/>
        <v>#REF!</v>
      </c>
      <c r="F49" s="799" t="e">
        <f t="shared" si="5"/>
        <v>#REF!</v>
      </c>
      <c r="G49" s="800"/>
    </row>
    <row r="50" s="781" customFormat="1" ht="18.6" customHeight="1" spans="1:7">
      <c r="A50" s="805"/>
      <c r="B50" s="811" t="s">
        <v>68</v>
      </c>
      <c r="C50" s="812" t="s">
        <v>69</v>
      </c>
      <c r="D50" s="808">
        <v>15.86</v>
      </c>
      <c r="E50" s="808">
        <f t="shared" si="6"/>
        <v>6220.99382408393</v>
      </c>
      <c r="F50" s="799">
        <f t="shared" si="5"/>
        <v>98664.9620499711</v>
      </c>
      <c r="G50" s="800"/>
    </row>
    <row r="51" s="781" customFormat="1" ht="18.6" customHeight="1" spans="1:7">
      <c r="A51" s="805"/>
      <c r="B51" s="811" t="s">
        <v>98</v>
      </c>
      <c r="C51" s="812" t="s">
        <v>69</v>
      </c>
      <c r="D51" s="808">
        <v>3</v>
      </c>
      <c r="E51" s="808">
        <f>E50*1.1</f>
        <v>6843.09320649232</v>
      </c>
      <c r="F51" s="799">
        <f t="shared" si="5"/>
        <v>20529.279619477</v>
      </c>
      <c r="G51" s="800"/>
    </row>
    <row r="52" s="781" customFormat="1" ht="18.6" customHeight="1" spans="1:7">
      <c r="A52" s="809" t="s">
        <v>99</v>
      </c>
      <c r="B52" s="810" t="s">
        <v>100</v>
      </c>
      <c r="C52" s="814"/>
      <c r="D52" s="808"/>
      <c r="E52" s="801"/>
      <c r="F52" s="797" t="e">
        <f>SUM(F53:F63)</f>
        <v>#REF!</v>
      </c>
      <c r="G52" s="800"/>
    </row>
    <row r="53" s="781" customFormat="1" ht="18.6" customHeight="1" spans="1:7">
      <c r="A53" s="805"/>
      <c r="B53" s="811" t="s">
        <v>79</v>
      </c>
      <c r="C53" s="812" t="s">
        <v>76</v>
      </c>
      <c r="D53" s="808">
        <v>16.46</v>
      </c>
      <c r="E53" s="808">
        <f>E26</f>
        <v>491.881744284308</v>
      </c>
      <c r="F53" s="799">
        <f t="shared" ref="F53:F63" si="7">D53*E53</f>
        <v>8096.3735109197</v>
      </c>
      <c r="G53" s="800"/>
    </row>
    <row r="54" s="781" customFormat="1" ht="18.6" customHeight="1" spans="1:7">
      <c r="A54" s="805"/>
      <c r="B54" s="815" t="s">
        <v>101</v>
      </c>
      <c r="C54" s="816" t="s">
        <v>76</v>
      </c>
      <c r="D54" s="808">
        <v>100.69</v>
      </c>
      <c r="E54" s="808" t="e">
        <f>E42</f>
        <v>#REF!</v>
      </c>
      <c r="F54" s="799" t="e">
        <f t="shared" si="7"/>
        <v>#REF!</v>
      </c>
      <c r="G54" s="800"/>
    </row>
    <row r="55" s="781" customFormat="1" ht="18.6" customHeight="1" spans="1:7">
      <c r="A55" s="805"/>
      <c r="B55" s="811" t="s">
        <v>82</v>
      </c>
      <c r="C55" s="812" t="s">
        <v>76</v>
      </c>
      <c r="D55" s="808">
        <v>19.2</v>
      </c>
      <c r="E55" s="808">
        <f t="shared" ref="E55:E57" si="8">E29</f>
        <v>505.429795898414</v>
      </c>
      <c r="F55" s="799">
        <f t="shared" si="7"/>
        <v>9704.25208124954</v>
      </c>
      <c r="G55" s="800"/>
    </row>
    <row r="56" s="781" customFormat="1" ht="18.6" customHeight="1" spans="1:7">
      <c r="A56" s="805"/>
      <c r="B56" s="811" t="s">
        <v>83</v>
      </c>
      <c r="C56" s="812" t="s">
        <v>76</v>
      </c>
      <c r="D56" s="808">
        <f>5.7*0.3*2*10</f>
        <v>34.2</v>
      </c>
      <c r="E56" s="808">
        <f t="shared" si="8"/>
        <v>595.214434120762</v>
      </c>
      <c r="F56" s="799">
        <f t="shared" si="7"/>
        <v>20356.3336469301</v>
      </c>
      <c r="G56" s="800"/>
    </row>
    <row r="57" s="781" customFormat="1" ht="18.6" customHeight="1" spans="1:7">
      <c r="A57" s="805"/>
      <c r="B57" s="811" t="s">
        <v>84</v>
      </c>
      <c r="C57" s="812" t="s">
        <v>76</v>
      </c>
      <c r="D57" s="808">
        <f>5.7*0.2*2*10</f>
        <v>22.8</v>
      </c>
      <c r="E57" s="808" t="e">
        <f t="shared" si="8"/>
        <v>#REF!</v>
      </c>
      <c r="F57" s="799" t="e">
        <f t="shared" si="7"/>
        <v>#REF!</v>
      </c>
      <c r="G57" s="800"/>
    </row>
    <row r="58" s="781" customFormat="1" ht="18.6" customHeight="1" spans="1:7">
      <c r="A58" s="805"/>
      <c r="B58" s="811" t="str">
        <f>B33</f>
        <v>双组份聚油密封膏</v>
      </c>
      <c r="C58" s="812" t="s">
        <v>76</v>
      </c>
      <c r="D58" s="808">
        <f>0.03*0.05*10+0.03*0.05*12.6</f>
        <v>0.0339</v>
      </c>
      <c r="E58" s="808">
        <f>E45</f>
        <v>24000</v>
      </c>
      <c r="F58" s="799">
        <f t="shared" si="7"/>
        <v>813.6</v>
      </c>
      <c r="G58" s="800"/>
    </row>
    <row r="59" s="781" customFormat="1" ht="18.6" customHeight="1" spans="1:7">
      <c r="A59" s="805"/>
      <c r="B59" s="811" t="s">
        <v>85</v>
      </c>
      <c r="C59" s="812" t="s">
        <v>62</v>
      </c>
      <c r="D59" s="808">
        <f>0.03*0.05*10+0.03*0.05*12.6</f>
        <v>0.0339</v>
      </c>
      <c r="E59" s="808">
        <f>E44</f>
        <v>5800</v>
      </c>
      <c r="F59" s="799">
        <f t="shared" si="7"/>
        <v>196.62</v>
      </c>
      <c r="G59" s="800"/>
    </row>
    <row r="60" s="781" customFormat="1" ht="18.6" customHeight="1" spans="1:7">
      <c r="A60" s="805"/>
      <c r="B60" s="811" t="s">
        <v>87</v>
      </c>
      <c r="C60" s="812" t="s">
        <v>88</v>
      </c>
      <c r="D60" s="808">
        <f>0.03*22.6</f>
        <v>0.678</v>
      </c>
      <c r="E60" s="808" t="e">
        <f t="shared" ref="E60:E62" si="9">E46</f>
        <v>#REF!</v>
      </c>
      <c r="F60" s="799" t="e">
        <f t="shared" si="7"/>
        <v>#REF!</v>
      </c>
      <c r="G60" s="800"/>
    </row>
    <row r="61" s="781" customFormat="1" ht="18.6" customHeight="1" spans="1:7">
      <c r="A61" s="805"/>
      <c r="B61" s="811" t="s">
        <v>89</v>
      </c>
      <c r="C61" s="812" t="s">
        <v>90</v>
      </c>
      <c r="D61" s="808">
        <f>12.6+10</f>
        <v>22.6</v>
      </c>
      <c r="E61" s="808" t="e">
        <f t="shared" si="9"/>
        <v>#REF!</v>
      </c>
      <c r="F61" s="799" t="e">
        <f t="shared" si="7"/>
        <v>#REF!</v>
      </c>
      <c r="G61" s="800"/>
    </row>
    <row r="62" s="781" customFormat="1" ht="18.6" customHeight="1" spans="1:7">
      <c r="A62" s="805"/>
      <c r="B62" s="811" t="s">
        <v>91</v>
      </c>
      <c r="C62" s="812" t="s">
        <v>76</v>
      </c>
      <c r="D62" s="808">
        <f>0.03*0.65*10+0.03*1.35*12.6</f>
        <v>0.7053</v>
      </c>
      <c r="E62" s="808">
        <f t="shared" si="9"/>
        <v>470</v>
      </c>
      <c r="F62" s="799">
        <f t="shared" si="7"/>
        <v>331.491</v>
      </c>
      <c r="G62" s="800"/>
    </row>
    <row r="63" s="781" customFormat="1" ht="18.6" customHeight="1" spans="1:7">
      <c r="A63" s="805"/>
      <c r="B63" s="811" t="s">
        <v>68</v>
      </c>
      <c r="C63" s="812" t="s">
        <v>69</v>
      </c>
      <c r="D63" s="808">
        <v>6.3</v>
      </c>
      <c r="E63" s="808">
        <f>E38</f>
        <v>6220.99382408393</v>
      </c>
      <c r="F63" s="799">
        <f t="shared" si="7"/>
        <v>39192.2610917287</v>
      </c>
      <c r="G63" s="800"/>
    </row>
    <row r="64" s="781" customFormat="1" ht="18.6" customHeight="1" spans="1:7">
      <c r="A64" s="809" t="s">
        <v>102</v>
      </c>
      <c r="B64" s="810" t="s">
        <v>103</v>
      </c>
      <c r="C64" s="814"/>
      <c r="D64" s="808"/>
      <c r="E64" s="801"/>
      <c r="F64" s="797" t="e">
        <f>F65+F66</f>
        <v>#REF!</v>
      </c>
      <c r="G64" s="800"/>
    </row>
    <row r="65" s="781" customFormat="1" ht="18.6" customHeight="1" spans="1:7">
      <c r="A65" s="805"/>
      <c r="B65" s="811" t="s">
        <v>104</v>
      </c>
      <c r="C65" s="812" t="s">
        <v>76</v>
      </c>
      <c r="D65" s="808">
        <f>12.6*7.2+12.6*0.8+12.6*0.8</f>
        <v>110.88</v>
      </c>
      <c r="E65" s="808" t="e">
        <f>单价汇总表!#REF!/100</f>
        <v>#REF!</v>
      </c>
      <c r="F65" s="799" t="e">
        <f t="shared" ref="F65:F68" si="10">D65*E65</f>
        <v>#REF!</v>
      </c>
      <c r="G65" s="800"/>
    </row>
    <row r="66" s="781" customFormat="1" ht="18.6" customHeight="1" spans="1:7">
      <c r="A66" s="805"/>
      <c r="B66" s="811" t="s">
        <v>105</v>
      </c>
      <c r="C66" s="812" t="s">
        <v>88</v>
      </c>
      <c r="D66" s="808">
        <f>12.6*0.5*7.2+12.6*0.8*1.5+12.6*1*0.8</f>
        <v>70.56</v>
      </c>
      <c r="E66" s="808" t="e">
        <f>单价汇总表!#REF!/100</f>
        <v>#REF!</v>
      </c>
      <c r="F66" s="799" t="e">
        <f t="shared" si="10"/>
        <v>#REF!</v>
      </c>
      <c r="G66" s="800"/>
    </row>
    <row r="67" s="781" customFormat="1" ht="18.6" customHeight="1" spans="1:7">
      <c r="A67" s="809" t="s">
        <v>106</v>
      </c>
      <c r="B67" s="810" t="s">
        <v>107</v>
      </c>
      <c r="C67" s="814"/>
      <c r="D67" s="808"/>
      <c r="E67" s="801"/>
      <c r="F67" s="797">
        <f>F68</f>
        <v>98010</v>
      </c>
      <c r="G67" s="800"/>
    </row>
    <row r="68" s="781" customFormat="1" ht="18.6" customHeight="1" spans="1:7">
      <c r="A68" s="812"/>
      <c r="B68" s="811" t="s">
        <v>107</v>
      </c>
      <c r="C68" s="812" t="s">
        <v>88</v>
      </c>
      <c r="D68" s="808">
        <v>32.67</v>
      </c>
      <c r="E68" s="808">
        <v>3000</v>
      </c>
      <c r="F68" s="799">
        <f t="shared" si="10"/>
        <v>98010</v>
      </c>
      <c r="G68" s="800"/>
    </row>
    <row r="69" s="781" customFormat="1" ht="18.6" customHeight="1" spans="1:7">
      <c r="A69" s="814" t="s">
        <v>108</v>
      </c>
      <c r="B69" s="810" t="s">
        <v>109</v>
      </c>
      <c r="C69" s="814"/>
      <c r="D69" s="801"/>
      <c r="E69" s="801"/>
      <c r="F69" s="797" t="e">
        <f>F70+F71+F72+F73</f>
        <v>#REF!</v>
      </c>
      <c r="G69" s="800"/>
    </row>
    <row r="70" s="781" customFormat="1" ht="30.95" customHeight="1" spans="1:7">
      <c r="A70" s="817"/>
      <c r="B70" s="818" t="s">
        <v>110</v>
      </c>
      <c r="C70" s="800" t="s">
        <v>76</v>
      </c>
      <c r="D70" s="800">
        <f>100*0.583/1060*120</f>
        <v>6.6</v>
      </c>
      <c r="E70" s="798" t="e">
        <f>单价汇总表!#REF!/100</f>
        <v>#REF!</v>
      </c>
      <c r="F70" s="799" t="e">
        <f t="shared" ref="F70:F73" si="11">D70*E70</f>
        <v>#REF!</v>
      </c>
      <c r="G70" s="800"/>
    </row>
    <row r="71" s="781" customFormat="1" ht="18.6" customHeight="1" spans="1:7">
      <c r="A71" s="817"/>
      <c r="B71" s="818" t="s">
        <v>111</v>
      </c>
      <c r="C71" s="800" t="s">
        <v>76</v>
      </c>
      <c r="D71" s="800">
        <f>10*52.47/1060*120</f>
        <v>59.4</v>
      </c>
      <c r="E71" s="798">
        <f>单价汇总表!D6/100</f>
        <v>2.85666121708846</v>
      </c>
      <c r="F71" s="799">
        <f t="shared" si="11"/>
        <v>169.685676295055</v>
      </c>
      <c r="G71" s="800"/>
    </row>
    <row r="72" s="781" customFormat="1" ht="18.6" customHeight="1" spans="1:7">
      <c r="A72" s="817"/>
      <c r="B72" s="818" t="s">
        <v>112</v>
      </c>
      <c r="C72" s="800" t="s">
        <v>76</v>
      </c>
      <c r="D72" s="800">
        <f>100*1.749/1060*120</f>
        <v>19.8</v>
      </c>
      <c r="E72" s="798">
        <f>单价汇总表!D11/100</f>
        <v>21.7295909758467</v>
      </c>
      <c r="F72" s="799">
        <f t="shared" si="11"/>
        <v>430.245901321766</v>
      </c>
      <c r="G72" s="800"/>
    </row>
    <row r="73" s="781" customFormat="1" ht="27" customHeight="1" spans="1:7">
      <c r="A73" s="817"/>
      <c r="B73" s="818" t="s">
        <v>113</v>
      </c>
      <c r="C73" s="800" t="s">
        <v>76</v>
      </c>
      <c r="D73" s="800">
        <f>100*4.081/1060*120</f>
        <v>46.2</v>
      </c>
      <c r="E73" s="798">
        <f>单价汇总表!D10/100</f>
        <v>6.31435138821432</v>
      </c>
      <c r="F73" s="799">
        <f t="shared" si="11"/>
        <v>291.723034135502</v>
      </c>
      <c r="G73" s="800"/>
    </row>
    <row r="74" s="781" customFormat="1" ht="27" customHeight="1" spans="1:7">
      <c r="A74" s="817"/>
      <c r="B74" s="818"/>
      <c r="C74" s="800"/>
      <c r="D74" s="800"/>
      <c r="E74" s="798"/>
      <c r="F74" s="799"/>
      <c r="G74" s="800"/>
    </row>
    <row r="75" s="781" customFormat="1" ht="27" customHeight="1" spans="1:7">
      <c r="A75" s="817"/>
      <c r="B75" s="818"/>
      <c r="C75" s="800"/>
      <c r="D75" s="800"/>
      <c r="E75" s="798"/>
      <c r="F75" s="799"/>
      <c r="G75" s="800"/>
    </row>
    <row r="76" s="781" customFormat="1" ht="27" customHeight="1" spans="1:7">
      <c r="A76" s="817"/>
      <c r="B76" s="818"/>
      <c r="C76" s="800"/>
      <c r="D76" s="800"/>
      <c r="E76" s="798"/>
      <c r="F76" s="799"/>
      <c r="G76" s="800"/>
    </row>
    <row r="77" s="781" customFormat="1" ht="27" customHeight="1" spans="1:7">
      <c r="A77" s="817"/>
      <c r="B77" s="818"/>
      <c r="C77" s="800"/>
      <c r="D77" s="800"/>
      <c r="E77" s="798"/>
      <c r="F77" s="799"/>
      <c r="G77" s="800"/>
    </row>
    <row r="78" s="781" customFormat="1" ht="27" customHeight="1" spans="1:7">
      <c r="A78" s="817"/>
      <c r="B78" s="818"/>
      <c r="C78" s="800"/>
      <c r="D78" s="800"/>
      <c r="E78" s="798"/>
      <c r="F78" s="799"/>
      <c r="G78" s="800"/>
    </row>
    <row r="79" s="781" customFormat="1" ht="27" customHeight="1" spans="1:7">
      <c r="A79" s="817"/>
      <c r="B79" s="818"/>
      <c r="C79" s="800"/>
      <c r="D79" s="800"/>
      <c r="E79" s="798"/>
      <c r="F79" s="799"/>
      <c r="G79" s="800"/>
    </row>
    <row r="80" s="781" customFormat="1" ht="27" customHeight="1" spans="1:7">
      <c r="A80" s="817"/>
      <c r="B80" s="818"/>
      <c r="C80" s="800"/>
      <c r="D80" s="800"/>
      <c r="E80" s="798"/>
      <c r="F80" s="799"/>
      <c r="G80" s="800"/>
    </row>
    <row r="81" s="781" customFormat="1" ht="27" customHeight="1" spans="1:7">
      <c r="A81" s="817"/>
      <c r="B81" s="818"/>
      <c r="C81" s="800"/>
      <c r="D81" s="800"/>
      <c r="E81" s="798"/>
      <c r="F81" s="799"/>
      <c r="G81" s="800"/>
    </row>
    <row r="82" s="781" customFormat="1" ht="27" customHeight="1" spans="1:7">
      <c r="A82" s="817"/>
      <c r="B82" s="818"/>
      <c r="C82" s="800"/>
      <c r="D82" s="800"/>
      <c r="E82" s="798"/>
      <c r="F82" s="799"/>
      <c r="G82" s="800"/>
    </row>
    <row r="83" s="781" customFormat="1" ht="27" customHeight="1" spans="1:7">
      <c r="A83" s="817"/>
      <c r="B83" s="818"/>
      <c r="C83" s="800"/>
      <c r="D83" s="800"/>
      <c r="E83" s="798"/>
      <c r="F83" s="799"/>
      <c r="G83" s="800"/>
    </row>
    <row r="84" s="781" customFormat="1" ht="27" customHeight="1" spans="1:7">
      <c r="A84" s="817"/>
      <c r="B84" s="818"/>
      <c r="C84" s="800"/>
      <c r="D84" s="800"/>
      <c r="E84" s="798"/>
      <c r="F84" s="799"/>
      <c r="G84" s="800"/>
    </row>
    <row r="85" s="781" customFormat="1" ht="27" customHeight="1" spans="1:7">
      <c r="A85" s="817"/>
      <c r="B85" s="818"/>
      <c r="C85" s="800"/>
      <c r="D85" s="800"/>
      <c r="E85" s="798"/>
      <c r="F85" s="799"/>
      <c r="G85" s="800"/>
    </row>
    <row r="86" s="781" customFormat="1" ht="27" customHeight="1" spans="1:7">
      <c r="A86" s="817"/>
      <c r="B86" s="818"/>
      <c r="C86" s="800"/>
      <c r="D86" s="800"/>
      <c r="E86" s="798"/>
      <c r="F86" s="799"/>
      <c r="G86" s="800"/>
    </row>
    <row r="87" s="781" customFormat="1" ht="27" customHeight="1" spans="1:7">
      <c r="A87" s="817"/>
      <c r="B87" s="818"/>
      <c r="C87" s="800"/>
      <c r="D87" s="800"/>
      <c r="E87" s="798"/>
      <c r="F87" s="799"/>
      <c r="G87" s="800"/>
    </row>
    <row r="88" s="781" customFormat="1" ht="27" customHeight="1" spans="1:7">
      <c r="A88" s="817"/>
      <c r="B88" s="818"/>
      <c r="C88" s="800"/>
      <c r="D88" s="800"/>
      <c r="E88" s="798"/>
      <c r="F88" s="799"/>
      <c r="G88" s="800"/>
    </row>
    <row r="89" s="781" customFormat="1" ht="27" customHeight="1" spans="1:7">
      <c r="A89" s="817"/>
      <c r="B89" s="818"/>
      <c r="C89" s="800"/>
      <c r="D89" s="800"/>
      <c r="E89" s="798"/>
      <c r="F89" s="799"/>
      <c r="G89" s="800"/>
    </row>
    <row r="90" s="781" customFormat="1" ht="27" customHeight="1" spans="1:7">
      <c r="A90" s="817"/>
      <c r="B90" s="818"/>
      <c r="C90" s="800"/>
      <c r="D90" s="800"/>
      <c r="E90" s="798"/>
      <c r="F90" s="799"/>
      <c r="G90" s="800"/>
    </row>
    <row r="91" s="781" customFormat="1" ht="27" customHeight="1" spans="1:7">
      <c r="A91" s="817"/>
      <c r="B91" s="818"/>
      <c r="C91" s="800"/>
      <c r="D91" s="800"/>
      <c r="E91" s="798"/>
      <c r="F91" s="799"/>
      <c r="G91" s="800"/>
    </row>
    <row r="92" s="781" customFormat="1" ht="27" customHeight="1" spans="1:7">
      <c r="A92" s="817"/>
      <c r="B92" s="818"/>
      <c r="C92" s="800"/>
      <c r="D92" s="800"/>
      <c r="E92" s="798"/>
      <c r="F92" s="799"/>
      <c r="G92" s="800"/>
    </row>
    <row r="93" s="781" customFormat="1" ht="27" customHeight="1" spans="1:7">
      <c r="A93" s="817"/>
      <c r="B93" s="818"/>
      <c r="C93" s="800"/>
      <c r="D93" s="800"/>
      <c r="E93" s="798"/>
      <c r="F93" s="799"/>
      <c r="G93" s="800"/>
    </row>
    <row r="94" s="781" customFormat="1" ht="27" customHeight="1" spans="1:7">
      <c r="A94" s="817"/>
      <c r="B94" s="818"/>
      <c r="C94" s="800"/>
      <c r="D94" s="800"/>
      <c r="E94" s="798"/>
      <c r="F94" s="799"/>
      <c r="G94" s="800"/>
    </row>
    <row r="95" s="781" customFormat="1" ht="27" customHeight="1" spans="1:7">
      <c r="A95" s="817"/>
      <c r="B95" s="818"/>
      <c r="C95" s="800"/>
      <c r="D95" s="800"/>
      <c r="E95" s="798"/>
      <c r="F95" s="799"/>
      <c r="G95" s="800"/>
    </row>
    <row r="96" ht="18.6" customHeight="1" spans="1:7">
      <c r="A96" s="819" t="s">
        <v>72</v>
      </c>
      <c r="B96" s="820" t="s">
        <v>114</v>
      </c>
      <c r="C96" s="819"/>
      <c r="D96" s="819"/>
      <c r="E96" s="819"/>
      <c r="F96" s="821" t="e">
        <f>F97+F101+F113</f>
        <v>#REF!</v>
      </c>
      <c r="G96" s="819"/>
    </row>
    <row r="97" ht="18.6" customHeight="1" spans="1:7">
      <c r="A97" s="819">
        <v>1</v>
      </c>
      <c r="B97" s="820" t="s">
        <v>75</v>
      </c>
      <c r="C97" s="819"/>
      <c r="D97" s="819"/>
      <c r="E97" s="819"/>
      <c r="F97" s="821" t="e">
        <f>F98+F99+F100</f>
        <v>#REF!</v>
      </c>
      <c r="G97" s="819"/>
    </row>
    <row r="98" ht="18.6" customHeight="1" spans="1:7">
      <c r="A98" s="441"/>
      <c r="B98" s="792" t="s">
        <v>61</v>
      </c>
      <c r="C98" s="822" t="s">
        <v>76</v>
      </c>
      <c r="D98" s="823">
        <v>8870.39</v>
      </c>
      <c r="E98" s="823" t="e">
        <f>单价汇总表!#REF!/100+单价汇总表!#REF!/100*0.6</f>
        <v>#REF!</v>
      </c>
      <c r="F98" s="824" t="e">
        <f t="shared" ref="F98:F100" si="12">D98*E98</f>
        <v>#REF!</v>
      </c>
      <c r="G98" s="441"/>
    </row>
    <row r="99" ht="18.6" customHeight="1" spans="1:7">
      <c r="A99" s="441"/>
      <c r="B99" s="792" t="s">
        <v>63</v>
      </c>
      <c r="C99" s="822" t="s">
        <v>76</v>
      </c>
      <c r="D99" s="823">
        <f>D98*0.98</f>
        <v>8692.9822</v>
      </c>
      <c r="E99" s="823">
        <f>单价汇总表!D10/100</f>
        <v>6.31435138821432</v>
      </c>
      <c r="F99" s="824">
        <f t="shared" si="12"/>
        <v>54890.5442222924</v>
      </c>
      <c r="G99" s="441"/>
    </row>
    <row r="100" ht="18.6" customHeight="1" spans="1:7">
      <c r="A100" s="441"/>
      <c r="B100" s="792" t="s">
        <v>115</v>
      </c>
      <c r="C100" s="822" t="s">
        <v>76</v>
      </c>
      <c r="D100" s="823">
        <v>519.33</v>
      </c>
      <c r="E100" s="825">
        <f>材料预算价!K7*1.09+单价汇总表!D11/100</f>
        <v>146.890164235847</v>
      </c>
      <c r="F100" s="824">
        <f t="shared" si="12"/>
        <v>76284.4689926023</v>
      </c>
      <c r="G100" s="441"/>
    </row>
    <row r="101" ht="18.6" customHeight="1" spans="1:7">
      <c r="A101" s="819">
        <v>2</v>
      </c>
      <c r="B101" s="820" t="s">
        <v>116</v>
      </c>
      <c r="C101" s="819"/>
      <c r="D101" s="819"/>
      <c r="E101" s="819"/>
      <c r="F101" s="821">
        <f>F102+F107+F112</f>
        <v>1445340.69025584</v>
      </c>
      <c r="G101" s="441"/>
    </row>
    <row r="102" ht="18.6" customHeight="1" spans="1:7">
      <c r="A102" s="441">
        <v>2.1</v>
      </c>
      <c r="B102" s="792" t="s">
        <v>117</v>
      </c>
      <c r="C102" s="441"/>
      <c r="D102" s="441"/>
      <c r="E102" s="441"/>
      <c r="F102" s="824">
        <f>SUM(F103:F106)</f>
        <v>1299517.28</v>
      </c>
      <c r="G102" s="441"/>
    </row>
    <row r="103" ht="18.6" customHeight="1" spans="1:7">
      <c r="A103" s="441"/>
      <c r="B103" s="826" t="s">
        <v>118</v>
      </c>
      <c r="C103" s="441" t="s">
        <v>90</v>
      </c>
      <c r="D103" s="441">
        <v>47</v>
      </c>
      <c r="E103" s="441">
        <v>1068.27</v>
      </c>
      <c r="F103" s="824">
        <f t="shared" ref="F103:F106" si="13">D103*E103</f>
        <v>50208.69</v>
      </c>
      <c r="G103" s="441" t="s">
        <v>119</v>
      </c>
    </row>
    <row r="104" ht="18.6" customHeight="1" spans="1:7">
      <c r="A104" s="441"/>
      <c r="B104" s="826" t="s">
        <v>120</v>
      </c>
      <c r="C104" s="441" t="s">
        <v>90</v>
      </c>
      <c r="D104" s="441">
        <v>663</v>
      </c>
      <c r="E104" s="441">
        <v>1775.75</v>
      </c>
      <c r="F104" s="824">
        <f t="shared" si="13"/>
        <v>1177322.25</v>
      </c>
      <c r="G104" s="441" t="s">
        <v>119</v>
      </c>
    </row>
    <row r="105" ht="18.6" customHeight="1" spans="1:7">
      <c r="A105" s="441"/>
      <c r="B105" s="826" t="s">
        <v>121</v>
      </c>
      <c r="C105" s="441" t="s">
        <v>90</v>
      </c>
      <c r="D105" s="441">
        <v>28</v>
      </c>
      <c r="E105" s="441">
        <v>637.07</v>
      </c>
      <c r="F105" s="824">
        <f t="shared" si="13"/>
        <v>17837.96</v>
      </c>
      <c r="G105" s="441" t="s">
        <v>119</v>
      </c>
    </row>
    <row r="106" ht="18.6" customHeight="1" spans="1:7">
      <c r="A106" s="441"/>
      <c r="B106" s="826" t="s">
        <v>122</v>
      </c>
      <c r="C106" s="441" t="s">
        <v>90</v>
      </c>
      <c r="D106" s="441">
        <v>286</v>
      </c>
      <c r="E106" s="441">
        <v>189.33</v>
      </c>
      <c r="F106" s="824">
        <f t="shared" si="13"/>
        <v>54148.38</v>
      </c>
      <c r="G106" s="441" t="s">
        <v>119</v>
      </c>
    </row>
    <row r="107" ht="18.6" customHeight="1" spans="1:7">
      <c r="A107" s="441">
        <v>2.2</v>
      </c>
      <c r="B107" s="827" t="s">
        <v>123</v>
      </c>
      <c r="C107" s="441"/>
      <c r="D107" s="441"/>
      <c r="E107" s="441"/>
      <c r="F107" s="824">
        <f>SUM(F108:F111)</f>
        <v>67852.3734558429</v>
      </c>
      <c r="G107" s="441"/>
    </row>
    <row r="108" ht="18.6" customHeight="1" spans="1:7">
      <c r="A108" s="441"/>
      <c r="B108" s="826" t="s">
        <v>118</v>
      </c>
      <c r="C108" s="441" t="s">
        <v>90</v>
      </c>
      <c r="D108" s="441">
        <v>47</v>
      </c>
      <c r="E108" s="828">
        <f>管道安装!F52/10</f>
        <v>67.2993060406537</v>
      </c>
      <c r="F108" s="824">
        <f t="shared" ref="F108:F111" si="14">D108*E108</f>
        <v>3163.06738391072</v>
      </c>
      <c r="G108" s="441" t="s">
        <v>119</v>
      </c>
    </row>
    <row r="109" ht="18.6" customHeight="1" spans="1:7">
      <c r="A109" s="441"/>
      <c r="B109" s="826" t="s">
        <v>120</v>
      </c>
      <c r="C109" s="441" t="s">
        <v>90</v>
      </c>
      <c r="D109" s="441">
        <v>663</v>
      </c>
      <c r="E109" s="828">
        <f>管道安装!F26/10</f>
        <v>86.9195254367931</v>
      </c>
      <c r="F109" s="824">
        <f t="shared" si="14"/>
        <v>57627.6453645938</v>
      </c>
      <c r="G109" s="441" t="s">
        <v>119</v>
      </c>
    </row>
    <row r="110" ht="18.6" customHeight="1" spans="1:7">
      <c r="A110" s="441"/>
      <c r="B110" s="826" t="s">
        <v>121</v>
      </c>
      <c r="C110" s="441" t="s">
        <v>90</v>
      </c>
      <c r="D110" s="441">
        <v>28</v>
      </c>
      <c r="E110" s="828">
        <f>管道安装!F78/10</f>
        <v>48.6530547168696</v>
      </c>
      <c r="F110" s="824">
        <f t="shared" si="14"/>
        <v>1362.28553207235</v>
      </c>
      <c r="G110" s="441" t="s">
        <v>119</v>
      </c>
    </row>
    <row r="111" ht="18.6" customHeight="1" spans="1:7">
      <c r="A111" s="441"/>
      <c r="B111" s="826" t="s">
        <v>122</v>
      </c>
      <c r="C111" s="441" t="s">
        <v>90</v>
      </c>
      <c r="D111" s="441">
        <v>286</v>
      </c>
      <c r="E111" s="828">
        <f>管道安装!F104/10</f>
        <v>19.9278852282029</v>
      </c>
      <c r="F111" s="824">
        <f t="shared" si="14"/>
        <v>5699.37517526604</v>
      </c>
      <c r="G111" s="441" t="s">
        <v>119</v>
      </c>
    </row>
    <row r="112" ht="18.6" customHeight="1" spans="1:7">
      <c r="A112" s="829">
        <v>2.3</v>
      </c>
      <c r="B112" s="830" t="s">
        <v>124</v>
      </c>
      <c r="C112" s="829"/>
      <c r="D112" s="829"/>
      <c r="E112" s="831"/>
      <c r="F112" s="832">
        <f>F102*6%</f>
        <v>77971.0368</v>
      </c>
      <c r="G112" s="829"/>
    </row>
    <row r="113" ht="18.6" customHeight="1" spans="1:7">
      <c r="A113" s="819">
        <v>3</v>
      </c>
      <c r="B113" s="833" t="s">
        <v>125</v>
      </c>
      <c r="C113" s="819"/>
      <c r="D113" s="819"/>
      <c r="E113" s="819"/>
      <c r="F113" s="821" t="e">
        <f>F114+F129+F142+F154+F156+F169</f>
        <v>#REF!</v>
      </c>
      <c r="G113" s="441"/>
    </row>
    <row r="114" ht="18.6" customHeight="1" spans="1:7">
      <c r="A114" s="819">
        <v>3.1</v>
      </c>
      <c r="B114" s="833" t="s">
        <v>126</v>
      </c>
      <c r="C114" s="834" t="s">
        <v>74</v>
      </c>
      <c r="D114" s="834">
        <v>1</v>
      </c>
      <c r="E114" s="819"/>
      <c r="F114" s="821" t="e">
        <f>SUM(F115:F128)</f>
        <v>#REF!</v>
      </c>
      <c r="G114" s="819"/>
    </row>
    <row r="115" ht="23.45" customHeight="1" spans="1:7">
      <c r="A115" s="835"/>
      <c r="B115" s="836" t="s">
        <v>61</v>
      </c>
      <c r="C115" s="837" t="s">
        <v>76</v>
      </c>
      <c r="D115" s="837">
        <f>100*0.0477+D116</f>
        <v>47.657</v>
      </c>
      <c r="E115" s="798">
        <v>5.8</v>
      </c>
      <c r="F115" s="838">
        <f t="shared" ref="F115:F128" si="15">D115*E115</f>
        <v>276.4106</v>
      </c>
      <c r="G115" s="835"/>
    </row>
    <row r="116" ht="24" customHeight="1" spans="1:7">
      <c r="A116" s="839"/>
      <c r="B116" s="840" t="s">
        <v>127</v>
      </c>
      <c r="C116" s="841" t="s">
        <v>76</v>
      </c>
      <c r="D116" s="841">
        <f>10*4.2887</f>
        <v>42.887</v>
      </c>
      <c r="E116" s="842" t="e">
        <f t="shared" ref="E116:E118" si="16">E158</f>
        <v>#REF!</v>
      </c>
      <c r="F116" s="843"/>
      <c r="G116" s="839"/>
    </row>
    <row r="117" ht="18.6" customHeight="1" spans="1:7">
      <c r="A117" s="441"/>
      <c r="B117" s="827" t="s">
        <v>112</v>
      </c>
      <c r="C117" s="822" t="s">
        <v>76</v>
      </c>
      <c r="D117" s="822">
        <f>100*0.1105+100*0.2579</f>
        <v>36.84</v>
      </c>
      <c r="E117" s="844">
        <f t="shared" si="16"/>
        <v>21.7295909758467</v>
      </c>
      <c r="F117" s="824">
        <f t="shared" si="15"/>
        <v>800.518131550194</v>
      </c>
      <c r="G117" s="441"/>
    </row>
    <row r="118" ht="18.6" customHeight="1" spans="1:7">
      <c r="A118" s="441"/>
      <c r="B118" s="827" t="s">
        <v>128</v>
      </c>
      <c r="C118" s="822" t="s">
        <v>76</v>
      </c>
      <c r="D118" s="822">
        <f>10*0.0784</f>
        <v>0.784</v>
      </c>
      <c r="E118" s="844">
        <f t="shared" si="16"/>
        <v>491.881744284308</v>
      </c>
      <c r="F118" s="824">
        <f t="shared" si="15"/>
        <v>385.635287518897</v>
      </c>
      <c r="G118" s="441"/>
    </row>
    <row r="119" ht="18.6" customHeight="1" spans="1:7">
      <c r="A119" s="441"/>
      <c r="B119" s="827" t="s">
        <v>129</v>
      </c>
      <c r="C119" s="822" t="s">
        <v>76</v>
      </c>
      <c r="D119" s="822">
        <f>10*0.2028</f>
        <v>2.028</v>
      </c>
      <c r="E119" s="798">
        <f>单价汇总表!D21/100</f>
        <v>564.249291609108</v>
      </c>
      <c r="F119" s="824">
        <f t="shared" si="15"/>
        <v>1144.29756338327</v>
      </c>
      <c r="G119" s="441"/>
    </row>
    <row r="120" ht="25.15" customHeight="1" spans="1:7">
      <c r="A120" s="441"/>
      <c r="B120" s="827" t="s">
        <v>130</v>
      </c>
      <c r="C120" s="822" t="s">
        <v>76</v>
      </c>
      <c r="D120" s="822">
        <f>10*0.5425</f>
        <v>5.425</v>
      </c>
      <c r="E120" s="845">
        <f>新定额单价!F945/100</f>
        <v>698.819570249818</v>
      </c>
      <c r="F120" s="824">
        <f t="shared" si="15"/>
        <v>3791.09616860526</v>
      </c>
      <c r="G120" s="441"/>
    </row>
    <row r="121" ht="18.6" customHeight="1" spans="1:7">
      <c r="A121" s="441"/>
      <c r="B121" s="827" t="s">
        <v>131</v>
      </c>
      <c r="C121" s="822" t="s">
        <v>76</v>
      </c>
      <c r="D121" s="822">
        <f>10*0.0338</f>
        <v>0.338</v>
      </c>
      <c r="E121" s="844" t="e">
        <f>单价汇总表!#REF!/100</f>
        <v>#REF!</v>
      </c>
      <c r="F121" s="824" t="e">
        <f t="shared" si="15"/>
        <v>#REF!</v>
      </c>
      <c r="G121" s="441"/>
    </row>
    <row r="122" ht="18.6" customHeight="1" spans="1:7">
      <c r="A122" s="441"/>
      <c r="B122" s="827" t="str">
        <f>B164</f>
        <v>钢筋制安</v>
      </c>
      <c r="C122" s="822" t="s">
        <v>69</v>
      </c>
      <c r="D122" s="822">
        <v>0.5293</v>
      </c>
      <c r="E122" s="844">
        <f>E164</f>
        <v>6220.99382408393</v>
      </c>
      <c r="F122" s="824">
        <f t="shared" si="15"/>
        <v>3292.77203108762</v>
      </c>
      <c r="G122" s="441"/>
    </row>
    <row r="123" ht="18.6" customHeight="1" spans="1:7">
      <c r="A123" s="441"/>
      <c r="B123" s="827" t="s">
        <v>132</v>
      </c>
      <c r="C123" s="822" t="s">
        <v>90</v>
      </c>
      <c r="D123" s="822">
        <v>8</v>
      </c>
      <c r="E123" s="844" t="e">
        <f>单价汇总表!#REF!/100</f>
        <v>#REF!</v>
      </c>
      <c r="F123" s="824" t="e">
        <f t="shared" si="15"/>
        <v>#REF!</v>
      </c>
      <c r="G123" s="441"/>
    </row>
    <row r="124" ht="18.6" customHeight="1" spans="1:7">
      <c r="A124" s="441"/>
      <c r="B124" s="827" t="s">
        <v>133</v>
      </c>
      <c r="C124" s="822" t="s">
        <v>88</v>
      </c>
      <c r="D124" s="822">
        <f>100*0.0225</f>
        <v>2.25</v>
      </c>
      <c r="E124" s="844" t="e">
        <f>单价汇总表!#REF!/100</f>
        <v>#REF!</v>
      </c>
      <c r="F124" s="824" t="e">
        <f t="shared" si="15"/>
        <v>#REF!</v>
      </c>
      <c r="G124" s="441"/>
    </row>
    <row r="125" ht="18.6" customHeight="1" spans="1:7">
      <c r="A125" s="441"/>
      <c r="B125" s="827" t="s">
        <v>134</v>
      </c>
      <c r="C125" s="822" t="s">
        <v>88</v>
      </c>
      <c r="D125" s="822">
        <f>100*0.267</f>
        <v>26.7</v>
      </c>
      <c r="E125" s="844" t="e">
        <f>E124</f>
        <v>#REF!</v>
      </c>
      <c r="F125" s="824" t="e">
        <f t="shared" si="15"/>
        <v>#REF!</v>
      </c>
      <c r="G125" s="441"/>
    </row>
    <row r="126" ht="18.6" customHeight="1" spans="1:7">
      <c r="A126" s="441"/>
      <c r="B126" s="827" t="s">
        <v>135</v>
      </c>
      <c r="C126" s="822" t="s">
        <v>136</v>
      </c>
      <c r="D126" s="822">
        <v>1</v>
      </c>
      <c r="E126" s="844">
        <v>150</v>
      </c>
      <c r="F126" s="824">
        <f t="shared" si="15"/>
        <v>150</v>
      </c>
      <c r="G126" s="441"/>
    </row>
    <row r="127" ht="18.6" customHeight="1" spans="1:7">
      <c r="A127" s="441"/>
      <c r="B127" s="827" t="s">
        <v>137</v>
      </c>
      <c r="C127" s="822" t="s">
        <v>69</v>
      </c>
      <c r="D127" s="822">
        <v>0.03</v>
      </c>
      <c r="E127" s="845">
        <f>E122*1.1</f>
        <v>6843.09320649232</v>
      </c>
      <c r="F127" s="824">
        <f t="shared" si="15"/>
        <v>205.29279619477</v>
      </c>
      <c r="G127" s="441"/>
    </row>
    <row r="128" ht="18.6" customHeight="1" spans="1:7">
      <c r="A128" s="441"/>
      <c r="B128" s="827" t="s">
        <v>138</v>
      </c>
      <c r="C128" s="822" t="s">
        <v>74</v>
      </c>
      <c r="D128" s="822">
        <v>1</v>
      </c>
      <c r="E128" s="844">
        <v>250</v>
      </c>
      <c r="F128" s="824">
        <f t="shared" si="15"/>
        <v>250</v>
      </c>
      <c r="G128" s="441"/>
    </row>
    <row r="129" ht="18.6" customHeight="1" spans="1:7">
      <c r="A129" s="846">
        <v>3.2</v>
      </c>
      <c r="B129" s="847" t="s">
        <v>139</v>
      </c>
      <c r="C129" s="846"/>
      <c r="D129" s="846"/>
      <c r="E129" s="846"/>
      <c r="F129" s="848" t="e">
        <f>SUM(F130:F141)</f>
        <v>#REF!</v>
      </c>
      <c r="G129" s="441"/>
    </row>
    <row r="130" ht="18.6" customHeight="1" spans="1:7">
      <c r="A130" s="835"/>
      <c r="B130" s="836" t="s">
        <v>61</v>
      </c>
      <c r="C130" s="837" t="s">
        <v>76</v>
      </c>
      <c r="D130" s="837">
        <f>100*0.0276+D131</f>
        <v>27.589</v>
      </c>
      <c r="E130" s="798">
        <f>E115</f>
        <v>5.8</v>
      </c>
      <c r="F130" s="838">
        <f t="shared" ref="F130:F142" si="17">D130*E130</f>
        <v>160.0162</v>
      </c>
      <c r="G130" s="835"/>
    </row>
    <row r="131" ht="18.6" customHeight="1" spans="1:7">
      <c r="A131" s="839"/>
      <c r="B131" s="840" t="s">
        <v>127</v>
      </c>
      <c r="C131" s="841" t="s">
        <v>76</v>
      </c>
      <c r="D131" s="849">
        <f>10*2.4829</f>
        <v>24.829</v>
      </c>
      <c r="E131" s="842" t="e">
        <f>单价汇总表!D6/100+单价汇总表!#REF!/100</f>
        <v>#REF!</v>
      </c>
      <c r="F131" s="843"/>
      <c r="G131" s="839"/>
    </row>
    <row r="132" ht="18.6" customHeight="1" spans="1:7">
      <c r="A132" s="441"/>
      <c r="B132" s="827" t="s">
        <v>140</v>
      </c>
      <c r="C132" s="822" t="s">
        <v>76</v>
      </c>
      <c r="D132" s="822">
        <f>100*0.0461+10.77</f>
        <v>15.38</v>
      </c>
      <c r="E132" s="844">
        <f>单价汇总表!D11/100</f>
        <v>21.7295909758467</v>
      </c>
      <c r="F132" s="824">
        <f t="shared" si="17"/>
        <v>334.201109208523</v>
      </c>
      <c r="G132" s="441"/>
    </row>
    <row r="133" ht="18.6" customHeight="1" spans="1:7">
      <c r="A133" s="441"/>
      <c r="B133" s="827" t="s">
        <v>128</v>
      </c>
      <c r="C133" s="822" t="s">
        <v>76</v>
      </c>
      <c r="D133" s="822">
        <f>10*0.1288</f>
        <v>1.288</v>
      </c>
      <c r="E133" s="844">
        <f>单价汇总表!D19/100</f>
        <v>491.881744284308</v>
      </c>
      <c r="F133" s="824">
        <f t="shared" si="17"/>
        <v>633.543686638188</v>
      </c>
      <c r="G133" s="441"/>
    </row>
    <row r="134" ht="36.95" customHeight="1" spans="1:7">
      <c r="A134" s="441"/>
      <c r="B134" s="827" t="s">
        <v>129</v>
      </c>
      <c r="C134" s="822" t="s">
        <v>76</v>
      </c>
      <c r="D134" s="822">
        <f>10*0.3276</f>
        <v>3.276</v>
      </c>
      <c r="E134" s="844">
        <f>单价汇总表!D21/100</f>
        <v>564.249291609108</v>
      </c>
      <c r="F134" s="824">
        <f t="shared" si="17"/>
        <v>1848.48067931144</v>
      </c>
      <c r="G134" s="441"/>
    </row>
    <row r="135" ht="28.9" customHeight="1" spans="1:7">
      <c r="A135" s="441"/>
      <c r="B135" s="827" t="s">
        <v>130</v>
      </c>
      <c r="C135" s="822" t="s">
        <v>76</v>
      </c>
      <c r="D135" s="822">
        <f>10*0.7333</f>
        <v>7.333</v>
      </c>
      <c r="E135" s="845">
        <f>E120</f>
        <v>698.819570249818</v>
      </c>
      <c r="F135" s="824">
        <f t="shared" si="17"/>
        <v>5124.44390864191</v>
      </c>
      <c r="G135" s="441"/>
    </row>
    <row r="136" ht="18.6" customHeight="1" spans="1:7">
      <c r="A136" s="441"/>
      <c r="B136" s="827" t="s">
        <v>131</v>
      </c>
      <c r="C136" s="822" t="s">
        <v>76</v>
      </c>
      <c r="D136" s="822">
        <f>10*0.128</f>
        <v>1.28</v>
      </c>
      <c r="E136" s="844" t="e">
        <f>单价汇总表!#REF!/100</f>
        <v>#REF!</v>
      </c>
      <c r="F136" s="824" t="e">
        <f t="shared" si="17"/>
        <v>#REF!</v>
      </c>
      <c r="G136" s="441"/>
    </row>
    <row r="137" ht="18.6" customHeight="1" spans="1:7">
      <c r="A137" s="441"/>
      <c r="B137" s="827" t="s">
        <v>68</v>
      </c>
      <c r="C137" s="822" t="s">
        <v>69</v>
      </c>
      <c r="D137" s="822">
        <f>1.247+0.002+0.0132</f>
        <v>1.2622</v>
      </c>
      <c r="E137" s="844">
        <f>E234</f>
        <v>6220.99382408393</v>
      </c>
      <c r="F137" s="824">
        <f t="shared" si="17"/>
        <v>7852.13840475873</v>
      </c>
      <c r="G137" s="441"/>
    </row>
    <row r="138" ht="18.6" customHeight="1" spans="1:7">
      <c r="A138" s="441"/>
      <c r="B138" s="827" t="s">
        <v>132</v>
      </c>
      <c r="C138" s="822" t="s">
        <v>90</v>
      </c>
      <c r="D138" s="822">
        <f>100*0.188</f>
        <v>18.8</v>
      </c>
      <c r="E138" s="844" t="e">
        <f>单价汇总表!#REF!/100</f>
        <v>#REF!</v>
      </c>
      <c r="F138" s="824" t="e">
        <f t="shared" si="17"/>
        <v>#REF!</v>
      </c>
      <c r="G138" s="441"/>
    </row>
    <row r="139" ht="18.6" customHeight="1" spans="1:7">
      <c r="A139" s="441"/>
      <c r="B139" s="827" t="s">
        <v>141</v>
      </c>
      <c r="C139" s="822" t="s">
        <v>88</v>
      </c>
      <c r="D139" s="822">
        <f t="shared" ref="D139:D141" si="18">100*0.5866</f>
        <v>58.66</v>
      </c>
      <c r="E139" s="844">
        <v>6.5</v>
      </c>
      <c r="F139" s="824">
        <f t="shared" si="17"/>
        <v>381.29</v>
      </c>
      <c r="G139" s="441"/>
    </row>
    <row r="140" ht="18.6" customHeight="1" spans="1:7">
      <c r="A140" s="441"/>
      <c r="B140" s="827" t="s">
        <v>142</v>
      </c>
      <c r="C140" s="822" t="s">
        <v>88</v>
      </c>
      <c r="D140" s="822">
        <f t="shared" si="18"/>
        <v>58.66</v>
      </c>
      <c r="E140" s="844">
        <v>5.5</v>
      </c>
      <c r="F140" s="824">
        <f t="shared" si="17"/>
        <v>322.63</v>
      </c>
      <c r="G140" s="441"/>
    </row>
    <row r="141" ht="36.95" customHeight="1" spans="1:7">
      <c r="A141" s="441"/>
      <c r="B141" s="827" t="s">
        <v>143</v>
      </c>
      <c r="C141" s="822" t="s">
        <v>88</v>
      </c>
      <c r="D141" s="822">
        <f t="shared" si="18"/>
        <v>58.66</v>
      </c>
      <c r="E141" s="844">
        <v>19.5</v>
      </c>
      <c r="F141" s="824">
        <f t="shared" si="17"/>
        <v>1143.87</v>
      </c>
      <c r="G141" s="441"/>
    </row>
    <row r="142" ht="18.6" customHeight="1" spans="1:7">
      <c r="A142" s="819">
        <v>3.3</v>
      </c>
      <c r="B142" s="833" t="s">
        <v>144</v>
      </c>
      <c r="C142" s="834" t="s">
        <v>74</v>
      </c>
      <c r="D142" s="834">
        <v>15</v>
      </c>
      <c r="E142" s="850" t="e">
        <f>F143</f>
        <v>#REF!</v>
      </c>
      <c r="F142" s="821" t="e">
        <f t="shared" si="17"/>
        <v>#REF!</v>
      </c>
      <c r="G142" s="441"/>
    </row>
    <row r="143" ht="18.6" customHeight="1" spans="1:7">
      <c r="A143" s="819"/>
      <c r="B143" s="833" t="s">
        <v>145</v>
      </c>
      <c r="C143" s="834"/>
      <c r="D143" s="834"/>
      <c r="E143" s="850"/>
      <c r="F143" s="821" t="e">
        <f>SUM(F144:F153)</f>
        <v>#REF!</v>
      </c>
      <c r="G143" s="441"/>
    </row>
    <row r="144" ht="18.6" customHeight="1" spans="1:7">
      <c r="A144" s="819"/>
      <c r="B144" s="851" t="s">
        <v>146</v>
      </c>
      <c r="C144" s="822" t="s">
        <v>76</v>
      </c>
      <c r="D144" s="823">
        <v>22.032752</v>
      </c>
      <c r="E144" s="798">
        <f>E130</f>
        <v>5.8</v>
      </c>
      <c r="F144" s="824">
        <f t="shared" ref="F144:F153" si="19">D144*E144</f>
        <v>127.7899616</v>
      </c>
      <c r="G144" s="441"/>
    </row>
    <row r="145" ht="18.6" customHeight="1" spans="1:7">
      <c r="A145" s="819"/>
      <c r="B145" s="851" t="s">
        <v>147</v>
      </c>
      <c r="C145" s="822" t="s">
        <v>76</v>
      </c>
      <c r="D145" s="823">
        <v>10.812484</v>
      </c>
      <c r="E145" s="844">
        <f>单价汇总表!D11/100</f>
        <v>21.7295909758467</v>
      </c>
      <c r="F145" s="824">
        <f t="shared" si="19"/>
        <v>234.950854752887</v>
      </c>
      <c r="G145" s="441"/>
    </row>
    <row r="146" ht="18.6" customHeight="1" spans="1:7">
      <c r="A146" s="814"/>
      <c r="B146" s="852" t="s">
        <v>148</v>
      </c>
      <c r="C146" s="822" t="s">
        <v>76</v>
      </c>
      <c r="D146" s="823">
        <v>0.37994</v>
      </c>
      <c r="E146" s="845">
        <f>E133</f>
        <v>491.881744284308</v>
      </c>
      <c r="F146" s="824">
        <f t="shared" si="19"/>
        <v>186.88554992338</v>
      </c>
      <c r="G146" s="441"/>
    </row>
    <row r="147" ht="18.6" customHeight="1" spans="1:7">
      <c r="A147" s="819"/>
      <c r="B147" s="851" t="s">
        <v>149</v>
      </c>
      <c r="C147" s="822" t="s">
        <v>76</v>
      </c>
      <c r="D147" s="823">
        <v>0.761607</v>
      </c>
      <c r="E147" s="844" t="e">
        <f>单价汇总表!#REF!/100</f>
        <v>#REF!</v>
      </c>
      <c r="F147" s="824" t="e">
        <f t="shared" si="19"/>
        <v>#REF!</v>
      </c>
      <c r="G147" s="441"/>
    </row>
    <row r="148" ht="18.6" customHeight="1" spans="1:7">
      <c r="A148" s="819"/>
      <c r="B148" s="851" t="s">
        <v>150</v>
      </c>
      <c r="C148" s="822" t="s">
        <v>76</v>
      </c>
      <c r="D148" s="822">
        <v>3.76</v>
      </c>
      <c r="E148" s="844" t="e">
        <f>单价汇总表!#REF!/100</f>
        <v>#REF!</v>
      </c>
      <c r="F148" s="824" t="e">
        <f t="shared" si="19"/>
        <v>#REF!</v>
      </c>
      <c r="G148" s="441"/>
    </row>
    <row r="149" ht="18.6" customHeight="1" spans="1:7">
      <c r="A149" s="819"/>
      <c r="B149" s="853" t="s">
        <v>151</v>
      </c>
      <c r="C149" s="822" t="s">
        <v>76</v>
      </c>
      <c r="D149" s="822">
        <v>0.31</v>
      </c>
      <c r="E149" s="844">
        <f>单价汇总表!D22/100</f>
        <v>921.369262661247</v>
      </c>
      <c r="F149" s="824">
        <f t="shared" si="19"/>
        <v>285.624471424987</v>
      </c>
      <c r="G149" s="441"/>
    </row>
    <row r="150" ht="18.6" customHeight="1" spans="1:7">
      <c r="A150" s="819"/>
      <c r="B150" s="853" t="s">
        <v>152</v>
      </c>
      <c r="C150" s="822" t="s">
        <v>76</v>
      </c>
      <c r="D150" s="822">
        <v>0.02</v>
      </c>
      <c r="E150" s="844" t="e">
        <f>单价汇总表!#REF!/100</f>
        <v>#REF!</v>
      </c>
      <c r="F150" s="824" t="e">
        <f t="shared" si="19"/>
        <v>#REF!</v>
      </c>
      <c r="G150" s="441"/>
    </row>
    <row r="151" ht="18.6" customHeight="1" spans="1:7">
      <c r="A151" s="819"/>
      <c r="B151" s="851" t="s">
        <v>153</v>
      </c>
      <c r="C151" s="822" t="s">
        <v>76</v>
      </c>
      <c r="D151" s="822">
        <v>1.07</v>
      </c>
      <c r="E151" s="798" t="e">
        <f>单价汇总表!#REF!/100</f>
        <v>#REF!</v>
      </c>
      <c r="F151" s="824" t="e">
        <f t="shared" si="19"/>
        <v>#REF!</v>
      </c>
      <c r="G151" s="441"/>
    </row>
    <row r="152" ht="18.6" customHeight="1" spans="1:7">
      <c r="A152" s="819"/>
      <c r="B152" s="851" t="s">
        <v>68</v>
      </c>
      <c r="C152" s="822" t="s">
        <v>69</v>
      </c>
      <c r="D152" s="822">
        <v>0.44</v>
      </c>
      <c r="E152" s="844">
        <f>单价汇总表!D14</f>
        <v>6220.99382408393</v>
      </c>
      <c r="F152" s="824">
        <f t="shared" si="19"/>
        <v>2737.23728259693</v>
      </c>
      <c r="G152" s="441"/>
    </row>
    <row r="153" ht="18.6" customHeight="1" spans="1:7">
      <c r="A153" s="814"/>
      <c r="B153" s="852" t="s">
        <v>154</v>
      </c>
      <c r="C153" s="822" t="s">
        <v>155</v>
      </c>
      <c r="D153" s="822">
        <v>1</v>
      </c>
      <c r="E153" s="844">
        <v>500</v>
      </c>
      <c r="F153" s="824">
        <f t="shared" si="19"/>
        <v>500</v>
      </c>
      <c r="G153" s="441"/>
    </row>
    <row r="154" ht="18.6" customHeight="1" spans="1:7">
      <c r="A154" s="819">
        <v>3.4</v>
      </c>
      <c r="B154" s="854" t="s">
        <v>156</v>
      </c>
      <c r="C154" s="834"/>
      <c r="D154" s="834"/>
      <c r="E154" s="850"/>
      <c r="F154" s="821">
        <f>F155</f>
        <v>34770.4445843515</v>
      </c>
      <c r="G154" s="819"/>
    </row>
    <row r="155" ht="18.6" customHeight="1" spans="1:7">
      <c r="A155" s="441"/>
      <c r="B155" s="827" t="s">
        <v>157</v>
      </c>
      <c r="C155" s="822" t="s">
        <v>76</v>
      </c>
      <c r="D155" s="823">
        <f>10*5.3167</f>
        <v>53.167</v>
      </c>
      <c r="E155" s="844">
        <f>单价汇总表!D18/100</f>
        <v>653.98545308841</v>
      </c>
      <c r="F155" s="824">
        <f t="shared" ref="F155:F168" si="20">D155*E155</f>
        <v>34770.4445843515</v>
      </c>
      <c r="G155" s="441"/>
    </row>
    <row r="156" ht="18.6" customHeight="1" spans="1:7">
      <c r="A156" s="846">
        <v>3.5</v>
      </c>
      <c r="B156" s="855" t="s">
        <v>158</v>
      </c>
      <c r="C156" s="846"/>
      <c r="D156" s="846"/>
      <c r="E156" s="846"/>
      <c r="F156" s="848" t="e">
        <f>SUM(F157:F168)</f>
        <v>#REF!</v>
      </c>
      <c r="G156" s="819"/>
    </row>
    <row r="157" ht="18.6" customHeight="1" spans="1:7">
      <c r="A157" s="835"/>
      <c r="B157" s="836" t="s">
        <v>61</v>
      </c>
      <c r="C157" s="837" t="s">
        <v>76</v>
      </c>
      <c r="D157" s="856">
        <f>2.02+D158</f>
        <v>20.164</v>
      </c>
      <c r="E157" s="857">
        <f t="shared" ref="E157:E168" si="21">E130</f>
        <v>5.8</v>
      </c>
      <c r="F157" s="838">
        <f t="shared" si="20"/>
        <v>116.9512</v>
      </c>
      <c r="G157" s="835"/>
    </row>
    <row r="158" ht="30" customHeight="1" spans="1:7">
      <c r="A158" s="839"/>
      <c r="B158" s="840" t="s">
        <v>127</v>
      </c>
      <c r="C158" s="841" t="s">
        <v>76</v>
      </c>
      <c r="D158" s="849">
        <v>18.144</v>
      </c>
      <c r="E158" s="842" t="e">
        <f t="shared" si="21"/>
        <v>#REF!</v>
      </c>
      <c r="F158" s="843"/>
      <c r="G158" s="839"/>
    </row>
    <row r="159" ht="18.6" customHeight="1" spans="1:7">
      <c r="A159" s="441"/>
      <c r="B159" s="827" t="s">
        <v>140</v>
      </c>
      <c r="C159" s="822" t="s">
        <v>76</v>
      </c>
      <c r="D159" s="822">
        <v>4.07</v>
      </c>
      <c r="E159" s="844">
        <f t="shared" si="21"/>
        <v>21.7295909758467</v>
      </c>
      <c r="F159" s="824">
        <f t="shared" si="20"/>
        <v>88.4394352716963</v>
      </c>
      <c r="G159" s="441"/>
    </row>
    <row r="160" ht="18.6" customHeight="1" spans="1:7">
      <c r="A160" s="441"/>
      <c r="B160" s="827" t="s">
        <v>128</v>
      </c>
      <c r="C160" s="822" t="s">
        <v>76</v>
      </c>
      <c r="D160" s="822">
        <v>0.468</v>
      </c>
      <c r="E160" s="844">
        <f t="shared" si="21"/>
        <v>491.881744284308</v>
      </c>
      <c r="F160" s="824">
        <f t="shared" si="20"/>
        <v>230.200656325056</v>
      </c>
      <c r="G160" s="441"/>
    </row>
    <row r="161" ht="18.6" customHeight="1" spans="1:7">
      <c r="A161" s="441"/>
      <c r="B161" s="827" t="s">
        <v>129</v>
      </c>
      <c r="C161" s="822" t="s">
        <v>76</v>
      </c>
      <c r="D161" s="822">
        <v>1.152</v>
      </c>
      <c r="E161" s="844">
        <f t="shared" si="21"/>
        <v>564.249291609108</v>
      </c>
      <c r="F161" s="824">
        <f t="shared" si="20"/>
        <v>650.015183933692</v>
      </c>
      <c r="G161" s="441"/>
    </row>
    <row r="162" ht="18.6" customHeight="1" spans="1:7">
      <c r="A162" s="441"/>
      <c r="B162" s="827" t="s">
        <v>130</v>
      </c>
      <c r="C162" s="822" t="s">
        <v>76</v>
      </c>
      <c r="D162" s="822">
        <v>2.07</v>
      </c>
      <c r="E162" s="844">
        <f t="shared" si="21"/>
        <v>698.819570249818</v>
      </c>
      <c r="F162" s="824">
        <f t="shared" si="20"/>
        <v>1446.55651041712</v>
      </c>
      <c r="G162" s="441"/>
    </row>
    <row r="163" ht="18.6" customHeight="1" spans="1:7">
      <c r="A163" s="441"/>
      <c r="B163" s="827" t="s">
        <v>131</v>
      </c>
      <c r="C163" s="822" t="s">
        <v>76</v>
      </c>
      <c r="D163" s="822">
        <v>0.13</v>
      </c>
      <c r="E163" s="844" t="e">
        <f t="shared" si="21"/>
        <v>#REF!</v>
      </c>
      <c r="F163" s="824" t="e">
        <f t="shared" si="20"/>
        <v>#REF!</v>
      </c>
      <c r="G163" s="441"/>
    </row>
    <row r="164" ht="18.6" customHeight="1" spans="1:7">
      <c r="A164" s="441"/>
      <c r="B164" s="827" t="s">
        <v>68</v>
      </c>
      <c r="C164" s="822" t="s">
        <v>69</v>
      </c>
      <c r="D164" s="822">
        <v>0.3326</v>
      </c>
      <c r="E164" s="844">
        <f t="shared" si="21"/>
        <v>6220.99382408393</v>
      </c>
      <c r="F164" s="824">
        <f t="shared" si="20"/>
        <v>2069.10254589031</v>
      </c>
      <c r="G164" s="441"/>
    </row>
    <row r="165" ht="18.6" customHeight="1" spans="1:7">
      <c r="A165" s="441"/>
      <c r="B165" s="827" t="s">
        <v>132</v>
      </c>
      <c r="C165" s="822" t="s">
        <v>90</v>
      </c>
      <c r="D165" s="822">
        <v>5.6</v>
      </c>
      <c r="E165" s="844" t="e">
        <f t="shared" si="21"/>
        <v>#REF!</v>
      </c>
      <c r="F165" s="824" t="e">
        <f t="shared" si="20"/>
        <v>#REF!</v>
      </c>
      <c r="G165" s="441"/>
    </row>
    <row r="166" ht="18.6" customHeight="1" spans="1:7">
      <c r="A166" s="441"/>
      <c r="B166" s="827" t="s">
        <v>141</v>
      </c>
      <c r="C166" s="822" t="s">
        <v>88</v>
      </c>
      <c r="D166" s="822">
        <v>16.56</v>
      </c>
      <c r="E166" s="844">
        <f t="shared" si="21"/>
        <v>6.5</v>
      </c>
      <c r="F166" s="824">
        <f t="shared" si="20"/>
        <v>107.64</v>
      </c>
      <c r="G166" s="441"/>
    </row>
    <row r="167" ht="18.6" customHeight="1" spans="1:7">
      <c r="A167" s="441"/>
      <c r="B167" s="827" t="s">
        <v>142</v>
      </c>
      <c r="C167" s="822" t="s">
        <v>88</v>
      </c>
      <c r="D167" s="822">
        <f>D166</f>
        <v>16.56</v>
      </c>
      <c r="E167" s="844">
        <f t="shared" si="21"/>
        <v>5.5</v>
      </c>
      <c r="F167" s="824">
        <f t="shared" si="20"/>
        <v>91.08</v>
      </c>
      <c r="G167" s="441"/>
    </row>
    <row r="168" ht="18.6" customHeight="1" spans="1:7">
      <c r="A168" s="441"/>
      <c r="B168" s="827" t="s">
        <v>143</v>
      </c>
      <c r="C168" s="822" t="s">
        <v>88</v>
      </c>
      <c r="D168" s="822">
        <f>D167</f>
        <v>16.56</v>
      </c>
      <c r="E168" s="844">
        <f t="shared" si="21"/>
        <v>19.5</v>
      </c>
      <c r="F168" s="824">
        <f t="shared" si="20"/>
        <v>322.92</v>
      </c>
      <c r="G168" s="441"/>
    </row>
    <row r="169" ht="18.6" customHeight="1" spans="1:7">
      <c r="A169" s="819">
        <v>3.6</v>
      </c>
      <c r="B169" s="833" t="s">
        <v>159</v>
      </c>
      <c r="C169" s="819"/>
      <c r="D169" s="819"/>
      <c r="E169" s="819"/>
      <c r="F169" s="821" t="e">
        <f>F170+F171+F172</f>
        <v>#REF!</v>
      </c>
      <c r="G169" s="441"/>
    </row>
    <row r="170" ht="18.6" customHeight="1" spans="1:7">
      <c r="A170" s="819"/>
      <c r="B170" s="827" t="s">
        <v>160</v>
      </c>
      <c r="C170" s="822" t="s">
        <v>76</v>
      </c>
      <c r="D170" s="822">
        <v>11.31</v>
      </c>
      <c r="E170" s="823" t="e">
        <f>单价汇总表!#REF!/100</f>
        <v>#REF!</v>
      </c>
      <c r="F170" s="824" t="e">
        <f t="shared" ref="F170:F172" si="22">D170*E170</f>
        <v>#REF!</v>
      </c>
      <c r="G170" s="441"/>
    </row>
    <row r="171" ht="18.6" customHeight="1" spans="1:7">
      <c r="A171" s="819"/>
      <c r="B171" s="858" t="s">
        <v>148</v>
      </c>
      <c r="C171" s="822" t="s">
        <v>76</v>
      </c>
      <c r="D171" s="822">
        <v>1.41</v>
      </c>
      <c r="E171" s="859">
        <f>单价汇总表!D19/100</f>
        <v>491.881744284308</v>
      </c>
      <c r="F171" s="824">
        <f t="shared" si="22"/>
        <v>693.553259440873</v>
      </c>
      <c r="G171" s="441"/>
    </row>
    <row r="172" ht="18.6" customHeight="1" spans="1:7">
      <c r="A172" s="819"/>
      <c r="B172" s="827" t="s">
        <v>161</v>
      </c>
      <c r="C172" s="822" t="s">
        <v>76</v>
      </c>
      <c r="D172" s="822">
        <v>2.37</v>
      </c>
      <c r="E172" s="823" t="e">
        <f>单价汇总表!#REF!/100</f>
        <v>#REF!</v>
      </c>
      <c r="F172" s="824" t="e">
        <f t="shared" si="22"/>
        <v>#REF!</v>
      </c>
      <c r="G172" s="441"/>
    </row>
    <row r="173" ht="18.6" customHeight="1" spans="1:7">
      <c r="A173" s="819" t="s">
        <v>162</v>
      </c>
      <c r="B173" s="820" t="s">
        <v>163</v>
      </c>
      <c r="C173" s="819"/>
      <c r="D173" s="819"/>
      <c r="E173" s="819"/>
      <c r="F173" s="821" t="e">
        <f>F181+F214+F226+F231+F186+F237+F240+F242</f>
        <v>#REF!</v>
      </c>
      <c r="G173" s="819"/>
    </row>
    <row r="174" s="782" customFormat="1" ht="18.6" customHeight="1" spans="1:7">
      <c r="A174" s="814" t="s">
        <v>59</v>
      </c>
      <c r="B174" s="860" t="s">
        <v>164</v>
      </c>
      <c r="C174" s="814"/>
      <c r="D174" s="814"/>
      <c r="E174" s="814"/>
      <c r="F174" s="809">
        <f>SUM(F175:F177)</f>
        <v>543534.1</v>
      </c>
      <c r="G174" s="814"/>
    </row>
    <row r="175" s="782" customFormat="1" ht="18.6" customHeight="1" spans="1:7">
      <c r="A175" s="814"/>
      <c r="B175" s="860" t="s">
        <v>165</v>
      </c>
      <c r="C175" s="861" t="s">
        <v>88</v>
      </c>
      <c r="D175" s="862">
        <v>63.8</v>
      </c>
      <c r="E175" s="863">
        <v>3184.70626959248</v>
      </c>
      <c r="F175" s="805">
        <f t="shared" ref="F175:F177" si="23">D175*E175</f>
        <v>203184.26</v>
      </c>
      <c r="G175" s="814"/>
    </row>
    <row r="176" s="782" customFormat="1" ht="18.6" customHeight="1" spans="1:7">
      <c r="A176" s="814"/>
      <c r="B176" s="864" t="s">
        <v>166</v>
      </c>
      <c r="C176" s="861" t="s">
        <v>88</v>
      </c>
      <c r="D176" s="862">
        <v>63.8</v>
      </c>
      <c r="E176" s="863">
        <v>209.245141065831</v>
      </c>
      <c r="F176" s="805">
        <f t="shared" si="23"/>
        <v>13349.84</v>
      </c>
      <c r="G176" s="814"/>
    </row>
    <row r="177" s="782" customFormat="1" ht="18.6" customHeight="1" spans="1:7">
      <c r="A177" s="814"/>
      <c r="B177" s="864" t="s">
        <v>167</v>
      </c>
      <c r="C177" s="861" t="s">
        <v>88</v>
      </c>
      <c r="D177" s="862">
        <v>63.8</v>
      </c>
      <c r="E177" s="863">
        <v>5125.39184952978</v>
      </c>
      <c r="F177" s="805">
        <f t="shared" si="23"/>
        <v>327000</v>
      </c>
      <c r="G177" s="814"/>
    </row>
    <row r="178" ht="18.6" customHeight="1" spans="1:7">
      <c r="A178" s="819"/>
      <c r="B178" s="820"/>
      <c r="C178" s="819"/>
      <c r="D178" s="819"/>
      <c r="E178" s="819"/>
      <c r="F178" s="821"/>
      <c r="G178" s="819"/>
    </row>
    <row r="179" ht="18.6" customHeight="1" spans="1:7">
      <c r="A179" s="819"/>
      <c r="B179" s="820"/>
      <c r="C179" s="819"/>
      <c r="D179" s="819"/>
      <c r="E179" s="819"/>
      <c r="F179" s="821"/>
      <c r="G179" s="819"/>
    </row>
    <row r="180" ht="18.6" customHeight="1" spans="1:7">
      <c r="A180" s="819"/>
      <c r="B180" s="820"/>
      <c r="C180" s="819"/>
      <c r="D180" s="819"/>
      <c r="E180" s="819"/>
      <c r="F180" s="821"/>
      <c r="G180" s="819"/>
    </row>
    <row r="181" ht="18.6" customHeight="1" spans="1:7">
      <c r="A181" s="819" t="s">
        <v>59</v>
      </c>
      <c r="B181" s="820" t="s">
        <v>75</v>
      </c>
      <c r="C181" s="819"/>
      <c r="D181" s="819"/>
      <c r="E181" s="819"/>
      <c r="F181" s="821" t="e">
        <f>F182+F183+F184</f>
        <v>#REF!</v>
      </c>
      <c r="G181" s="819"/>
    </row>
    <row r="182" ht="18.6" customHeight="1" spans="1:7">
      <c r="A182" s="441">
        <v>1</v>
      </c>
      <c r="B182" s="827" t="s">
        <v>61</v>
      </c>
      <c r="C182" s="822" t="s">
        <v>76</v>
      </c>
      <c r="D182" s="822">
        <f>10*9571.2</f>
        <v>95712</v>
      </c>
      <c r="E182" s="859" t="e">
        <f>单价汇总表!D6/100+单价汇总表!#REF!/100*0.85</f>
        <v>#REF!</v>
      </c>
      <c r="F182" s="824" t="e">
        <f t="shared" ref="F182:F185" si="24">D182*E182</f>
        <v>#REF!</v>
      </c>
      <c r="G182" s="819"/>
    </row>
    <row r="183" ht="39" customHeight="1" spans="1:7">
      <c r="A183" s="441">
        <v>2</v>
      </c>
      <c r="B183" s="827" t="s">
        <v>63</v>
      </c>
      <c r="C183" s="822" t="s">
        <v>76</v>
      </c>
      <c r="D183" s="822">
        <v>77606</v>
      </c>
      <c r="E183" s="823">
        <f>单价汇总表!D10/100</f>
        <v>6.31435138821432</v>
      </c>
      <c r="F183" s="824">
        <f t="shared" si="24"/>
        <v>490031.55383376</v>
      </c>
      <c r="G183" s="819" t="s">
        <v>168</v>
      </c>
    </row>
    <row r="184" s="782" customFormat="1" ht="18.6" customHeight="1" spans="1:7">
      <c r="A184" s="812">
        <v>3</v>
      </c>
      <c r="B184" s="806" t="s">
        <v>169</v>
      </c>
      <c r="C184" s="812"/>
      <c r="D184" s="812"/>
      <c r="E184" s="812"/>
      <c r="F184" s="805" t="e">
        <f>F185</f>
        <v>#REF!</v>
      </c>
      <c r="G184" s="800"/>
    </row>
    <row r="185" s="782" customFormat="1" ht="24.95" customHeight="1" spans="1:7">
      <c r="A185" s="812"/>
      <c r="B185" s="858" t="s">
        <v>170</v>
      </c>
      <c r="C185" s="861" t="s">
        <v>76</v>
      </c>
      <c r="D185" s="862">
        <v>48714</v>
      </c>
      <c r="E185" s="798" t="e">
        <f>新定额单价!L292/100+材料预算价!#REF!*1.09+单价汇总表!#REF!/100</f>
        <v>#REF!</v>
      </c>
      <c r="F185" s="805" t="e">
        <f t="shared" si="24"/>
        <v>#REF!</v>
      </c>
      <c r="G185" s="865" t="s">
        <v>171</v>
      </c>
    </row>
    <row r="186" s="782" customFormat="1" ht="18.6" customHeight="1" spans="1:7">
      <c r="A186" s="814" t="s">
        <v>102</v>
      </c>
      <c r="B186" s="866" t="s">
        <v>172</v>
      </c>
      <c r="C186" s="867"/>
      <c r="D186" s="868"/>
      <c r="E186" s="868"/>
      <c r="F186" s="809">
        <f>F187+F196+F205</f>
        <v>10758897.44</v>
      </c>
      <c r="G186" s="814"/>
    </row>
    <row r="187" s="783" customFormat="1" ht="18.6" customHeight="1" spans="1:7">
      <c r="A187" s="795">
        <v>1.1</v>
      </c>
      <c r="B187" s="869" t="s">
        <v>173</v>
      </c>
      <c r="C187" s="870"/>
      <c r="D187" s="871"/>
      <c r="E187" s="872"/>
      <c r="F187" s="873">
        <f>SUM(F188:F195)</f>
        <v>5506869.82</v>
      </c>
      <c r="G187" s="874"/>
    </row>
    <row r="188" s="783" customFormat="1" ht="18.6" customHeight="1" spans="1:7">
      <c r="A188" s="875"/>
      <c r="B188" s="876" t="s">
        <v>174</v>
      </c>
      <c r="C188" s="877" t="s">
        <v>175</v>
      </c>
      <c r="D188" s="878">
        <v>1187700</v>
      </c>
      <c r="E188" s="871">
        <f>绿化主材价格表!D3</f>
        <v>0.78</v>
      </c>
      <c r="F188" s="878">
        <f t="shared" ref="F188:F195" si="25">ROUND(D188*E188,2)</f>
        <v>926406</v>
      </c>
      <c r="G188" s="879"/>
    </row>
    <row r="189" s="783" customFormat="1" ht="18.6" customHeight="1" spans="1:7">
      <c r="A189" s="875"/>
      <c r="B189" s="876" t="s">
        <v>176</v>
      </c>
      <c r="C189" s="877" t="s">
        <v>175</v>
      </c>
      <c r="D189" s="878">
        <v>1512684</v>
      </c>
      <c r="E189" s="871">
        <f>绿化主材价格表!D4</f>
        <v>0.78</v>
      </c>
      <c r="F189" s="878">
        <f t="shared" si="25"/>
        <v>1179893.52</v>
      </c>
      <c r="G189" s="879"/>
    </row>
    <row r="190" s="783" customFormat="1" ht="18.6" customHeight="1" spans="1:7">
      <c r="A190" s="875"/>
      <c r="B190" s="880" t="s">
        <v>177</v>
      </c>
      <c r="C190" s="877" t="s">
        <v>175</v>
      </c>
      <c r="D190" s="878">
        <v>1169050</v>
      </c>
      <c r="E190" s="871">
        <f>绿化主材价格表!D6</f>
        <v>0.78</v>
      </c>
      <c r="F190" s="878">
        <f t="shared" si="25"/>
        <v>911859</v>
      </c>
      <c r="G190" s="879"/>
    </row>
    <row r="191" s="783" customFormat="1" ht="18.6" customHeight="1" spans="1:7">
      <c r="A191" s="875"/>
      <c r="B191" s="880" t="s">
        <v>178</v>
      </c>
      <c r="C191" s="877" t="s">
        <v>175</v>
      </c>
      <c r="D191" s="878">
        <v>967450</v>
      </c>
      <c r="E191" s="871">
        <f>绿化主材价格表!D7</f>
        <v>0.78</v>
      </c>
      <c r="F191" s="878">
        <f t="shared" si="25"/>
        <v>754611</v>
      </c>
      <c r="G191" s="879"/>
    </row>
    <row r="192" s="783" customFormat="1" ht="18.6" customHeight="1" spans="1:7">
      <c r="A192" s="875"/>
      <c r="B192" s="876" t="s">
        <v>179</v>
      </c>
      <c r="C192" s="877" t="s">
        <v>175</v>
      </c>
      <c r="D192" s="878">
        <v>72528</v>
      </c>
      <c r="E192" s="871">
        <f>绿化主材价格表!D8</f>
        <v>7.85</v>
      </c>
      <c r="F192" s="878">
        <f t="shared" si="25"/>
        <v>569344.8</v>
      </c>
      <c r="G192" s="879"/>
    </row>
    <row r="193" s="783" customFormat="1" ht="18.6" customHeight="1" spans="1:7">
      <c r="A193" s="875"/>
      <c r="B193" s="881" t="s">
        <v>180</v>
      </c>
      <c r="C193" s="882" t="s">
        <v>175</v>
      </c>
      <c r="D193" s="878">
        <v>489250</v>
      </c>
      <c r="E193" s="871">
        <f>绿化主材价格表!D9</f>
        <v>0.78</v>
      </c>
      <c r="F193" s="878">
        <f t="shared" si="25"/>
        <v>381615</v>
      </c>
      <c r="G193" s="883"/>
    </row>
    <row r="194" s="783" customFormat="1" ht="18.6" customHeight="1" spans="1:7">
      <c r="A194" s="875"/>
      <c r="B194" s="876" t="s">
        <v>181</v>
      </c>
      <c r="C194" s="877" t="s">
        <v>182</v>
      </c>
      <c r="D194" s="878">
        <v>771975</v>
      </c>
      <c r="E194" s="871">
        <f>绿化主材价格表!D10</f>
        <v>0.78</v>
      </c>
      <c r="F194" s="878">
        <f t="shared" si="25"/>
        <v>602140.5</v>
      </c>
      <c r="G194" s="879"/>
    </row>
    <row r="195" s="783" customFormat="1" ht="18.6" customHeight="1" spans="1:7">
      <c r="A195" s="875"/>
      <c r="B195" s="876" t="s">
        <v>183</v>
      </c>
      <c r="C195" s="877" t="s">
        <v>184</v>
      </c>
      <c r="D195" s="878">
        <v>7240</v>
      </c>
      <c r="E195" s="871">
        <v>25</v>
      </c>
      <c r="F195" s="878">
        <f t="shared" si="25"/>
        <v>181000</v>
      </c>
      <c r="G195" s="879"/>
    </row>
    <row r="196" s="783" customFormat="1" ht="18.6" customHeight="1" spans="1:7">
      <c r="A196" s="795">
        <v>1.2</v>
      </c>
      <c r="B196" s="869" t="s">
        <v>185</v>
      </c>
      <c r="C196" s="877"/>
      <c r="D196" s="871"/>
      <c r="E196" s="872"/>
      <c r="F196" s="884">
        <f>SUM(F197:F204)</f>
        <v>1528782.96</v>
      </c>
      <c r="G196" s="874"/>
    </row>
    <row r="197" s="783" customFormat="1" ht="18.6" customHeight="1" spans="1:7">
      <c r="A197" s="885"/>
      <c r="B197" s="876" t="s">
        <v>174</v>
      </c>
      <c r="C197" s="877" t="s">
        <v>175</v>
      </c>
      <c r="D197" s="878">
        <f t="shared" ref="D197:D204" si="26">D188</f>
        <v>1187700</v>
      </c>
      <c r="E197" s="886">
        <f>'绿化单价汇总 '!D5</f>
        <v>0.24</v>
      </c>
      <c r="F197" s="878">
        <f t="shared" ref="F197:F204" si="27">ROUND(D197*E197,2)</f>
        <v>285048</v>
      </c>
      <c r="G197" s="879"/>
    </row>
    <row r="198" s="783" customFormat="1" ht="18.6" customHeight="1" spans="1:7">
      <c r="A198" s="885"/>
      <c r="B198" s="876" t="s">
        <v>176</v>
      </c>
      <c r="C198" s="877" t="s">
        <v>175</v>
      </c>
      <c r="D198" s="878">
        <f t="shared" si="26"/>
        <v>1512684</v>
      </c>
      <c r="E198" s="886">
        <f>'绿化单价汇总 '!D6</f>
        <v>0.24</v>
      </c>
      <c r="F198" s="878">
        <f t="shared" si="27"/>
        <v>363044.16</v>
      </c>
      <c r="G198" s="879"/>
    </row>
    <row r="199" s="783" customFormat="1" ht="18.6" customHeight="1" spans="1:7">
      <c r="A199" s="885"/>
      <c r="B199" s="880" t="s">
        <v>177</v>
      </c>
      <c r="C199" s="877" t="s">
        <v>175</v>
      </c>
      <c r="D199" s="878">
        <f t="shared" si="26"/>
        <v>1169050</v>
      </c>
      <c r="E199" s="886">
        <f>'绿化单价汇总 '!D9</f>
        <v>0.24</v>
      </c>
      <c r="F199" s="878">
        <f t="shared" si="27"/>
        <v>280572</v>
      </c>
      <c r="G199" s="879"/>
    </row>
    <row r="200" s="783" customFormat="1" ht="18.6" customHeight="1" spans="1:7">
      <c r="A200" s="885"/>
      <c r="B200" s="880" t="s">
        <v>178</v>
      </c>
      <c r="C200" s="877" t="s">
        <v>175</v>
      </c>
      <c r="D200" s="878">
        <f t="shared" si="26"/>
        <v>967450</v>
      </c>
      <c r="E200" s="886">
        <f>'绿化单价汇总 '!D10</f>
        <v>0.24</v>
      </c>
      <c r="F200" s="878">
        <f t="shared" si="27"/>
        <v>232188</v>
      </c>
      <c r="G200" s="879"/>
    </row>
    <row r="201" s="783" customFormat="1" ht="18.6" customHeight="1" spans="1:7">
      <c r="A201" s="885"/>
      <c r="B201" s="876" t="s">
        <v>179</v>
      </c>
      <c r="C201" s="877" t="s">
        <v>175</v>
      </c>
      <c r="D201" s="878">
        <f t="shared" si="26"/>
        <v>72528</v>
      </c>
      <c r="E201" s="886">
        <f>'绿化单价汇总 '!D11</f>
        <v>0.6</v>
      </c>
      <c r="F201" s="878">
        <f t="shared" si="27"/>
        <v>43516.8</v>
      </c>
      <c r="G201" s="879"/>
    </row>
    <row r="202" s="784" customFormat="1" ht="18.6" customHeight="1" spans="1:16370">
      <c r="A202" s="885"/>
      <c r="B202" s="880" t="str">
        <f>B193</f>
        <v>狐尾藻</v>
      </c>
      <c r="C202" s="882" t="s">
        <v>175</v>
      </c>
      <c r="D202" s="878">
        <f t="shared" si="26"/>
        <v>489250</v>
      </c>
      <c r="E202" s="886">
        <f>E200</f>
        <v>0.24</v>
      </c>
      <c r="F202" s="878">
        <f t="shared" si="27"/>
        <v>117420</v>
      </c>
      <c r="G202" s="883"/>
      <c r="XEK202" s="783"/>
      <c r="XEL202" s="783"/>
      <c r="XEM202" s="783"/>
      <c r="XEN202" s="783"/>
      <c r="XEO202" s="783"/>
      <c r="XEP202" s="783"/>
    </row>
    <row r="203" s="783" customFormat="1" ht="18.6" customHeight="1" spans="1:7">
      <c r="A203" s="885"/>
      <c r="B203" s="876" t="s">
        <v>181</v>
      </c>
      <c r="C203" s="877" t="s">
        <v>182</v>
      </c>
      <c r="D203" s="878">
        <f t="shared" si="26"/>
        <v>771975</v>
      </c>
      <c r="E203" s="886">
        <f>E200</f>
        <v>0.24</v>
      </c>
      <c r="F203" s="878">
        <f t="shared" si="27"/>
        <v>185274</v>
      </c>
      <c r="G203" s="879"/>
    </row>
    <row r="204" s="783" customFormat="1" ht="18.6" customHeight="1" spans="1:7">
      <c r="A204" s="885"/>
      <c r="B204" s="876" t="str">
        <f>B195</f>
        <v>生态岛播撒草籽</v>
      </c>
      <c r="C204" s="877" t="str">
        <f>C195</f>
        <v>kg</v>
      </c>
      <c r="D204" s="878">
        <f t="shared" si="26"/>
        <v>7240</v>
      </c>
      <c r="E204" s="886">
        <v>3</v>
      </c>
      <c r="F204" s="878">
        <f t="shared" si="27"/>
        <v>21720</v>
      </c>
      <c r="G204" s="879"/>
    </row>
    <row r="205" s="783" customFormat="1" ht="18.6" customHeight="1" spans="1:7">
      <c r="A205" s="795">
        <v>1.3</v>
      </c>
      <c r="B205" s="869" t="s">
        <v>186</v>
      </c>
      <c r="C205" s="877"/>
      <c r="D205" s="871"/>
      <c r="E205" s="872"/>
      <c r="F205" s="884">
        <f>SUM(F206:F213)</f>
        <v>3723244.66</v>
      </c>
      <c r="G205" s="874"/>
    </row>
    <row r="206" s="783" customFormat="1" ht="18.6" customHeight="1" spans="1:7">
      <c r="A206" s="875"/>
      <c r="B206" s="876" t="s">
        <v>174</v>
      </c>
      <c r="C206" s="877" t="s">
        <v>175</v>
      </c>
      <c r="D206" s="878">
        <f t="shared" ref="D206:D213" si="28">D197</f>
        <v>1187700</v>
      </c>
      <c r="E206" s="886">
        <f>'绿化单价汇总 '!D41+'绿化单价汇总 '!D41*2*0.7+'绿化单价汇总 '!D41*9*0.4</f>
        <v>0.6</v>
      </c>
      <c r="F206" s="878">
        <f t="shared" ref="F206:F213" si="29">ROUND(D206*E206,2)</f>
        <v>712620</v>
      </c>
      <c r="G206" s="879"/>
    </row>
    <row r="207" s="783" customFormat="1" ht="18.6" customHeight="1" spans="1:7">
      <c r="A207" s="875"/>
      <c r="B207" s="876" t="s">
        <v>176</v>
      </c>
      <c r="C207" s="877" t="s">
        <v>175</v>
      </c>
      <c r="D207" s="878">
        <f t="shared" si="28"/>
        <v>1512684</v>
      </c>
      <c r="E207" s="886">
        <f t="shared" ref="E207:E209" si="30">E206</f>
        <v>0.6</v>
      </c>
      <c r="F207" s="878">
        <f t="shared" si="29"/>
        <v>907610.4</v>
      </c>
      <c r="G207" s="879"/>
    </row>
    <row r="208" s="783" customFormat="1" ht="18.6" customHeight="1" spans="1:7">
      <c r="A208" s="875"/>
      <c r="B208" s="880" t="s">
        <v>177</v>
      </c>
      <c r="C208" s="877" t="s">
        <v>175</v>
      </c>
      <c r="D208" s="878">
        <f t="shared" si="28"/>
        <v>1169050</v>
      </c>
      <c r="E208" s="886">
        <f t="shared" si="30"/>
        <v>0.6</v>
      </c>
      <c r="F208" s="878">
        <f t="shared" si="29"/>
        <v>701430</v>
      </c>
      <c r="G208" s="879"/>
    </row>
    <row r="209" s="783" customFormat="1" ht="18.6" customHeight="1" spans="1:7">
      <c r="A209" s="875"/>
      <c r="B209" s="880" t="s">
        <v>178</v>
      </c>
      <c r="C209" s="877" t="s">
        <v>175</v>
      </c>
      <c r="D209" s="878">
        <f t="shared" si="28"/>
        <v>967450</v>
      </c>
      <c r="E209" s="886">
        <f t="shared" si="30"/>
        <v>0.6</v>
      </c>
      <c r="F209" s="878">
        <f t="shared" si="29"/>
        <v>580470</v>
      </c>
      <c r="G209" s="879"/>
    </row>
    <row r="210" s="783" customFormat="1" ht="18.6" customHeight="1" spans="1:7">
      <c r="A210" s="875"/>
      <c r="B210" s="876" t="s">
        <v>179</v>
      </c>
      <c r="C210" s="877" t="s">
        <v>175</v>
      </c>
      <c r="D210" s="878">
        <f t="shared" si="28"/>
        <v>72528</v>
      </c>
      <c r="E210" s="886">
        <f>'绿化单价汇总 '!D16+'绿化单价汇总 '!D16*11*0.3</f>
        <v>0.688</v>
      </c>
      <c r="F210" s="878">
        <f t="shared" si="29"/>
        <v>49899.26</v>
      </c>
      <c r="G210" s="879"/>
    </row>
    <row r="211" s="784" customFormat="1" ht="18.6" customHeight="1" spans="1:16370">
      <c r="A211" s="875"/>
      <c r="B211" s="880" t="str">
        <f>B202</f>
        <v>狐尾藻</v>
      </c>
      <c r="C211" s="882" t="s">
        <v>175</v>
      </c>
      <c r="D211" s="878">
        <f t="shared" si="28"/>
        <v>489250</v>
      </c>
      <c r="E211" s="886">
        <f>E209</f>
        <v>0.6</v>
      </c>
      <c r="F211" s="878">
        <f t="shared" si="29"/>
        <v>293550</v>
      </c>
      <c r="G211" s="883"/>
      <c r="XEK211" s="783"/>
      <c r="XEL211" s="783"/>
      <c r="XEM211" s="783"/>
      <c r="XEN211" s="783"/>
      <c r="XEO211" s="783"/>
      <c r="XEP211" s="783"/>
    </row>
    <row r="212" s="783" customFormat="1" ht="18.6" customHeight="1" spans="1:7">
      <c r="A212" s="875"/>
      <c r="B212" s="876" t="s">
        <v>181</v>
      </c>
      <c r="C212" s="877" t="s">
        <v>182</v>
      </c>
      <c r="D212" s="878">
        <f t="shared" si="28"/>
        <v>771975</v>
      </c>
      <c r="E212" s="886">
        <f>E211</f>
        <v>0.6</v>
      </c>
      <c r="F212" s="878">
        <f t="shared" si="29"/>
        <v>463185</v>
      </c>
      <c r="G212" s="879"/>
    </row>
    <row r="213" s="783" customFormat="1" ht="18.6" customHeight="1" spans="1:7">
      <c r="A213" s="875"/>
      <c r="B213" s="876" t="str">
        <f>B204</f>
        <v>生态岛播撒草籽</v>
      </c>
      <c r="C213" s="877" t="str">
        <f>C204</f>
        <v>kg</v>
      </c>
      <c r="D213" s="878">
        <f t="shared" si="28"/>
        <v>7240</v>
      </c>
      <c r="E213" s="886">
        <v>2</v>
      </c>
      <c r="F213" s="878">
        <f t="shared" si="29"/>
        <v>14480</v>
      </c>
      <c r="G213" s="879"/>
    </row>
    <row r="214" ht="18.6" customHeight="1" spans="1:7">
      <c r="A214" s="819" t="s">
        <v>70</v>
      </c>
      <c r="B214" s="820" t="s">
        <v>187</v>
      </c>
      <c r="C214" s="819"/>
      <c r="D214" s="819"/>
      <c r="E214" s="819"/>
      <c r="F214" s="821" t="e">
        <f>SUM(F215:F225)</f>
        <v>#REF!</v>
      </c>
      <c r="G214" s="819"/>
    </row>
    <row r="215" ht="18.6" customHeight="1" spans="1:7">
      <c r="A215" s="839"/>
      <c r="B215" s="840" t="s">
        <v>61</v>
      </c>
      <c r="C215" s="841" t="s">
        <v>76</v>
      </c>
      <c r="D215" s="849">
        <f>10*0.8118+D216</f>
        <v>81.178</v>
      </c>
      <c r="E215" s="842">
        <f>E157</f>
        <v>5.8</v>
      </c>
      <c r="F215" s="843"/>
      <c r="G215" s="839"/>
    </row>
    <row r="216" ht="45.95" customHeight="1" spans="1:7">
      <c r="A216" s="839"/>
      <c r="B216" s="840" t="s">
        <v>188</v>
      </c>
      <c r="C216" s="841" t="s">
        <v>76</v>
      </c>
      <c r="D216" s="841">
        <f>100*0.7306</f>
        <v>73.06</v>
      </c>
      <c r="E216" s="842">
        <f>E115</f>
        <v>5.8</v>
      </c>
      <c r="F216" s="843"/>
      <c r="G216" s="839"/>
    </row>
    <row r="217" ht="25.9" customHeight="1" spans="1:7">
      <c r="A217" s="441"/>
      <c r="B217" s="827" t="s">
        <v>189</v>
      </c>
      <c r="C217" s="822" t="s">
        <v>76</v>
      </c>
      <c r="D217" s="822">
        <f>10*8.118</f>
        <v>81.18</v>
      </c>
      <c r="E217" s="798">
        <f>单价汇总表!D8/100</f>
        <v>12.3309153919751</v>
      </c>
      <c r="F217" s="824">
        <f t="shared" ref="F217:F225" si="31">D217*E217</f>
        <v>1001.02371152054</v>
      </c>
      <c r="G217" s="441"/>
    </row>
    <row r="218" ht="18.6" customHeight="1" spans="1:7">
      <c r="A218" s="812"/>
      <c r="B218" s="858" t="s">
        <v>190</v>
      </c>
      <c r="C218" s="861" t="s">
        <v>88</v>
      </c>
      <c r="D218" s="822">
        <f>100*0.75</f>
        <v>75</v>
      </c>
      <c r="E218" s="845">
        <f>单价汇总表!D10/100*0.3</f>
        <v>1.8943054164643</v>
      </c>
      <c r="F218" s="824">
        <f t="shared" si="31"/>
        <v>142.072906234822</v>
      </c>
      <c r="G218" s="441"/>
    </row>
    <row r="219" ht="18.6" customHeight="1" spans="1:7">
      <c r="A219" s="441"/>
      <c r="B219" s="827" t="s">
        <v>191</v>
      </c>
      <c r="C219" s="822" t="s">
        <v>88</v>
      </c>
      <c r="D219" s="822">
        <f>100*0.225</f>
        <v>22.5</v>
      </c>
      <c r="E219" s="844">
        <f>单价汇总表!D16/1000</f>
        <v>20.0328972549866</v>
      </c>
      <c r="F219" s="824">
        <f t="shared" si="31"/>
        <v>450.740188237199</v>
      </c>
      <c r="G219" s="441"/>
    </row>
    <row r="220" ht="18.6" customHeight="1" spans="1:7">
      <c r="A220" s="441"/>
      <c r="B220" s="827" t="s">
        <v>148</v>
      </c>
      <c r="C220" s="822" t="s">
        <v>76</v>
      </c>
      <c r="D220" s="822">
        <f>10*0.75</f>
        <v>7.5</v>
      </c>
      <c r="E220" s="844">
        <f>单价汇总表!D19/100</f>
        <v>491.881744284308</v>
      </c>
      <c r="F220" s="824">
        <f t="shared" si="31"/>
        <v>3689.11308213231</v>
      </c>
      <c r="G220" s="441"/>
    </row>
    <row r="221" ht="18.6" customHeight="1" spans="1:7">
      <c r="A221" s="441"/>
      <c r="B221" s="827" t="s">
        <v>192</v>
      </c>
      <c r="C221" s="822" t="s">
        <v>76</v>
      </c>
      <c r="D221" s="822">
        <f>10*0.828</f>
        <v>8.28</v>
      </c>
      <c r="E221" s="798" t="e">
        <f>单价汇总表!#REF!/100</f>
        <v>#REF!</v>
      </c>
      <c r="F221" s="824" t="e">
        <f t="shared" si="31"/>
        <v>#REF!</v>
      </c>
      <c r="G221" s="441"/>
    </row>
    <row r="222" ht="18.6" customHeight="1" spans="1:7">
      <c r="A222" s="441"/>
      <c r="B222" s="827" t="str">
        <f>B122</f>
        <v>钢筋制安</v>
      </c>
      <c r="C222" s="822" t="s">
        <v>69</v>
      </c>
      <c r="D222" s="822">
        <v>0.6952</v>
      </c>
      <c r="E222" s="844">
        <f>E122</f>
        <v>6220.99382408393</v>
      </c>
      <c r="F222" s="824">
        <f t="shared" si="31"/>
        <v>4324.83490650315</v>
      </c>
      <c r="G222" s="441"/>
    </row>
    <row r="223" ht="18.6" customHeight="1" spans="1:7">
      <c r="A223" s="441"/>
      <c r="B223" s="827" t="s">
        <v>193</v>
      </c>
      <c r="C223" s="822" t="s">
        <v>76</v>
      </c>
      <c r="D223" s="822">
        <f>10*3.45</f>
        <v>34.5</v>
      </c>
      <c r="E223" s="844" t="e">
        <f>单价汇总表!#REF!/100</f>
        <v>#REF!</v>
      </c>
      <c r="F223" s="824" t="e">
        <f t="shared" si="31"/>
        <v>#REF!</v>
      </c>
      <c r="G223" s="441"/>
    </row>
    <row r="224" ht="18.6" customHeight="1" spans="1:7">
      <c r="A224" s="441"/>
      <c r="B224" s="827" t="s">
        <v>194</v>
      </c>
      <c r="C224" s="822" t="s">
        <v>88</v>
      </c>
      <c r="D224" s="822">
        <f>100*1.18</f>
        <v>118</v>
      </c>
      <c r="E224" s="887">
        <v>150</v>
      </c>
      <c r="F224" s="824">
        <f t="shared" si="31"/>
        <v>17700</v>
      </c>
      <c r="G224" s="441"/>
    </row>
    <row r="225" ht="18.6" customHeight="1" spans="1:7">
      <c r="A225" s="441"/>
      <c r="B225" s="827" t="s">
        <v>195</v>
      </c>
      <c r="C225" s="822" t="s">
        <v>88</v>
      </c>
      <c r="D225" s="822">
        <v>120.36</v>
      </c>
      <c r="E225" s="844">
        <v>185</v>
      </c>
      <c r="F225" s="824">
        <f t="shared" si="31"/>
        <v>22266.6</v>
      </c>
      <c r="G225" s="441"/>
    </row>
    <row r="226" ht="18.6" customHeight="1" spans="1:7">
      <c r="A226" s="819" t="s">
        <v>93</v>
      </c>
      <c r="B226" s="820" t="s">
        <v>196</v>
      </c>
      <c r="C226" s="819"/>
      <c r="D226" s="819"/>
      <c r="E226" s="819"/>
      <c r="F226" s="821" t="e">
        <f>SUM(F227:F230)</f>
        <v>#REF!</v>
      </c>
      <c r="G226" s="819"/>
    </row>
    <row r="227" ht="18.6" customHeight="1" spans="1:7">
      <c r="A227" s="441"/>
      <c r="B227" s="827" t="s">
        <v>197</v>
      </c>
      <c r="C227" s="822" t="s">
        <v>88</v>
      </c>
      <c r="D227" s="888">
        <f>26.1*1000</f>
        <v>26100</v>
      </c>
      <c r="E227" s="825" t="e">
        <f>单价汇总表!#REF!/100</f>
        <v>#REF!</v>
      </c>
      <c r="F227" s="824" t="e">
        <f t="shared" ref="F227:F230" si="32">D227*E227</f>
        <v>#REF!</v>
      </c>
      <c r="G227" s="441"/>
    </row>
    <row r="228" ht="18.6" customHeight="1" spans="1:7">
      <c r="A228" s="889"/>
      <c r="B228" s="890" t="s">
        <v>198</v>
      </c>
      <c r="C228" s="891" t="s">
        <v>76</v>
      </c>
      <c r="D228" s="892">
        <v>7830</v>
      </c>
      <c r="E228" s="893" t="e">
        <f>单价汇总表!#REF!/100</f>
        <v>#REF!</v>
      </c>
      <c r="F228" s="894" t="e">
        <f t="shared" si="32"/>
        <v>#REF!</v>
      </c>
      <c r="G228" s="889" t="s">
        <v>199</v>
      </c>
    </row>
    <row r="229" ht="18.6" customHeight="1" spans="1:7">
      <c r="A229" s="889"/>
      <c r="B229" s="890" t="s">
        <v>200</v>
      </c>
      <c r="C229" s="891" t="s">
        <v>76</v>
      </c>
      <c r="D229" s="892">
        <v>7830</v>
      </c>
      <c r="E229" s="893" t="e">
        <f>单价汇总表!#REF!/100</f>
        <v>#REF!</v>
      </c>
      <c r="F229" s="894" t="e">
        <f t="shared" si="32"/>
        <v>#REF!</v>
      </c>
      <c r="G229" s="889"/>
    </row>
    <row r="230" ht="18.6" customHeight="1" spans="1:7">
      <c r="A230" s="895"/>
      <c r="B230" s="896" t="s">
        <v>201</v>
      </c>
      <c r="C230" s="897" t="s">
        <v>202</v>
      </c>
      <c r="D230" s="898">
        <v>7830</v>
      </c>
      <c r="E230" s="897">
        <v>180</v>
      </c>
      <c r="F230" s="899">
        <f t="shared" si="32"/>
        <v>1409400</v>
      </c>
      <c r="G230" s="895"/>
    </row>
    <row r="231" ht="18.6" customHeight="1" spans="1:7">
      <c r="A231" s="819" t="s">
        <v>99</v>
      </c>
      <c r="B231" s="820" t="s">
        <v>203</v>
      </c>
      <c r="C231" s="819"/>
      <c r="D231" s="819"/>
      <c r="E231" s="819"/>
      <c r="F231" s="821" t="e">
        <f>SUM(F232:F236)</f>
        <v>#REF!</v>
      </c>
      <c r="G231" s="441"/>
    </row>
    <row r="232" ht="18.6" customHeight="1" spans="1:7">
      <c r="A232" s="441"/>
      <c r="B232" s="827" t="s">
        <v>204</v>
      </c>
      <c r="C232" s="822" t="s">
        <v>76</v>
      </c>
      <c r="D232" s="823">
        <v>149.8</v>
      </c>
      <c r="E232" s="859" t="e">
        <f>单价汇总表!#REF!/100</f>
        <v>#REF!</v>
      </c>
      <c r="F232" s="824" t="e">
        <f t="shared" ref="F232:F236" si="33">D232*E232</f>
        <v>#REF!</v>
      </c>
      <c r="G232" s="822"/>
    </row>
    <row r="233" ht="18.6" customHeight="1" spans="1:7">
      <c r="A233" s="900"/>
      <c r="B233" s="901" t="s">
        <v>192</v>
      </c>
      <c r="C233" s="902" t="s">
        <v>76</v>
      </c>
      <c r="D233" s="903">
        <v>586.1</v>
      </c>
      <c r="E233" s="903">
        <f>E162</f>
        <v>698.819570249818</v>
      </c>
      <c r="F233" s="904">
        <f t="shared" si="33"/>
        <v>409578.150123418</v>
      </c>
      <c r="G233" s="902"/>
    </row>
    <row r="234" ht="33.95" customHeight="1" spans="1:7">
      <c r="A234" s="441"/>
      <c r="B234" s="827" t="s">
        <v>205</v>
      </c>
      <c r="C234" s="822" t="s">
        <v>69</v>
      </c>
      <c r="D234" s="823">
        <v>12.206</v>
      </c>
      <c r="E234" s="823">
        <f>单价汇总表!D14</f>
        <v>6220.99382408393</v>
      </c>
      <c r="F234" s="824">
        <f t="shared" si="33"/>
        <v>75933.4506167684</v>
      </c>
      <c r="G234" s="822"/>
    </row>
    <row r="235" ht="20.45" customHeight="1" spans="1:7">
      <c r="A235" s="441"/>
      <c r="B235" s="827" t="s">
        <v>206</v>
      </c>
      <c r="C235" s="822" t="s">
        <v>88</v>
      </c>
      <c r="D235" s="823">
        <f>122.544*100</f>
        <v>12254.4</v>
      </c>
      <c r="E235" s="823" t="e">
        <f>材料预算价!#REF!*1.09</f>
        <v>#REF!</v>
      </c>
      <c r="F235" s="824" t="e">
        <f t="shared" si="33"/>
        <v>#REF!</v>
      </c>
      <c r="G235" s="822"/>
    </row>
    <row r="236" ht="18.6" customHeight="1" spans="1:7">
      <c r="A236" s="889"/>
      <c r="B236" s="890" t="s">
        <v>207</v>
      </c>
      <c r="C236" s="891" t="s">
        <v>76</v>
      </c>
      <c r="D236" s="893">
        <v>2397.6</v>
      </c>
      <c r="E236" s="893" t="e">
        <f>单价汇总表!#REF!/100</f>
        <v>#REF!</v>
      </c>
      <c r="F236" s="894" t="e">
        <f t="shared" si="33"/>
        <v>#REF!</v>
      </c>
      <c r="G236" s="889" t="s">
        <v>199</v>
      </c>
    </row>
    <row r="237" ht="18.6" customHeight="1" spans="1:7">
      <c r="A237" s="819" t="s">
        <v>106</v>
      </c>
      <c r="B237" s="820" t="s">
        <v>208</v>
      </c>
      <c r="C237" s="819"/>
      <c r="D237" s="819"/>
      <c r="E237" s="850"/>
      <c r="F237" s="821" t="e">
        <f>F238+F239</f>
        <v>#REF!</v>
      </c>
      <c r="G237" s="819"/>
    </row>
    <row r="238" ht="18.6" customHeight="1" spans="1:7">
      <c r="A238" s="441"/>
      <c r="B238" s="827" t="s">
        <v>209</v>
      </c>
      <c r="C238" s="822" t="s">
        <v>88</v>
      </c>
      <c r="D238" s="822">
        <f>100*174.8</f>
        <v>17480</v>
      </c>
      <c r="E238" s="845" t="e">
        <f>单价汇总表!#REF!/100*0.3</f>
        <v>#REF!</v>
      </c>
      <c r="F238" s="824" t="e">
        <f t="shared" ref="F238:F241" si="34">D238*E238</f>
        <v>#REF!</v>
      </c>
      <c r="G238" s="441"/>
    </row>
    <row r="239" ht="18.6" customHeight="1" spans="1:7">
      <c r="A239" s="441"/>
      <c r="B239" s="827" t="s">
        <v>210</v>
      </c>
      <c r="C239" s="822" t="s">
        <v>88</v>
      </c>
      <c r="D239" s="822">
        <f>100*173.45</f>
        <v>17345</v>
      </c>
      <c r="E239" s="798" t="e">
        <f>单价汇总表!#REF!/1000</f>
        <v>#REF!</v>
      </c>
      <c r="F239" s="824" t="e">
        <f t="shared" si="34"/>
        <v>#REF!</v>
      </c>
      <c r="G239" s="441"/>
    </row>
    <row r="240" ht="18.6" customHeight="1" spans="1:7">
      <c r="A240" s="819" t="s">
        <v>108</v>
      </c>
      <c r="B240" s="833" t="s">
        <v>211</v>
      </c>
      <c r="C240" s="834"/>
      <c r="D240" s="905"/>
      <c r="E240" s="905"/>
      <c r="F240" s="821">
        <f>SUM(F241:F241)</f>
        <v>186300</v>
      </c>
      <c r="G240" s="819"/>
    </row>
    <row r="241" ht="18.6" customHeight="1" spans="1:7">
      <c r="A241" s="441"/>
      <c r="B241" s="827" t="s">
        <v>212</v>
      </c>
      <c r="C241" s="441" t="s">
        <v>88</v>
      </c>
      <c r="D241" s="906">
        <v>62.1</v>
      </c>
      <c r="E241" s="907">
        <f t="shared" ref="E241:E246" si="35">E68</f>
        <v>3000</v>
      </c>
      <c r="F241" s="908">
        <f t="shared" si="34"/>
        <v>186300</v>
      </c>
      <c r="G241" s="822"/>
    </row>
    <row r="242" s="785" customFormat="1" ht="18.6" customHeight="1" spans="1:7">
      <c r="A242" s="819" t="s">
        <v>213</v>
      </c>
      <c r="B242" s="909" t="s">
        <v>109</v>
      </c>
      <c r="C242" s="819"/>
      <c r="D242" s="910"/>
      <c r="E242" s="910"/>
      <c r="F242" s="911" t="e">
        <f>SUM(F243:F246)</f>
        <v>#REF!</v>
      </c>
      <c r="G242" s="434"/>
    </row>
    <row r="243" s="785" customFormat="1" ht="18.6" customHeight="1" spans="1:7">
      <c r="A243" s="819"/>
      <c r="B243" s="912" t="s">
        <v>110</v>
      </c>
      <c r="C243" s="434" t="s">
        <v>76</v>
      </c>
      <c r="D243" s="434">
        <f>100*0.583/1060*940</f>
        <v>51.7</v>
      </c>
      <c r="E243" s="907" t="e">
        <f t="shared" si="35"/>
        <v>#REF!</v>
      </c>
      <c r="F243" s="908" t="e">
        <f t="shared" ref="F243:F246" si="36">D243*E243</f>
        <v>#REF!</v>
      </c>
      <c r="G243" s="434"/>
    </row>
    <row r="244" s="785" customFormat="1" ht="18.6" customHeight="1" spans="1:7">
      <c r="A244" s="819"/>
      <c r="B244" s="912" t="s">
        <v>111</v>
      </c>
      <c r="C244" s="434" t="s">
        <v>76</v>
      </c>
      <c r="D244" s="434">
        <f>10*52.47/1060*940</f>
        <v>465.3</v>
      </c>
      <c r="E244" s="907">
        <f t="shared" si="35"/>
        <v>2.85666121708846</v>
      </c>
      <c r="F244" s="908">
        <f t="shared" si="36"/>
        <v>1329.20446431126</v>
      </c>
      <c r="G244" s="434"/>
    </row>
    <row r="245" s="785" customFormat="1" ht="18.6" customHeight="1" spans="1:7">
      <c r="A245" s="819"/>
      <c r="B245" s="912" t="s">
        <v>112</v>
      </c>
      <c r="C245" s="434" t="s">
        <v>76</v>
      </c>
      <c r="D245" s="434">
        <f>100*1.749/1060*940</f>
        <v>155.1</v>
      </c>
      <c r="E245" s="907">
        <f t="shared" si="35"/>
        <v>21.7295909758467</v>
      </c>
      <c r="F245" s="908">
        <f t="shared" si="36"/>
        <v>3370.25956035383</v>
      </c>
      <c r="G245" s="434"/>
    </row>
    <row r="246" s="785" customFormat="1" ht="18.6" customHeight="1" spans="1:7">
      <c r="A246" s="819"/>
      <c r="B246" s="912" t="s">
        <v>113</v>
      </c>
      <c r="C246" s="434" t="s">
        <v>76</v>
      </c>
      <c r="D246" s="434">
        <f>100*4.081/1060*940</f>
        <v>361.9</v>
      </c>
      <c r="E246" s="907">
        <f t="shared" si="35"/>
        <v>6.31435138821432</v>
      </c>
      <c r="F246" s="908">
        <f t="shared" si="36"/>
        <v>2285.16376739476</v>
      </c>
      <c r="G246" s="434"/>
    </row>
    <row r="247" ht="18.6" customHeight="1" spans="1:7">
      <c r="A247" s="819" t="s">
        <v>214</v>
      </c>
      <c r="B247" s="820" t="s">
        <v>215</v>
      </c>
      <c r="C247" s="819"/>
      <c r="D247" s="819"/>
      <c r="E247" s="819"/>
      <c r="F247" s="821" t="e">
        <f>F248+F316</f>
        <v>#REF!</v>
      </c>
      <c r="G247" s="819"/>
    </row>
    <row r="248" ht="18.6" customHeight="1" spans="1:7">
      <c r="A248" s="819" t="s">
        <v>59</v>
      </c>
      <c r="B248" s="820" t="s">
        <v>216</v>
      </c>
      <c r="C248" s="819"/>
      <c r="D248" s="819"/>
      <c r="E248" s="819"/>
      <c r="F248" s="821" t="e">
        <f>F249+F252</f>
        <v>#REF!</v>
      </c>
      <c r="G248" s="819"/>
    </row>
    <row r="249" ht="18.6" customHeight="1" spans="1:7">
      <c r="A249" s="441">
        <v>1</v>
      </c>
      <c r="B249" s="792" t="s">
        <v>75</v>
      </c>
      <c r="C249" s="441"/>
      <c r="D249" s="441"/>
      <c r="E249" s="441"/>
      <c r="F249" s="824" t="e">
        <f>F250+F251</f>
        <v>#REF!</v>
      </c>
      <c r="G249" s="434"/>
    </row>
    <row r="250" ht="18.6" customHeight="1" spans="1:7">
      <c r="A250" s="889"/>
      <c r="B250" s="890" t="s">
        <v>170</v>
      </c>
      <c r="C250" s="891" t="s">
        <v>76</v>
      </c>
      <c r="D250" s="891">
        <f>10*390.83</f>
        <v>3908.3</v>
      </c>
      <c r="E250" s="913" t="e">
        <f>E185</f>
        <v>#REF!</v>
      </c>
      <c r="F250" s="894" t="e">
        <f>D250*E250</f>
        <v>#REF!</v>
      </c>
      <c r="G250" s="914" t="s">
        <v>217</v>
      </c>
    </row>
    <row r="251" ht="18.6" customHeight="1" spans="1:7">
      <c r="A251" s="889"/>
      <c r="B251" s="890" t="s">
        <v>170</v>
      </c>
      <c r="C251" s="891" t="s">
        <v>76</v>
      </c>
      <c r="D251" s="891">
        <f>10*3517.47</f>
        <v>35174.7</v>
      </c>
      <c r="E251" s="913" t="e">
        <f>E250</f>
        <v>#REF!</v>
      </c>
      <c r="F251" s="894" t="e">
        <f>D251*E251</f>
        <v>#REF!</v>
      </c>
      <c r="G251" s="914" t="s">
        <v>217</v>
      </c>
    </row>
    <row r="252" ht="18.6" customHeight="1" spans="1:7">
      <c r="A252" s="441">
        <v>2</v>
      </c>
      <c r="B252" s="792" t="s">
        <v>218</v>
      </c>
      <c r="C252" s="441"/>
      <c r="D252" s="441"/>
      <c r="E252" s="441"/>
      <c r="F252" s="824">
        <f>F253+F274+F295</f>
        <v>1893655.2</v>
      </c>
      <c r="G252" s="441"/>
    </row>
    <row r="253" s="786" customFormat="1" ht="18.6" customHeight="1" spans="1:7">
      <c r="A253" s="441">
        <v>2.1</v>
      </c>
      <c r="B253" s="915" t="s">
        <v>173</v>
      </c>
      <c r="C253" s="916"/>
      <c r="D253" s="917"/>
      <c r="E253" s="918"/>
      <c r="F253" s="919">
        <f>SUM(F254:F273)</f>
        <v>1242109.02</v>
      </c>
      <c r="G253" s="920"/>
    </row>
    <row r="254" s="430" customFormat="1" ht="18.6" customHeight="1" spans="1:16370">
      <c r="A254" s="920"/>
      <c r="B254" s="921" t="s">
        <v>219</v>
      </c>
      <c r="C254" s="916" t="s">
        <v>175</v>
      </c>
      <c r="D254" s="917">
        <v>130</v>
      </c>
      <c r="E254" s="918">
        <f>绿化主材价格表!D23</f>
        <v>302.75</v>
      </c>
      <c r="F254" s="922">
        <f t="shared" ref="F254:F273" si="37">ROUND(D254*E254,2)</f>
        <v>39357.5</v>
      </c>
      <c r="G254" s="920" t="s">
        <v>220</v>
      </c>
      <c r="XEK254" s="786"/>
      <c r="XEL254" s="786"/>
      <c r="XEM254" s="786"/>
      <c r="XEN254" s="786"/>
      <c r="XEO254" s="786"/>
      <c r="XEP254" s="786"/>
    </row>
    <row r="255" s="430" customFormat="1" ht="18.6" customHeight="1" spans="1:16370">
      <c r="A255" s="920"/>
      <c r="B255" s="921" t="s">
        <v>221</v>
      </c>
      <c r="C255" s="916" t="s">
        <v>175</v>
      </c>
      <c r="D255" s="917">
        <v>220</v>
      </c>
      <c r="E255" s="918">
        <f>绿化主材价格表!D24</f>
        <v>348.62</v>
      </c>
      <c r="F255" s="922">
        <f t="shared" si="37"/>
        <v>76696.4</v>
      </c>
      <c r="G255" s="920" t="s">
        <v>222</v>
      </c>
      <c r="XEK255" s="786"/>
      <c r="XEL255" s="786"/>
      <c r="XEM255" s="786"/>
      <c r="XEN255" s="786"/>
      <c r="XEO255" s="786"/>
      <c r="XEP255" s="786"/>
    </row>
    <row r="256" s="430" customFormat="1" ht="18.6" customHeight="1" spans="1:16370">
      <c r="A256" s="920"/>
      <c r="B256" s="921" t="s">
        <v>223</v>
      </c>
      <c r="C256" s="916" t="s">
        <v>175</v>
      </c>
      <c r="D256" s="917">
        <v>210</v>
      </c>
      <c r="E256" s="918">
        <f>绿化主材价格表!D25</f>
        <v>366.97</v>
      </c>
      <c r="F256" s="922">
        <f t="shared" si="37"/>
        <v>77063.7</v>
      </c>
      <c r="G256" s="920" t="s">
        <v>224</v>
      </c>
      <c r="XEK256" s="786"/>
      <c r="XEL256" s="786"/>
      <c r="XEM256" s="786"/>
      <c r="XEN256" s="786"/>
      <c r="XEO256" s="786"/>
      <c r="XEP256" s="786"/>
    </row>
    <row r="257" s="430" customFormat="1" ht="18.6" customHeight="1" spans="1:16370">
      <c r="A257" s="920"/>
      <c r="B257" s="921" t="s">
        <v>225</v>
      </c>
      <c r="C257" s="916" t="s">
        <v>175</v>
      </c>
      <c r="D257" s="917">
        <v>358</v>
      </c>
      <c r="E257" s="918">
        <f>绿化主材价格表!D26</f>
        <v>256.88</v>
      </c>
      <c r="F257" s="922">
        <f t="shared" si="37"/>
        <v>91963.04</v>
      </c>
      <c r="G257" s="920" t="s">
        <v>226</v>
      </c>
      <c r="XEK257" s="786"/>
      <c r="XEL257" s="786"/>
      <c r="XEM257" s="786"/>
      <c r="XEN257" s="786"/>
      <c r="XEO257" s="786"/>
      <c r="XEP257" s="786"/>
    </row>
    <row r="258" s="430" customFormat="1" ht="18.6" customHeight="1" spans="1:16370">
      <c r="A258" s="920"/>
      <c r="B258" s="921" t="s">
        <v>227</v>
      </c>
      <c r="C258" s="916" t="s">
        <v>175</v>
      </c>
      <c r="D258" s="917">
        <v>91</v>
      </c>
      <c r="E258" s="918">
        <f>绿化主材价格表!D27</f>
        <v>94.08</v>
      </c>
      <c r="F258" s="922">
        <f t="shared" si="37"/>
        <v>8561.28</v>
      </c>
      <c r="G258" s="920" t="s">
        <v>228</v>
      </c>
      <c r="XEK258" s="786"/>
      <c r="XEL258" s="786"/>
      <c r="XEM258" s="786"/>
      <c r="XEN258" s="786"/>
      <c r="XEO258" s="786"/>
      <c r="XEP258" s="786"/>
    </row>
    <row r="259" s="430" customFormat="1" ht="18.6" customHeight="1" spans="1:16370">
      <c r="A259" s="920"/>
      <c r="B259" s="921" t="s">
        <v>229</v>
      </c>
      <c r="C259" s="916" t="s">
        <v>175</v>
      </c>
      <c r="D259" s="917">
        <v>120</v>
      </c>
      <c r="E259" s="918">
        <f>绿化主材价格表!D28</f>
        <v>458.72</v>
      </c>
      <c r="F259" s="922">
        <f t="shared" si="37"/>
        <v>55046.4</v>
      </c>
      <c r="G259" s="920" t="s">
        <v>228</v>
      </c>
      <c r="XEK259" s="786"/>
      <c r="XEL259" s="786"/>
      <c r="XEM259" s="786"/>
      <c r="XEN259" s="786"/>
      <c r="XEO259" s="786"/>
      <c r="XEP259" s="786"/>
    </row>
    <row r="260" s="430" customFormat="1" ht="18.6" customHeight="1" spans="1:16370">
      <c r="A260" s="920"/>
      <c r="B260" s="921" t="s">
        <v>230</v>
      </c>
      <c r="C260" s="916" t="s">
        <v>175</v>
      </c>
      <c r="D260" s="917">
        <v>110</v>
      </c>
      <c r="E260" s="918">
        <f>绿化主材价格表!D29</f>
        <v>825.69</v>
      </c>
      <c r="F260" s="922">
        <f t="shared" si="37"/>
        <v>90825.9</v>
      </c>
      <c r="G260" s="920" t="s">
        <v>231</v>
      </c>
      <c r="XEK260" s="786"/>
      <c r="XEL260" s="786"/>
      <c r="XEM260" s="786"/>
      <c r="XEN260" s="786"/>
      <c r="XEO260" s="786"/>
      <c r="XEP260" s="786"/>
    </row>
    <row r="261" s="430" customFormat="1" ht="18.6" customHeight="1" spans="1:16370">
      <c r="A261" s="920"/>
      <c r="B261" s="921" t="s">
        <v>232</v>
      </c>
      <c r="C261" s="916" t="s">
        <v>175</v>
      </c>
      <c r="D261" s="917">
        <v>496</v>
      </c>
      <c r="E261" s="918">
        <f>绿化主材价格表!D30</f>
        <v>18.35</v>
      </c>
      <c r="F261" s="922">
        <f t="shared" si="37"/>
        <v>9101.6</v>
      </c>
      <c r="G261" s="920" t="s">
        <v>233</v>
      </c>
      <c r="XEK261" s="786"/>
      <c r="XEL261" s="786"/>
      <c r="XEM261" s="786"/>
      <c r="XEN261" s="786"/>
      <c r="XEO261" s="786"/>
      <c r="XEP261" s="786"/>
    </row>
    <row r="262" s="430" customFormat="1" ht="18.6" customHeight="1" spans="1:16370">
      <c r="A262" s="920"/>
      <c r="B262" s="921" t="s">
        <v>234</v>
      </c>
      <c r="C262" s="916" t="s">
        <v>175</v>
      </c>
      <c r="D262" s="917">
        <v>97</v>
      </c>
      <c r="E262" s="918">
        <f>绿化主材价格表!D31</f>
        <v>129.8</v>
      </c>
      <c r="F262" s="922">
        <f t="shared" si="37"/>
        <v>12590.6</v>
      </c>
      <c r="G262" s="920" t="s">
        <v>235</v>
      </c>
      <c r="XEK262" s="786"/>
      <c r="XEL262" s="786"/>
      <c r="XEM262" s="786"/>
      <c r="XEN262" s="786"/>
      <c r="XEO262" s="786"/>
      <c r="XEP262" s="786"/>
    </row>
    <row r="263" s="430" customFormat="1" ht="18.6" customHeight="1" spans="1:16370">
      <c r="A263" s="920"/>
      <c r="B263" s="921" t="s">
        <v>236</v>
      </c>
      <c r="C263" s="916" t="s">
        <v>175</v>
      </c>
      <c r="D263" s="917">
        <v>480</v>
      </c>
      <c r="E263" s="918">
        <f>绿化主材价格表!D32</f>
        <v>229.36</v>
      </c>
      <c r="F263" s="922">
        <f t="shared" si="37"/>
        <v>110092.8</v>
      </c>
      <c r="G263" s="920" t="s">
        <v>237</v>
      </c>
      <c r="XEK263" s="786"/>
      <c r="XEL263" s="786"/>
      <c r="XEM263" s="786"/>
      <c r="XEN263" s="786"/>
      <c r="XEO263" s="786"/>
      <c r="XEP263" s="786"/>
    </row>
    <row r="264" s="430" customFormat="1" ht="18.6" customHeight="1" spans="1:16370">
      <c r="A264" s="920"/>
      <c r="B264" s="921" t="s">
        <v>238</v>
      </c>
      <c r="C264" s="916" t="s">
        <v>175</v>
      </c>
      <c r="D264" s="917">
        <v>410</v>
      </c>
      <c r="E264" s="918">
        <f>绿化主材价格表!D33</f>
        <v>32.11</v>
      </c>
      <c r="F264" s="922">
        <f t="shared" si="37"/>
        <v>13165.1</v>
      </c>
      <c r="G264" s="920" t="s">
        <v>239</v>
      </c>
      <c r="XEK264" s="786"/>
      <c r="XEL264" s="786"/>
      <c r="XEM264" s="786"/>
      <c r="XEN264" s="786"/>
      <c r="XEO264" s="786"/>
      <c r="XEP264" s="786"/>
    </row>
    <row r="265" s="430" customFormat="1" ht="18.6" customHeight="1" spans="1:16370">
      <c r="A265" s="920"/>
      <c r="B265" s="921" t="s">
        <v>240</v>
      </c>
      <c r="C265" s="916" t="s">
        <v>175</v>
      </c>
      <c r="D265" s="917">
        <v>520</v>
      </c>
      <c r="E265" s="918">
        <f>绿化主材价格表!D34</f>
        <v>25.69</v>
      </c>
      <c r="F265" s="922">
        <f t="shared" si="37"/>
        <v>13358.8</v>
      </c>
      <c r="G265" s="920" t="s">
        <v>239</v>
      </c>
      <c r="XEK265" s="786"/>
      <c r="XEL265" s="786"/>
      <c r="XEM265" s="786"/>
      <c r="XEN265" s="786"/>
      <c r="XEO265" s="786"/>
      <c r="XEP265" s="786"/>
    </row>
    <row r="266" s="430" customFormat="1" ht="18.6" customHeight="1" spans="1:16370">
      <c r="A266" s="920"/>
      <c r="B266" s="921" t="s">
        <v>241</v>
      </c>
      <c r="C266" s="916" t="s">
        <v>175</v>
      </c>
      <c r="D266" s="917">
        <f>5020*36</f>
        <v>180720</v>
      </c>
      <c r="E266" s="918">
        <f>绿化主材价格表!D35</f>
        <v>0.73</v>
      </c>
      <c r="F266" s="922">
        <f t="shared" si="37"/>
        <v>131925.6</v>
      </c>
      <c r="G266" s="920" t="s">
        <v>242</v>
      </c>
      <c r="XEK266" s="786"/>
      <c r="XEL266" s="786"/>
      <c r="XEM266" s="786"/>
      <c r="XEN266" s="786"/>
      <c r="XEO266" s="786"/>
      <c r="XEP266" s="786"/>
    </row>
    <row r="267" s="430" customFormat="1" ht="18.6" customHeight="1" spans="1:16370">
      <c r="A267" s="920"/>
      <c r="B267" s="921" t="s">
        <v>243</v>
      </c>
      <c r="C267" s="916" t="s">
        <v>175</v>
      </c>
      <c r="D267" s="917">
        <f>4000*36</f>
        <v>144000</v>
      </c>
      <c r="E267" s="918">
        <f>绿化主材价格表!D36</f>
        <v>1.38</v>
      </c>
      <c r="F267" s="922">
        <f t="shared" si="37"/>
        <v>198720</v>
      </c>
      <c r="G267" s="920" t="s">
        <v>244</v>
      </c>
      <c r="XEK267" s="786"/>
      <c r="XEL267" s="786"/>
      <c r="XEM267" s="786"/>
      <c r="XEN267" s="786"/>
      <c r="XEO267" s="786"/>
      <c r="XEP267" s="786"/>
    </row>
    <row r="268" s="430" customFormat="1" ht="18.6" customHeight="1" spans="1:16370">
      <c r="A268" s="920"/>
      <c r="B268" s="921" t="s">
        <v>245</v>
      </c>
      <c r="C268" s="916" t="s">
        <v>175</v>
      </c>
      <c r="D268" s="917">
        <v>79975</v>
      </c>
      <c r="E268" s="918">
        <f>绿化主材价格表!D37</f>
        <v>0.64</v>
      </c>
      <c r="F268" s="922">
        <f t="shared" si="37"/>
        <v>51184</v>
      </c>
      <c r="G268" s="920" t="s">
        <v>242</v>
      </c>
      <c r="XEK268" s="786"/>
      <c r="XEL268" s="786"/>
      <c r="XEM268" s="786"/>
      <c r="XEN268" s="786"/>
      <c r="XEO268" s="786"/>
      <c r="XEP268" s="786"/>
    </row>
    <row r="269" s="430" customFormat="1" ht="18.6" customHeight="1" spans="1:16370">
      <c r="A269" s="920"/>
      <c r="B269" s="921" t="s">
        <v>246</v>
      </c>
      <c r="C269" s="916" t="s">
        <v>175</v>
      </c>
      <c r="D269" s="917">
        <f>3698*25</f>
        <v>92450</v>
      </c>
      <c r="E269" s="918">
        <f>绿化主材价格表!D38</f>
        <v>0.55</v>
      </c>
      <c r="F269" s="922">
        <f t="shared" si="37"/>
        <v>50847.5</v>
      </c>
      <c r="G269" s="920" t="s">
        <v>242</v>
      </c>
      <c r="XEK269" s="786"/>
      <c r="XEL269" s="786"/>
      <c r="XEM269" s="786"/>
      <c r="XEN269" s="786"/>
      <c r="XEO269" s="786"/>
      <c r="XEP269" s="786"/>
    </row>
    <row r="270" s="430" customFormat="1" ht="18.6" customHeight="1" spans="1:16370">
      <c r="A270" s="920"/>
      <c r="B270" s="921" t="s">
        <v>247</v>
      </c>
      <c r="C270" s="916" t="s">
        <v>175</v>
      </c>
      <c r="D270" s="917">
        <f>2383*25</f>
        <v>59575</v>
      </c>
      <c r="E270" s="918">
        <f>绿化主材价格表!D39</f>
        <v>1.5</v>
      </c>
      <c r="F270" s="922">
        <f t="shared" si="37"/>
        <v>89362.5</v>
      </c>
      <c r="G270" s="920" t="s">
        <v>242</v>
      </c>
      <c r="XEK270" s="786"/>
      <c r="XEL270" s="786"/>
      <c r="XEM270" s="786"/>
      <c r="XEN270" s="786"/>
      <c r="XEO270" s="786"/>
      <c r="XEP270" s="786"/>
    </row>
    <row r="271" s="430" customFormat="1" ht="18.6" customHeight="1" spans="1:16370">
      <c r="A271" s="920"/>
      <c r="B271" s="921" t="s">
        <v>248</v>
      </c>
      <c r="C271" s="916" t="s">
        <v>175</v>
      </c>
      <c r="D271" s="917">
        <v>101940</v>
      </c>
      <c r="E271" s="918">
        <f>绿化主材价格表!D40</f>
        <v>0.88</v>
      </c>
      <c r="F271" s="922">
        <f t="shared" si="37"/>
        <v>89707.2</v>
      </c>
      <c r="G271" s="920" t="s">
        <v>242</v>
      </c>
      <c r="XEK271" s="786"/>
      <c r="XEL271" s="786"/>
      <c r="XEM271" s="786"/>
      <c r="XEN271" s="786"/>
      <c r="XEO271" s="786"/>
      <c r="XEP271" s="786"/>
    </row>
    <row r="272" s="430" customFormat="1" ht="18.6" customHeight="1" spans="1:16370">
      <c r="A272" s="920"/>
      <c r="B272" s="921" t="s">
        <v>249</v>
      </c>
      <c r="C272" s="916" t="s">
        <v>175</v>
      </c>
      <c r="D272" s="917">
        <v>610</v>
      </c>
      <c r="E272" s="918">
        <f>绿化主材价格表!D41</f>
        <v>20.18</v>
      </c>
      <c r="F272" s="922">
        <f t="shared" si="37"/>
        <v>12309.8</v>
      </c>
      <c r="G272" s="920" t="s">
        <v>239</v>
      </c>
      <c r="XEK272" s="786"/>
      <c r="XEL272" s="786"/>
      <c r="XEM272" s="786"/>
      <c r="XEN272" s="786"/>
      <c r="XEO272" s="786"/>
      <c r="XEP272" s="786"/>
    </row>
    <row r="273" s="430" customFormat="1" ht="18.6" customHeight="1" spans="1:16370">
      <c r="A273" s="920"/>
      <c r="B273" s="921" t="s">
        <v>250</v>
      </c>
      <c r="C273" s="916" t="s">
        <v>175</v>
      </c>
      <c r="D273" s="917">
        <v>630</v>
      </c>
      <c r="E273" s="918">
        <f>绿化主材价格表!D42</f>
        <v>32.11</v>
      </c>
      <c r="F273" s="922">
        <f t="shared" si="37"/>
        <v>20229.3</v>
      </c>
      <c r="G273" s="920" t="s">
        <v>239</v>
      </c>
      <c r="XEK273" s="786"/>
      <c r="XEL273" s="786"/>
      <c r="XEM273" s="786"/>
      <c r="XEN273" s="786"/>
      <c r="XEO273" s="786"/>
      <c r="XEP273" s="786"/>
    </row>
    <row r="274" s="430" customFormat="1" ht="18.6" customHeight="1" spans="1:16370">
      <c r="A274" s="441">
        <v>2.2</v>
      </c>
      <c r="B274" s="915" t="s">
        <v>185</v>
      </c>
      <c r="C274" s="916"/>
      <c r="D274" s="917"/>
      <c r="E274" s="918"/>
      <c r="F274" s="919">
        <f>SUM(F275:F294)</f>
        <v>238035.06</v>
      </c>
      <c r="G274" s="920"/>
      <c r="XEK274" s="786"/>
      <c r="XEL274" s="786"/>
      <c r="XEM274" s="786"/>
      <c r="XEN274" s="786"/>
      <c r="XEO274" s="786"/>
      <c r="XEP274" s="786"/>
    </row>
    <row r="275" s="786" customFormat="1" ht="18.6" customHeight="1" spans="1:7">
      <c r="A275" s="923"/>
      <c r="B275" s="921" t="s">
        <v>219</v>
      </c>
      <c r="C275" s="916" t="s">
        <v>175</v>
      </c>
      <c r="D275" s="917">
        <v>130</v>
      </c>
      <c r="E275" s="886">
        <f>'绿化单价汇总 '!D17</f>
        <v>14.78</v>
      </c>
      <c r="F275" s="922">
        <f t="shared" ref="F275:F294" si="38">ROUND(D275*E275,2)</f>
        <v>1921.4</v>
      </c>
      <c r="G275" s="920" t="s">
        <v>220</v>
      </c>
    </row>
    <row r="276" s="786" customFormat="1" ht="18.6" customHeight="1" spans="1:7">
      <c r="A276" s="924"/>
      <c r="B276" s="921" t="s">
        <v>221</v>
      </c>
      <c r="C276" s="916" t="s">
        <v>175</v>
      </c>
      <c r="D276" s="917">
        <v>220</v>
      </c>
      <c r="E276" s="918">
        <f>'绿化单价汇总 '!D18</f>
        <v>39.67</v>
      </c>
      <c r="F276" s="922">
        <f t="shared" si="38"/>
        <v>8727.4</v>
      </c>
      <c r="G276" s="920" t="s">
        <v>222</v>
      </c>
    </row>
    <row r="277" s="786" customFormat="1" ht="18.6" customHeight="1" spans="1:7">
      <c r="A277" s="925"/>
      <c r="B277" s="921" t="s">
        <v>223</v>
      </c>
      <c r="C277" s="916" t="s">
        <v>175</v>
      </c>
      <c r="D277" s="917">
        <v>210</v>
      </c>
      <c r="E277" s="918">
        <f>'绿化单价汇总 '!D19</f>
        <v>65.37</v>
      </c>
      <c r="F277" s="922">
        <f t="shared" si="38"/>
        <v>13727.7</v>
      </c>
      <c r="G277" s="920" t="s">
        <v>224</v>
      </c>
    </row>
    <row r="278" s="786" customFormat="1" ht="18.6" customHeight="1" spans="1:7">
      <c r="A278" s="924"/>
      <c r="B278" s="921" t="s">
        <v>225</v>
      </c>
      <c r="C278" s="916" t="s">
        <v>175</v>
      </c>
      <c r="D278" s="917">
        <v>358</v>
      </c>
      <c r="E278" s="918">
        <f>'绿化单价汇总 '!D20</f>
        <v>25.65</v>
      </c>
      <c r="F278" s="922">
        <f t="shared" si="38"/>
        <v>9182.7</v>
      </c>
      <c r="G278" s="920" t="s">
        <v>226</v>
      </c>
    </row>
    <row r="279" s="786" customFormat="1" ht="18.6" customHeight="1" spans="1:7">
      <c r="A279" s="924"/>
      <c r="B279" s="921" t="s">
        <v>227</v>
      </c>
      <c r="C279" s="916" t="s">
        <v>175</v>
      </c>
      <c r="D279" s="917">
        <v>91</v>
      </c>
      <c r="E279" s="918">
        <f>'绿化单价汇总 '!D21</f>
        <v>5.79</v>
      </c>
      <c r="F279" s="922">
        <f t="shared" si="38"/>
        <v>526.89</v>
      </c>
      <c r="G279" s="920" t="s">
        <v>228</v>
      </c>
    </row>
    <row r="280" s="786" customFormat="1" ht="18.6" customHeight="1" spans="1:7">
      <c r="A280" s="924"/>
      <c r="B280" s="921" t="s">
        <v>229</v>
      </c>
      <c r="C280" s="916" t="s">
        <v>175</v>
      </c>
      <c r="D280" s="917">
        <v>120</v>
      </c>
      <c r="E280" s="918">
        <f>'绿化单价汇总 '!D22</f>
        <v>25.65</v>
      </c>
      <c r="F280" s="922">
        <f t="shared" si="38"/>
        <v>3078</v>
      </c>
      <c r="G280" s="920" t="s">
        <v>228</v>
      </c>
    </row>
    <row r="281" s="786" customFormat="1" ht="18.6" customHeight="1" spans="1:7">
      <c r="A281" s="924"/>
      <c r="B281" s="921" t="s">
        <v>230</v>
      </c>
      <c r="C281" s="916" t="s">
        <v>175</v>
      </c>
      <c r="D281" s="917">
        <v>110</v>
      </c>
      <c r="E281" s="918">
        <f>'绿化单价汇总 '!D23</f>
        <v>25.65</v>
      </c>
      <c r="F281" s="922">
        <f t="shared" si="38"/>
        <v>2821.5</v>
      </c>
      <c r="G281" s="920" t="s">
        <v>231</v>
      </c>
    </row>
    <row r="282" s="786" customFormat="1" ht="18.6" customHeight="1" spans="1:7">
      <c r="A282" s="924"/>
      <c r="B282" s="921" t="s">
        <v>232</v>
      </c>
      <c r="C282" s="916" t="s">
        <v>175</v>
      </c>
      <c r="D282" s="917">
        <v>496</v>
      </c>
      <c r="E282" s="918">
        <f>'绿化单价汇总 '!D24</f>
        <v>5.79</v>
      </c>
      <c r="F282" s="922">
        <f t="shared" si="38"/>
        <v>2871.84</v>
      </c>
      <c r="G282" s="920" t="s">
        <v>233</v>
      </c>
    </row>
    <row r="283" s="786" customFormat="1" ht="18.6" customHeight="1" spans="1:7">
      <c r="A283" s="924"/>
      <c r="B283" s="921" t="s">
        <v>234</v>
      </c>
      <c r="C283" s="916" t="s">
        <v>175</v>
      </c>
      <c r="D283" s="917">
        <v>97</v>
      </c>
      <c r="E283" s="918">
        <f>'绿化单价汇总 '!D25</f>
        <v>5.79</v>
      </c>
      <c r="F283" s="922">
        <f t="shared" si="38"/>
        <v>561.63</v>
      </c>
      <c r="G283" s="920" t="s">
        <v>235</v>
      </c>
    </row>
    <row r="284" s="786" customFormat="1" ht="18.6" customHeight="1" spans="1:7">
      <c r="A284" s="924"/>
      <c r="B284" s="921" t="s">
        <v>236</v>
      </c>
      <c r="C284" s="916" t="s">
        <v>175</v>
      </c>
      <c r="D284" s="917">
        <v>480</v>
      </c>
      <c r="E284" s="918">
        <f>'绿化单价汇总 '!D26</f>
        <v>6.88</v>
      </c>
      <c r="F284" s="922">
        <f t="shared" si="38"/>
        <v>3302.4</v>
      </c>
      <c r="G284" s="920" t="s">
        <v>237</v>
      </c>
    </row>
    <row r="285" s="786" customFormat="1" ht="18.6" customHeight="1" spans="1:7">
      <c r="A285" s="924"/>
      <c r="B285" s="921" t="s">
        <v>238</v>
      </c>
      <c r="C285" s="916" t="s">
        <v>175</v>
      </c>
      <c r="D285" s="917">
        <v>410</v>
      </c>
      <c r="E285" s="918">
        <f>'绿化单价汇总 '!D27</f>
        <v>5.79</v>
      </c>
      <c r="F285" s="922">
        <f t="shared" si="38"/>
        <v>2373.9</v>
      </c>
      <c r="G285" s="920" t="s">
        <v>239</v>
      </c>
    </row>
    <row r="286" s="786" customFormat="1" ht="18.6" customHeight="1" spans="1:7">
      <c r="A286" s="925"/>
      <c r="B286" s="921" t="s">
        <v>240</v>
      </c>
      <c r="C286" s="916" t="s">
        <v>175</v>
      </c>
      <c r="D286" s="917">
        <v>520</v>
      </c>
      <c r="E286" s="926">
        <f>E285</f>
        <v>5.79</v>
      </c>
      <c r="F286" s="922">
        <f t="shared" si="38"/>
        <v>3010.8</v>
      </c>
      <c r="G286" s="920" t="s">
        <v>239</v>
      </c>
    </row>
    <row r="287" s="786" customFormat="1" ht="18.6" customHeight="1" spans="1:7">
      <c r="A287" s="924"/>
      <c r="B287" s="921" t="s">
        <v>241</v>
      </c>
      <c r="C287" s="916" t="s">
        <v>175</v>
      </c>
      <c r="D287" s="917">
        <f>5020*36</f>
        <v>180720</v>
      </c>
      <c r="E287" s="918">
        <f>'绿化单价汇总 '!D29</f>
        <v>0.21</v>
      </c>
      <c r="F287" s="922">
        <f t="shared" si="38"/>
        <v>37951.2</v>
      </c>
      <c r="G287" s="920" t="s">
        <v>242</v>
      </c>
    </row>
    <row r="288" s="786" customFormat="1" ht="18.6" customHeight="1" spans="1:7">
      <c r="A288" s="924"/>
      <c r="B288" s="921" t="s">
        <v>243</v>
      </c>
      <c r="C288" s="916" t="s">
        <v>175</v>
      </c>
      <c r="D288" s="917">
        <f>4000*36</f>
        <v>144000</v>
      </c>
      <c r="E288" s="918">
        <f>'绿化单价汇总 '!D31</f>
        <v>0.3</v>
      </c>
      <c r="F288" s="922">
        <f t="shared" si="38"/>
        <v>43200</v>
      </c>
      <c r="G288" s="920" t="s">
        <v>244</v>
      </c>
    </row>
    <row r="289" s="786" customFormat="1" ht="18.6" customHeight="1" spans="1:7">
      <c r="A289" s="924"/>
      <c r="B289" s="921" t="s">
        <v>245</v>
      </c>
      <c r="C289" s="916" t="s">
        <v>175</v>
      </c>
      <c r="D289" s="917">
        <v>79975</v>
      </c>
      <c r="E289" s="918">
        <f>'绿化单价汇总 '!D32</f>
        <v>0.21</v>
      </c>
      <c r="F289" s="922">
        <f t="shared" si="38"/>
        <v>16794.75</v>
      </c>
      <c r="G289" s="920" t="s">
        <v>242</v>
      </c>
    </row>
    <row r="290" s="786" customFormat="1" ht="18.6" customHeight="1" spans="1:7">
      <c r="A290" s="924"/>
      <c r="B290" s="921" t="s">
        <v>246</v>
      </c>
      <c r="C290" s="916" t="s">
        <v>175</v>
      </c>
      <c r="D290" s="917">
        <f>3698*25</f>
        <v>92450</v>
      </c>
      <c r="E290" s="918">
        <f>'绿化单价汇总 '!D33</f>
        <v>0.48</v>
      </c>
      <c r="F290" s="922">
        <f t="shared" si="38"/>
        <v>44376</v>
      </c>
      <c r="G290" s="920" t="s">
        <v>242</v>
      </c>
    </row>
    <row r="291" s="786" customFormat="1" ht="18.6" customHeight="1" spans="1:7">
      <c r="A291" s="924"/>
      <c r="B291" s="921" t="s">
        <v>247</v>
      </c>
      <c r="C291" s="916" t="s">
        <v>175</v>
      </c>
      <c r="D291" s="917">
        <f>2383*25</f>
        <v>59575</v>
      </c>
      <c r="E291" s="918">
        <f>'绿化单价汇总 '!D34</f>
        <v>0.29</v>
      </c>
      <c r="F291" s="922">
        <f t="shared" si="38"/>
        <v>17276.75</v>
      </c>
      <c r="G291" s="920" t="s">
        <v>242</v>
      </c>
    </row>
    <row r="292" s="786" customFormat="1" ht="18.6" customHeight="1" spans="1:7">
      <c r="A292" s="924"/>
      <c r="B292" s="921" t="s">
        <v>248</v>
      </c>
      <c r="C292" s="916" t="s">
        <v>175</v>
      </c>
      <c r="D292" s="917">
        <v>101940</v>
      </c>
      <c r="E292" s="918">
        <f>'绿化单价汇总 '!D35</f>
        <v>0.21</v>
      </c>
      <c r="F292" s="922">
        <f t="shared" si="38"/>
        <v>21407.4</v>
      </c>
      <c r="G292" s="920" t="s">
        <v>242</v>
      </c>
    </row>
    <row r="293" s="786" customFormat="1" ht="18.6" customHeight="1" spans="1:7">
      <c r="A293" s="924"/>
      <c r="B293" s="921" t="s">
        <v>249</v>
      </c>
      <c r="C293" s="916" t="s">
        <v>175</v>
      </c>
      <c r="D293" s="917">
        <v>610</v>
      </c>
      <c r="E293" s="918">
        <f>'绿化单价汇总 '!D42</f>
        <v>3.97</v>
      </c>
      <c r="F293" s="922">
        <f t="shared" si="38"/>
        <v>2421.7</v>
      </c>
      <c r="G293" s="920" t="s">
        <v>239</v>
      </c>
    </row>
    <row r="294" s="786" customFormat="1" ht="18.6" customHeight="1" spans="1:7">
      <c r="A294" s="924"/>
      <c r="B294" s="921" t="s">
        <v>250</v>
      </c>
      <c r="C294" s="916" t="s">
        <v>175</v>
      </c>
      <c r="D294" s="917">
        <v>630</v>
      </c>
      <c r="E294" s="918">
        <f>'绿化单价汇总 '!D43</f>
        <v>3.97</v>
      </c>
      <c r="F294" s="922">
        <f t="shared" si="38"/>
        <v>2501.1</v>
      </c>
      <c r="G294" s="920" t="s">
        <v>239</v>
      </c>
    </row>
    <row r="295" s="786" customFormat="1" ht="18.6" customHeight="1" spans="1:7">
      <c r="A295" s="441">
        <v>2.3</v>
      </c>
      <c r="B295" s="915" t="s">
        <v>186</v>
      </c>
      <c r="C295" s="927"/>
      <c r="D295" s="918"/>
      <c r="E295" s="918"/>
      <c r="F295" s="919">
        <f>SUM(F296:F315)</f>
        <v>413511.12</v>
      </c>
      <c r="G295" s="920"/>
    </row>
    <row r="296" s="786" customFormat="1" ht="18.6" customHeight="1" spans="1:7">
      <c r="A296" s="924"/>
      <c r="B296" s="921" t="s">
        <v>219</v>
      </c>
      <c r="C296" s="916" t="s">
        <v>175</v>
      </c>
      <c r="D296" s="917">
        <v>130</v>
      </c>
      <c r="E296" s="886">
        <f>'绿化单价汇总 '!D38+'绿化单价汇总 '!D38*2*0.7+'绿化单价汇总 '!D38*3*0.4+'绿化单价汇总 '!D38*6*0.3</f>
        <v>14.202</v>
      </c>
      <c r="F296" s="922">
        <f t="shared" ref="F296:F315" si="39">ROUND(D296*E296,2)</f>
        <v>1846.26</v>
      </c>
      <c r="G296" s="920" t="s">
        <v>220</v>
      </c>
    </row>
    <row r="297" s="786" customFormat="1" ht="18.6" customHeight="1" spans="1:7">
      <c r="A297" s="924"/>
      <c r="B297" s="921" t="s">
        <v>221</v>
      </c>
      <c r="C297" s="916" t="s">
        <v>175</v>
      </c>
      <c r="D297" s="917">
        <v>220</v>
      </c>
      <c r="E297" s="918">
        <f>'绿化单价汇总 '!D36+'绿化单价汇总 '!D36*2*0.7+'绿化单价汇总 '!D36*3*0.4+'绿化单价汇总 '!D36*6*0.3</f>
        <v>15.39</v>
      </c>
      <c r="F297" s="922">
        <f t="shared" si="39"/>
        <v>3385.8</v>
      </c>
      <c r="G297" s="920" t="s">
        <v>222</v>
      </c>
    </row>
    <row r="298" s="786" customFormat="1" ht="18.6" customHeight="1" spans="1:7">
      <c r="A298" s="924"/>
      <c r="B298" s="921" t="s">
        <v>223</v>
      </c>
      <c r="C298" s="916" t="s">
        <v>175</v>
      </c>
      <c r="D298" s="917">
        <v>210</v>
      </c>
      <c r="E298" s="918">
        <f>'绿化单价汇总 '!D37+'绿化单价汇总 '!D37*2*0.7+'绿化单价汇总 '!D37*3*0.4+'绿化单价汇总 '!D37*6*0.3</f>
        <v>18.09</v>
      </c>
      <c r="F298" s="922">
        <f t="shared" si="39"/>
        <v>3798.9</v>
      </c>
      <c r="G298" s="920" t="s">
        <v>224</v>
      </c>
    </row>
    <row r="299" s="786" customFormat="1" ht="18.6" customHeight="1" spans="1:7">
      <c r="A299" s="924"/>
      <c r="B299" s="921" t="s">
        <v>225</v>
      </c>
      <c r="C299" s="916" t="s">
        <v>175</v>
      </c>
      <c r="D299" s="917">
        <v>358</v>
      </c>
      <c r="E299" s="918">
        <f>'绿化单价汇总 '!D37+'绿化单价汇总 '!D37*2*0.7+'绿化单价汇总 '!D37*3*0.4+'绿化单价汇总 '!D37*6*0.3</f>
        <v>18.09</v>
      </c>
      <c r="F299" s="922">
        <f t="shared" si="39"/>
        <v>6476.22</v>
      </c>
      <c r="G299" s="920" t="s">
        <v>226</v>
      </c>
    </row>
    <row r="300" s="786" customFormat="1" ht="18.6" customHeight="1" spans="1:7">
      <c r="A300" s="924"/>
      <c r="B300" s="921" t="s">
        <v>227</v>
      </c>
      <c r="C300" s="916" t="s">
        <v>175</v>
      </c>
      <c r="D300" s="917">
        <v>91</v>
      </c>
      <c r="E300" s="918">
        <f>'绿化单价汇总 '!D36+'绿化单价汇总 '!D36*2*0.7+'绿化单价汇总 '!D36*3*0.4+'绿化单价汇总 '!D36*6*0.3</f>
        <v>15.39</v>
      </c>
      <c r="F300" s="922">
        <f t="shared" si="39"/>
        <v>1400.49</v>
      </c>
      <c r="G300" s="920" t="s">
        <v>228</v>
      </c>
    </row>
    <row r="301" s="786" customFormat="1" ht="18.6" customHeight="1" spans="1:7">
      <c r="A301" s="924"/>
      <c r="B301" s="921" t="s">
        <v>229</v>
      </c>
      <c r="C301" s="916" t="s">
        <v>175</v>
      </c>
      <c r="D301" s="917">
        <v>120</v>
      </c>
      <c r="E301" s="918">
        <f>'绿化单价汇总 '!D37+'绿化单价汇总 '!D37*2*0.7+'绿化单价汇总 '!D37*3*0.4+'绿化单价汇总 '!D37*6*0.3</f>
        <v>18.09</v>
      </c>
      <c r="F301" s="922">
        <f t="shared" si="39"/>
        <v>2170.8</v>
      </c>
      <c r="G301" s="920" t="s">
        <v>228</v>
      </c>
    </row>
    <row r="302" s="786" customFormat="1" ht="18.6" customHeight="1" spans="1:7">
      <c r="A302" s="924"/>
      <c r="B302" s="921" t="s">
        <v>230</v>
      </c>
      <c r="C302" s="916" t="s">
        <v>175</v>
      </c>
      <c r="D302" s="917">
        <v>110</v>
      </c>
      <c r="E302" s="918">
        <f>'绿化单价汇总 '!D37+'绿化单价汇总 '!D37*2*0.7+'绿化单价汇总 '!D37*3*0.4+'绿化单价汇总 '!D37*6*0.3</f>
        <v>18.09</v>
      </c>
      <c r="F302" s="922">
        <f t="shared" si="39"/>
        <v>1989.9</v>
      </c>
      <c r="G302" s="920" t="s">
        <v>231</v>
      </c>
    </row>
    <row r="303" s="786" customFormat="1" ht="18.6" customHeight="1" spans="1:7">
      <c r="A303" s="924"/>
      <c r="B303" s="921" t="s">
        <v>232</v>
      </c>
      <c r="C303" s="916" t="s">
        <v>175</v>
      </c>
      <c r="D303" s="917">
        <v>496</v>
      </c>
      <c r="E303" s="918">
        <f>'绿化单价汇总 '!D39+'绿化单价汇总 '!D39*2*0.7+'绿化单价汇总 '!D39*3*0.4+'绿化单价汇总 '!D39*6*0.3</f>
        <v>5.292</v>
      </c>
      <c r="F303" s="922">
        <f t="shared" si="39"/>
        <v>2624.83</v>
      </c>
      <c r="G303" s="920" t="s">
        <v>233</v>
      </c>
    </row>
    <row r="304" s="786" customFormat="1" ht="18.6" customHeight="1" spans="1:7">
      <c r="A304" s="924"/>
      <c r="B304" s="921" t="s">
        <v>234</v>
      </c>
      <c r="C304" s="916" t="s">
        <v>175</v>
      </c>
      <c r="D304" s="917">
        <v>97</v>
      </c>
      <c r="E304" s="918">
        <f>'绿化单价汇总 '!D39+'绿化单价汇总 '!D39*2*0.7+'绿化单价汇总 '!D39*3*0.4+'绿化单价汇总 '!D39*6*0.3</f>
        <v>5.292</v>
      </c>
      <c r="F304" s="922">
        <f t="shared" si="39"/>
        <v>513.32</v>
      </c>
      <c r="G304" s="920" t="s">
        <v>235</v>
      </c>
    </row>
    <row r="305" s="786" customFormat="1" ht="18.6" customHeight="1" spans="1:7">
      <c r="A305" s="925"/>
      <c r="B305" s="921" t="s">
        <v>236</v>
      </c>
      <c r="C305" s="916" t="s">
        <v>175</v>
      </c>
      <c r="D305" s="917">
        <v>480</v>
      </c>
      <c r="E305" s="918">
        <f>E296</f>
        <v>14.202</v>
      </c>
      <c r="F305" s="922">
        <f t="shared" si="39"/>
        <v>6816.96</v>
      </c>
      <c r="G305" s="920" t="s">
        <v>237</v>
      </c>
    </row>
    <row r="306" s="786" customFormat="1" ht="18.6" customHeight="1" spans="1:7">
      <c r="A306" s="924"/>
      <c r="B306" s="921" t="s">
        <v>238</v>
      </c>
      <c r="C306" s="916" t="s">
        <v>175</v>
      </c>
      <c r="D306" s="917">
        <v>410</v>
      </c>
      <c r="E306" s="918">
        <f>'绿化单价汇总 '!D39+'绿化单价汇总 '!D39*2*0.7+'绿化单价汇总 '!D39*3*0.4+'绿化单价汇总 '!D39*6*0.3</f>
        <v>5.292</v>
      </c>
      <c r="F306" s="922">
        <f t="shared" si="39"/>
        <v>2169.72</v>
      </c>
      <c r="G306" s="920" t="s">
        <v>239</v>
      </c>
    </row>
    <row r="307" s="786" customFormat="1" ht="18.6" customHeight="1" spans="1:7">
      <c r="A307" s="924"/>
      <c r="B307" s="921" t="s">
        <v>240</v>
      </c>
      <c r="C307" s="916" t="s">
        <v>175</v>
      </c>
      <c r="D307" s="917">
        <v>520</v>
      </c>
      <c r="E307" s="918">
        <f t="shared" ref="E307:E313" si="40">E306</f>
        <v>5.292</v>
      </c>
      <c r="F307" s="922">
        <f t="shared" si="39"/>
        <v>2751.84</v>
      </c>
      <c r="G307" s="920" t="s">
        <v>239</v>
      </c>
    </row>
    <row r="308" s="786" customFormat="1" ht="18.6" customHeight="1" spans="1:7">
      <c r="A308" s="924"/>
      <c r="B308" s="921" t="s">
        <v>241</v>
      </c>
      <c r="C308" s="916" t="s">
        <v>175</v>
      </c>
      <c r="D308" s="917">
        <f>5020*36</f>
        <v>180720</v>
      </c>
      <c r="E308" s="918">
        <f>'绿化单价汇总 '!D41+'绿化单价汇总 '!D41*2*0.7+'绿化单价汇总 '!D41*9*0.4</f>
        <v>0.6</v>
      </c>
      <c r="F308" s="922">
        <f t="shared" si="39"/>
        <v>108432</v>
      </c>
      <c r="G308" s="920" t="s">
        <v>242</v>
      </c>
    </row>
    <row r="309" s="786" customFormat="1" ht="18.6" customHeight="1" spans="1:7">
      <c r="A309" s="924"/>
      <c r="B309" s="921" t="s">
        <v>243</v>
      </c>
      <c r="C309" s="916" t="s">
        <v>175</v>
      </c>
      <c r="D309" s="917">
        <f>4000*36</f>
        <v>144000</v>
      </c>
      <c r="E309" s="918">
        <f>'绿化单价汇总 '!D40+'绿化单价汇总 '!D40*2*0.7+'绿化单价汇总 '!D40*3*0.4+'绿化单价汇总 '!D40*6*0.3</f>
        <v>0.432</v>
      </c>
      <c r="F309" s="922">
        <f t="shared" si="39"/>
        <v>62208</v>
      </c>
      <c r="G309" s="920" t="s">
        <v>244</v>
      </c>
    </row>
    <row r="310" s="786" customFormat="1" ht="18.6" customHeight="1" spans="1:7">
      <c r="A310" s="924"/>
      <c r="B310" s="921" t="s">
        <v>245</v>
      </c>
      <c r="C310" s="916" t="s">
        <v>175</v>
      </c>
      <c r="D310" s="917">
        <v>79975</v>
      </c>
      <c r="E310" s="918">
        <f>E308</f>
        <v>0.6</v>
      </c>
      <c r="F310" s="922">
        <f t="shared" si="39"/>
        <v>47985</v>
      </c>
      <c r="G310" s="920" t="s">
        <v>242</v>
      </c>
    </row>
    <row r="311" s="786" customFormat="1" ht="18.6" customHeight="1" spans="1:7">
      <c r="A311" s="924"/>
      <c r="B311" s="921" t="s">
        <v>246</v>
      </c>
      <c r="C311" s="916" t="s">
        <v>175</v>
      </c>
      <c r="D311" s="917">
        <f>3698*25</f>
        <v>92450</v>
      </c>
      <c r="E311" s="918">
        <f t="shared" si="40"/>
        <v>0.6</v>
      </c>
      <c r="F311" s="922">
        <f t="shared" si="39"/>
        <v>55470</v>
      </c>
      <c r="G311" s="920" t="s">
        <v>242</v>
      </c>
    </row>
    <row r="312" s="786" customFormat="1" ht="18.6" customHeight="1" spans="1:7">
      <c r="A312" s="924"/>
      <c r="B312" s="921" t="s">
        <v>247</v>
      </c>
      <c r="C312" s="916" t="s">
        <v>175</v>
      </c>
      <c r="D312" s="917">
        <f>2383*25</f>
        <v>59575</v>
      </c>
      <c r="E312" s="918">
        <f t="shared" si="40"/>
        <v>0.6</v>
      </c>
      <c r="F312" s="922">
        <f t="shared" si="39"/>
        <v>35745</v>
      </c>
      <c r="G312" s="920" t="s">
        <v>242</v>
      </c>
    </row>
    <row r="313" s="786" customFormat="1" ht="18.6" customHeight="1" spans="1:7">
      <c r="A313" s="924"/>
      <c r="B313" s="921" t="s">
        <v>248</v>
      </c>
      <c r="C313" s="916" t="s">
        <v>175</v>
      </c>
      <c r="D313" s="917">
        <v>101940</v>
      </c>
      <c r="E313" s="918">
        <f t="shared" si="40"/>
        <v>0.6</v>
      </c>
      <c r="F313" s="922">
        <f t="shared" si="39"/>
        <v>61164</v>
      </c>
      <c r="G313" s="920" t="s">
        <v>242</v>
      </c>
    </row>
    <row r="314" s="786" customFormat="1" ht="18.6" customHeight="1" spans="1:7">
      <c r="A314" s="924"/>
      <c r="B314" s="921" t="s">
        <v>249</v>
      </c>
      <c r="C314" s="916" t="s">
        <v>175</v>
      </c>
      <c r="D314" s="917">
        <v>610</v>
      </c>
      <c r="E314" s="918">
        <f>'绿化单价汇总 '!D39+'绿化单价汇总 '!D39*2*0.7+'绿化单价汇总 '!D39*3*0.4+'绿化单价汇总 '!D39*6*0.3</f>
        <v>5.292</v>
      </c>
      <c r="F314" s="922">
        <f t="shared" si="39"/>
        <v>3228.12</v>
      </c>
      <c r="G314" s="920" t="s">
        <v>239</v>
      </c>
    </row>
    <row r="315" s="786" customFormat="1" ht="18.6" customHeight="1" spans="1:7">
      <c r="A315" s="924"/>
      <c r="B315" s="921" t="s">
        <v>250</v>
      </c>
      <c r="C315" s="916" t="s">
        <v>175</v>
      </c>
      <c r="D315" s="917">
        <v>630</v>
      </c>
      <c r="E315" s="918">
        <f>'绿化单价汇总 '!D39+'绿化单价汇总 '!D39*2*0.7+'绿化单价汇总 '!D39*3*0.4+'绿化单价汇总 '!D39*6*0.3</f>
        <v>5.292</v>
      </c>
      <c r="F315" s="922">
        <f t="shared" si="39"/>
        <v>3333.96</v>
      </c>
      <c r="G315" s="920" t="s">
        <v>239</v>
      </c>
    </row>
    <row r="316" ht="18.6" customHeight="1" spans="1:7">
      <c r="A316" s="819" t="s">
        <v>70</v>
      </c>
      <c r="B316" s="820" t="s">
        <v>251</v>
      </c>
      <c r="C316" s="819"/>
      <c r="D316" s="819"/>
      <c r="E316" s="819"/>
      <c r="F316" s="821" t="e">
        <f>F317+F320</f>
        <v>#REF!</v>
      </c>
      <c r="G316" s="819"/>
    </row>
    <row r="317" ht="18.6" customHeight="1" spans="1:7">
      <c r="A317" s="819">
        <v>1</v>
      </c>
      <c r="B317" s="820" t="s">
        <v>75</v>
      </c>
      <c r="C317" s="819"/>
      <c r="D317" s="819"/>
      <c r="E317" s="819"/>
      <c r="F317" s="821">
        <f>F318+F319</f>
        <v>42813.576224</v>
      </c>
      <c r="G317" s="819"/>
    </row>
    <row r="318" ht="18.6" customHeight="1" spans="1:7">
      <c r="A318" s="441"/>
      <c r="B318" s="792" t="s">
        <v>61</v>
      </c>
      <c r="C318" s="822" t="s">
        <v>76</v>
      </c>
      <c r="D318" s="823">
        <v>6312.08</v>
      </c>
      <c r="E318" s="825">
        <v>3.98</v>
      </c>
      <c r="F318" s="824">
        <f t="shared" ref="F318:F327" si="41">D318*E318</f>
        <v>25122.0784</v>
      </c>
      <c r="G318" s="441"/>
    </row>
    <row r="319" ht="18.6" customHeight="1" spans="1:7">
      <c r="A319" s="441"/>
      <c r="B319" s="792" t="s">
        <v>63</v>
      </c>
      <c r="C319" s="822" t="s">
        <v>76</v>
      </c>
      <c r="D319" s="823">
        <f>D318*0.98</f>
        <v>6185.8384</v>
      </c>
      <c r="E319" s="825">
        <v>2.86</v>
      </c>
      <c r="F319" s="824">
        <f t="shared" si="41"/>
        <v>17691.497824</v>
      </c>
      <c r="G319" s="441"/>
    </row>
    <row r="320" ht="18.6" customHeight="1" spans="1:7">
      <c r="A320" s="819">
        <v>2</v>
      </c>
      <c r="B320" s="820" t="s">
        <v>116</v>
      </c>
      <c r="C320" s="819"/>
      <c r="D320" s="819"/>
      <c r="E320" s="819"/>
      <c r="F320" s="821" t="e">
        <f>F321+F328+F335+F336+F338</f>
        <v>#REF!</v>
      </c>
      <c r="G320" s="441"/>
    </row>
    <row r="321" ht="18.6" customHeight="1" spans="1:7">
      <c r="A321" s="819">
        <v>2.1</v>
      </c>
      <c r="B321" s="820" t="s">
        <v>117</v>
      </c>
      <c r="C321" s="819"/>
      <c r="D321" s="819"/>
      <c r="E321" s="819"/>
      <c r="F321" s="821">
        <f>SUM(F322:F327)</f>
        <v>293469.7498</v>
      </c>
      <c r="G321" s="441"/>
    </row>
    <row r="322" ht="18.6" customHeight="1" spans="1:7">
      <c r="A322" s="441"/>
      <c r="B322" s="827" t="s">
        <v>252</v>
      </c>
      <c r="C322" s="441" t="s">
        <v>90</v>
      </c>
      <c r="D322" s="441">
        <v>10.22</v>
      </c>
      <c r="E322" s="441">
        <f>'管材费 (PE)'!O65</f>
        <v>108.4</v>
      </c>
      <c r="F322" s="824">
        <f t="shared" si="41"/>
        <v>1107.848</v>
      </c>
      <c r="G322" s="441"/>
    </row>
    <row r="323" ht="18.6" customHeight="1" spans="1:7">
      <c r="A323" s="441"/>
      <c r="B323" s="827" t="s">
        <v>253</v>
      </c>
      <c r="C323" s="441" t="s">
        <v>90</v>
      </c>
      <c r="D323" s="441">
        <v>3024.7</v>
      </c>
      <c r="E323" s="441">
        <f>'管材费 (PE)'!O63</f>
        <v>69.44</v>
      </c>
      <c r="F323" s="824">
        <f t="shared" si="41"/>
        <v>210035.168</v>
      </c>
      <c r="G323" s="441"/>
    </row>
    <row r="324" ht="18.6" customHeight="1" spans="1:7">
      <c r="A324" s="441"/>
      <c r="B324" s="827" t="s">
        <v>254</v>
      </c>
      <c r="C324" s="441" t="s">
        <v>90</v>
      </c>
      <c r="D324" s="441">
        <v>3398.22</v>
      </c>
      <c r="E324" s="441">
        <f>'管材费 (PE)'!O58</f>
        <v>15.39</v>
      </c>
      <c r="F324" s="824">
        <f t="shared" si="41"/>
        <v>52298.6058</v>
      </c>
      <c r="G324" s="441"/>
    </row>
    <row r="325" ht="18.6" customHeight="1" spans="1:7">
      <c r="A325" s="441"/>
      <c r="B325" s="827" t="s">
        <v>255</v>
      </c>
      <c r="C325" s="441" t="s">
        <v>90</v>
      </c>
      <c r="D325" s="441">
        <v>577.32</v>
      </c>
      <c r="E325" s="441">
        <f>'管材费 (PE)'!Q56</f>
        <v>10.4</v>
      </c>
      <c r="F325" s="824">
        <f t="shared" si="41"/>
        <v>6004.128</v>
      </c>
      <c r="G325" s="441"/>
    </row>
    <row r="326" ht="18.6" customHeight="1" spans="1:7">
      <c r="A326" s="441"/>
      <c r="B326" s="827" t="s">
        <v>256</v>
      </c>
      <c r="C326" s="441" t="s">
        <v>90</v>
      </c>
      <c r="D326" s="441">
        <v>10005</v>
      </c>
      <c r="E326" s="844">
        <v>2</v>
      </c>
      <c r="F326" s="824">
        <f t="shared" si="41"/>
        <v>20010</v>
      </c>
      <c r="G326" s="441"/>
    </row>
    <row r="327" ht="18.6" customHeight="1" spans="1:7">
      <c r="A327" s="441"/>
      <c r="B327" s="827" t="s">
        <v>257</v>
      </c>
      <c r="C327" s="441" t="s">
        <v>90</v>
      </c>
      <c r="D327" s="441">
        <v>3345</v>
      </c>
      <c r="E327" s="844">
        <v>1.2</v>
      </c>
      <c r="F327" s="824">
        <f t="shared" si="41"/>
        <v>4014</v>
      </c>
      <c r="G327" s="441"/>
    </row>
    <row r="328" ht="18.6" customHeight="1" spans="1:7">
      <c r="A328" s="819">
        <v>2.2</v>
      </c>
      <c r="B328" s="833" t="s">
        <v>123</v>
      </c>
      <c r="C328" s="819"/>
      <c r="D328" s="819"/>
      <c r="E328" s="819"/>
      <c r="F328" s="821" t="e">
        <f>SUM(F329:F334)</f>
        <v>#REF!</v>
      </c>
      <c r="G328" s="819"/>
    </row>
    <row r="329" ht="18.6" customHeight="1" spans="1:7">
      <c r="A329" s="441"/>
      <c r="B329" s="827" t="s">
        <v>252</v>
      </c>
      <c r="C329" s="441" t="s">
        <v>90</v>
      </c>
      <c r="D329" s="441">
        <v>10.22</v>
      </c>
      <c r="E329" s="845" t="e">
        <f>单价汇总表!#REF!/10</f>
        <v>#REF!</v>
      </c>
      <c r="F329" s="824" t="e">
        <f t="shared" ref="F329:F334" si="42">D329*E329</f>
        <v>#REF!</v>
      </c>
      <c r="G329" s="441"/>
    </row>
    <row r="330" ht="18.6" customHeight="1" spans="1:7">
      <c r="A330" s="441"/>
      <c r="B330" s="827" t="s">
        <v>253</v>
      </c>
      <c r="C330" s="441" t="s">
        <v>90</v>
      </c>
      <c r="D330" s="441">
        <v>3024.7</v>
      </c>
      <c r="E330" s="844">
        <v>3.9</v>
      </c>
      <c r="F330" s="824">
        <f t="shared" si="42"/>
        <v>11796.33</v>
      </c>
      <c r="G330" s="441"/>
    </row>
    <row r="331" ht="18.6" customHeight="1" spans="1:7">
      <c r="A331" s="441"/>
      <c r="B331" s="827" t="s">
        <v>254</v>
      </c>
      <c r="C331" s="441" t="s">
        <v>90</v>
      </c>
      <c r="D331" s="441">
        <v>3398.22</v>
      </c>
      <c r="E331" s="844">
        <v>3.25</v>
      </c>
      <c r="F331" s="824">
        <f t="shared" si="42"/>
        <v>11044.215</v>
      </c>
      <c r="G331" s="441"/>
    </row>
    <row r="332" s="430" customFormat="1" ht="18.6" customHeight="1" spans="1:7">
      <c r="A332" s="441"/>
      <c r="B332" s="827" t="s">
        <v>255</v>
      </c>
      <c r="C332" s="441" t="s">
        <v>90</v>
      </c>
      <c r="D332" s="441">
        <v>577.32</v>
      </c>
      <c r="E332" s="844">
        <v>2.5</v>
      </c>
      <c r="F332" s="824">
        <f t="shared" si="42"/>
        <v>1443.3</v>
      </c>
      <c r="G332" s="441"/>
    </row>
    <row r="333" ht="18.6" customHeight="1" spans="1:7">
      <c r="A333" s="441"/>
      <c r="B333" s="827" t="s">
        <v>256</v>
      </c>
      <c r="C333" s="441" t="s">
        <v>90</v>
      </c>
      <c r="D333" s="441">
        <v>10005</v>
      </c>
      <c r="E333" s="844">
        <f>E326*0.1</f>
        <v>0.2</v>
      </c>
      <c r="F333" s="824">
        <f t="shared" si="42"/>
        <v>2001</v>
      </c>
      <c r="G333" s="441"/>
    </row>
    <row r="334" ht="18.6" customHeight="1" spans="1:7">
      <c r="A334" s="441"/>
      <c r="B334" s="827" t="s">
        <v>257</v>
      </c>
      <c r="C334" s="441" t="s">
        <v>90</v>
      </c>
      <c r="D334" s="441">
        <v>3345</v>
      </c>
      <c r="E334" s="441">
        <f>E327*0.1</f>
        <v>0.12</v>
      </c>
      <c r="F334" s="824">
        <f t="shared" si="42"/>
        <v>401.4</v>
      </c>
      <c r="G334" s="441"/>
    </row>
    <row r="335" ht="18.6" customHeight="1" spans="1:7">
      <c r="A335" s="819">
        <v>2.3</v>
      </c>
      <c r="B335" s="833" t="s">
        <v>258</v>
      </c>
      <c r="C335" s="819"/>
      <c r="D335" s="819"/>
      <c r="E335" s="819"/>
      <c r="F335" s="928">
        <f>SUM(F322:F325)*0.1</f>
        <v>26944.57498</v>
      </c>
      <c r="G335" s="819"/>
    </row>
    <row r="336" ht="18.6" customHeight="1" spans="1:7">
      <c r="A336" s="819">
        <v>2.4</v>
      </c>
      <c r="B336" s="820" t="s">
        <v>259</v>
      </c>
      <c r="C336" s="819"/>
      <c r="D336" s="819"/>
      <c r="E336" s="819"/>
      <c r="F336" s="821">
        <f>SUM(F337:F337)</f>
        <v>21677.5</v>
      </c>
      <c r="G336" s="819"/>
    </row>
    <row r="337" ht="18.6" customHeight="1" spans="1:7">
      <c r="A337" s="441"/>
      <c r="B337" s="827" t="s">
        <v>260</v>
      </c>
      <c r="C337" s="822" t="s">
        <v>155</v>
      </c>
      <c r="D337" s="441">
        <v>3335</v>
      </c>
      <c r="E337" s="441">
        <v>6.5</v>
      </c>
      <c r="F337" s="824">
        <f t="shared" ref="F337:F345" si="43">D337*E337</f>
        <v>21677.5</v>
      </c>
      <c r="G337" s="441"/>
    </row>
    <row r="338" ht="18.6" customHeight="1" spans="1:7">
      <c r="A338" s="819">
        <v>2.5</v>
      </c>
      <c r="B338" s="820" t="s">
        <v>261</v>
      </c>
      <c r="C338" s="819"/>
      <c r="D338" s="819"/>
      <c r="E338" s="819"/>
      <c r="F338" s="821" t="e">
        <f>F339+F347+F355+F363</f>
        <v>#REF!</v>
      </c>
      <c r="G338" s="819"/>
    </row>
    <row r="339" ht="18.6" customHeight="1" spans="1:7">
      <c r="A339" s="441" t="s">
        <v>262</v>
      </c>
      <c r="B339" s="929" t="s">
        <v>263</v>
      </c>
      <c r="C339" s="441" t="s">
        <v>155</v>
      </c>
      <c r="D339" s="441">
        <v>13</v>
      </c>
      <c r="E339" s="844">
        <f>F340</f>
        <v>1880.69323849856</v>
      </c>
      <c r="F339" s="824">
        <f t="shared" si="43"/>
        <v>24449.0121004813</v>
      </c>
      <c r="G339" s="441"/>
    </row>
    <row r="340" ht="18.6" customHeight="1" spans="1:7">
      <c r="A340" s="441"/>
      <c r="B340" s="929" t="s">
        <v>145</v>
      </c>
      <c r="C340" s="441"/>
      <c r="D340" s="441"/>
      <c r="E340" s="441"/>
      <c r="F340" s="824">
        <f>SUM(F341:F346)</f>
        <v>1880.69323849856</v>
      </c>
      <c r="G340" s="441"/>
    </row>
    <row r="341" ht="18.6" customHeight="1" spans="1:7">
      <c r="A341" s="441"/>
      <c r="B341" s="929" t="s">
        <v>61</v>
      </c>
      <c r="C341" s="822" t="s">
        <v>76</v>
      </c>
      <c r="D341" s="823">
        <f>2*3.14*1.4*1.7</f>
        <v>14.9464</v>
      </c>
      <c r="E341" s="859">
        <v>5.8</v>
      </c>
      <c r="F341" s="824">
        <f t="shared" si="43"/>
        <v>86.68912</v>
      </c>
      <c r="G341" s="441"/>
    </row>
    <row r="342" ht="18.6" customHeight="1" spans="1:7">
      <c r="A342" s="441"/>
      <c r="B342" s="929" t="s">
        <v>63</v>
      </c>
      <c r="C342" s="822" t="s">
        <v>76</v>
      </c>
      <c r="D342" s="823">
        <f>D341-2*3.14*0.9*1.7</f>
        <v>5.338</v>
      </c>
      <c r="E342" s="823">
        <f>单价汇总表!D11/100</f>
        <v>21.7295909758467</v>
      </c>
      <c r="F342" s="824">
        <f t="shared" si="43"/>
        <v>115.99255662907</v>
      </c>
      <c r="G342" s="441"/>
    </row>
    <row r="343" ht="18.6" customHeight="1" spans="1:7">
      <c r="A343" s="441"/>
      <c r="B343" s="929" t="s">
        <v>264</v>
      </c>
      <c r="C343" s="822" t="s">
        <v>76</v>
      </c>
      <c r="D343" s="823">
        <f>2*3.14*0.9*0.1</f>
        <v>0.5652</v>
      </c>
      <c r="E343" s="823">
        <f>单价汇总表!D19/100</f>
        <v>491.881744284308</v>
      </c>
      <c r="F343" s="824">
        <f t="shared" si="43"/>
        <v>278.011561869491</v>
      </c>
      <c r="G343" s="441"/>
    </row>
    <row r="344" ht="26.45" customHeight="1" spans="1:7">
      <c r="A344" s="441"/>
      <c r="B344" s="811" t="s">
        <v>265</v>
      </c>
      <c r="C344" s="822" t="s">
        <v>74</v>
      </c>
      <c r="D344" s="822">
        <v>1</v>
      </c>
      <c r="E344" s="859">
        <v>1350</v>
      </c>
      <c r="F344" s="824">
        <f t="shared" si="43"/>
        <v>1350</v>
      </c>
      <c r="G344" s="441"/>
    </row>
    <row r="345" ht="18.6" customHeight="1" spans="1:7">
      <c r="A345" s="441"/>
      <c r="B345" s="929" t="s">
        <v>266</v>
      </c>
      <c r="C345" s="822" t="s">
        <v>267</v>
      </c>
      <c r="D345" s="822">
        <v>1</v>
      </c>
      <c r="E345" s="823">
        <v>50</v>
      </c>
      <c r="F345" s="824">
        <f t="shared" si="43"/>
        <v>50</v>
      </c>
      <c r="G345" s="441"/>
    </row>
    <row r="346" ht="18.6" customHeight="1" spans="1:7">
      <c r="A346" s="839"/>
      <c r="B346" s="930" t="s">
        <v>268</v>
      </c>
      <c r="C346" s="841" t="s">
        <v>267</v>
      </c>
      <c r="D346" s="841">
        <v>1</v>
      </c>
      <c r="E346" s="849">
        <v>850</v>
      </c>
      <c r="F346" s="843"/>
      <c r="G346" s="839"/>
    </row>
    <row r="347" ht="18.6" customHeight="1" spans="1:7">
      <c r="A347" s="441" t="s">
        <v>269</v>
      </c>
      <c r="B347" s="929" t="s">
        <v>270</v>
      </c>
      <c r="C347" s="441" t="s">
        <v>155</v>
      </c>
      <c r="D347" s="441">
        <v>6</v>
      </c>
      <c r="E347" s="844">
        <f>F348</f>
        <v>1524.65043562465</v>
      </c>
      <c r="F347" s="824">
        <f t="shared" ref="F347:F353" si="44">D347*E347</f>
        <v>9147.90261374788</v>
      </c>
      <c r="G347" s="441"/>
    </row>
    <row r="348" ht="18.6" customHeight="1" spans="1:7">
      <c r="A348" s="441"/>
      <c r="B348" s="929" t="s">
        <v>145</v>
      </c>
      <c r="C348" s="441"/>
      <c r="D348" s="441"/>
      <c r="E348" s="441"/>
      <c r="F348" s="824">
        <f>SUM(F349:F354)</f>
        <v>1524.65043562465</v>
      </c>
      <c r="G348" s="441"/>
    </row>
    <row r="349" ht="18.6" customHeight="1" spans="1:7">
      <c r="A349" s="441"/>
      <c r="B349" s="929" t="s">
        <v>61</v>
      </c>
      <c r="C349" s="822" t="s">
        <v>76</v>
      </c>
      <c r="D349" s="823">
        <v>13.35</v>
      </c>
      <c r="E349" s="823">
        <f t="shared" ref="E349:E351" si="45">E341</f>
        <v>5.8</v>
      </c>
      <c r="F349" s="824">
        <f t="shared" si="44"/>
        <v>77.43</v>
      </c>
      <c r="G349" s="441"/>
    </row>
    <row r="350" ht="18.6" customHeight="1" spans="1:7">
      <c r="A350" s="441"/>
      <c r="B350" s="929" t="s">
        <v>63</v>
      </c>
      <c r="C350" s="822" t="s">
        <v>76</v>
      </c>
      <c r="D350" s="823">
        <v>5.34</v>
      </c>
      <c r="E350" s="823">
        <f t="shared" si="45"/>
        <v>21.7295909758467</v>
      </c>
      <c r="F350" s="824">
        <f t="shared" si="44"/>
        <v>116.036015811022</v>
      </c>
      <c r="G350" s="441"/>
    </row>
    <row r="351" ht="18.6" customHeight="1" spans="1:7">
      <c r="A351" s="441"/>
      <c r="B351" s="811" t="s">
        <v>264</v>
      </c>
      <c r="C351" s="822" t="s">
        <v>76</v>
      </c>
      <c r="D351" s="823">
        <v>0.47</v>
      </c>
      <c r="E351" s="823">
        <f t="shared" si="45"/>
        <v>491.881744284308</v>
      </c>
      <c r="F351" s="824">
        <f t="shared" si="44"/>
        <v>231.184419813625</v>
      </c>
      <c r="G351" s="441"/>
    </row>
    <row r="352" ht="18.6" customHeight="1" spans="1:7">
      <c r="A352" s="441"/>
      <c r="B352" s="811" t="s">
        <v>271</v>
      </c>
      <c r="C352" s="822" t="s">
        <v>74</v>
      </c>
      <c r="D352" s="822">
        <v>1</v>
      </c>
      <c r="E352" s="859">
        <v>1050</v>
      </c>
      <c r="F352" s="824">
        <f t="shared" si="44"/>
        <v>1050</v>
      </c>
      <c r="G352" s="441"/>
    </row>
    <row r="353" ht="18.6" customHeight="1" spans="1:7">
      <c r="A353" s="441"/>
      <c r="B353" s="929" t="s">
        <v>266</v>
      </c>
      <c r="C353" s="822" t="s">
        <v>267</v>
      </c>
      <c r="D353" s="822">
        <v>1</v>
      </c>
      <c r="E353" s="823">
        <f t="shared" ref="E353:E359" si="46">E345</f>
        <v>50</v>
      </c>
      <c r="F353" s="824">
        <f t="shared" si="44"/>
        <v>50</v>
      </c>
      <c r="G353" s="441"/>
    </row>
    <row r="354" ht="18.6" customHeight="1" spans="1:7">
      <c r="A354" s="839"/>
      <c r="B354" s="930" t="s">
        <v>268</v>
      </c>
      <c r="C354" s="841" t="s">
        <v>267</v>
      </c>
      <c r="D354" s="841">
        <v>1</v>
      </c>
      <c r="E354" s="849">
        <f t="shared" si="46"/>
        <v>850</v>
      </c>
      <c r="F354" s="843"/>
      <c r="G354" s="839"/>
    </row>
    <row r="355" ht="18.6" customHeight="1" spans="1:7">
      <c r="A355" s="441" t="s">
        <v>272</v>
      </c>
      <c r="B355" s="929" t="s">
        <v>273</v>
      </c>
      <c r="C355" s="441" t="s">
        <v>155</v>
      </c>
      <c r="D355" s="441">
        <v>8</v>
      </c>
      <c r="E355" s="844">
        <f>F356</f>
        <v>1371.04307863906</v>
      </c>
      <c r="F355" s="824">
        <f t="shared" ref="F355:F361" si="47">D355*E355</f>
        <v>10968.3446291125</v>
      </c>
      <c r="G355" s="441"/>
    </row>
    <row r="356" ht="18.6" customHeight="1" spans="1:7">
      <c r="A356" s="441"/>
      <c r="B356" s="929" t="s">
        <v>145</v>
      </c>
      <c r="C356" s="441"/>
      <c r="D356" s="441"/>
      <c r="E356" s="441"/>
      <c r="F356" s="824">
        <f>SUM(F357:F362)</f>
        <v>1371.04307863906</v>
      </c>
      <c r="G356" s="441"/>
    </row>
    <row r="357" ht="18.6" customHeight="1" spans="1:7">
      <c r="A357" s="441"/>
      <c r="B357" s="929" t="s">
        <v>61</v>
      </c>
      <c r="C357" s="822" t="s">
        <v>76</v>
      </c>
      <c r="D357" s="823">
        <v>11.74</v>
      </c>
      <c r="E357" s="823">
        <f t="shared" si="46"/>
        <v>5.8</v>
      </c>
      <c r="F357" s="824">
        <f t="shared" si="47"/>
        <v>68.092</v>
      </c>
      <c r="G357" s="441"/>
    </row>
    <row r="358" ht="18.6" customHeight="1" spans="1:7">
      <c r="A358" s="441"/>
      <c r="B358" s="929" t="s">
        <v>63</v>
      </c>
      <c r="C358" s="822" t="s">
        <v>76</v>
      </c>
      <c r="D358" s="823">
        <v>5.34</v>
      </c>
      <c r="E358" s="823">
        <f t="shared" si="46"/>
        <v>21.7295909758467</v>
      </c>
      <c r="F358" s="824">
        <f t="shared" si="47"/>
        <v>116.036015811022</v>
      </c>
      <c r="G358" s="441"/>
    </row>
    <row r="359" ht="18.6" customHeight="1" spans="1:7">
      <c r="A359" s="441"/>
      <c r="B359" s="929" t="s">
        <v>264</v>
      </c>
      <c r="C359" s="822" t="s">
        <v>76</v>
      </c>
      <c r="D359" s="823">
        <v>0.38</v>
      </c>
      <c r="E359" s="823">
        <f t="shared" si="46"/>
        <v>491.881744284308</v>
      </c>
      <c r="F359" s="824">
        <f t="shared" si="47"/>
        <v>186.915062828037</v>
      </c>
      <c r="G359" s="441"/>
    </row>
    <row r="360" ht="24" customHeight="1" spans="1:7">
      <c r="A360" s="441"/>
      <c r="B360" s="811" t="s">
        <v>274</v>
      </c>
      <c r="C360" s="822" t="s">
        <v>74</v>
      </c>
      <c r="D360" s="822">
        <v>1</v>
      </c>
      <c r="E360" s="859">
        <v>950</v>
      </c>
      <c r="F360" s="824">
        <f t="shared" si="47"/>
        <v>950</v>
      </c>
      <c r="G360" s="441"/>
    </row>
    <row r="361" ht="18.6" customHeight="1" spans="1:7">
      <c r="A361" s="441"/>
      <c r="B361" s="929" t="s">
        <v>266</v>
      </c>
      <c r="C361" s="822" t="s">
        <v>267</v>
      </c>
      <c r="D361" s="822">
        <v>1</v>
      </c>
      <c r="E361" s="823">
        <v>50</v>
      </c>
      <c r="F361" s="824">
        <f t="shared" si="47"/>
        <v>50</v>
      </c>
      <c r="G361" s="441"/>
    </row>
    <row r="362" ht="18.6" customHeight="1" spans="1:7">
      <c r="A362" s="839"/>
      <c r="B362" s="930" t="s">
        <v>268</v>
      </c>
      <c r="C362" s="841" t="s">
        <v>267</v>
      </c>
      <c r="D362" s="841">
        <v>1</v>
      </c>
      <c r="E362" s="849">
        <v>850</v>
      </c>
      <c r="F362" s="843"/>
      <c r="G362" s="839"/>
    </row>
    <row r="363" ht="18.6" customHeight="1" spans="1:7">
      <c r="A363" s="441" t="s">
        <v>275</v>
      </c>
      <c r="B363" s="792" t="s">
        <v>276</v>
      </c>
      <c r="C363" s="441"/>
      <c r="D363" s="441"/>
      <c r="E363" s="441"/>
      <c r="F363" s="824" t="e">
        <f>F364</f>
        <v>#REF!</v>
      </c>
      <c r="G363" s="441"/>
    </row>
    <row r="364" ht="18.6" customHeight="1" spans="1:7">
      <c r="A364" s="931"/>
      <c r="B364" s="932" t="s">
        <v>277</v>
      </c>
      <c r="C364" s="933" t="s">
        <v>76</v>
      </c>
      <c r="D364" s="934">
        <v>0.945</v>
      </c>
      <c r="E364" s="934" t="e">
        <f>单价汇总表!#REF!/100</f>
        <v>#REF!</v>
      </c>
      <c r="F364" s="935" t="e">
        <f>D364*E364</f>
        <v>#REF!</v>
      </c>
      <c r="G364" s="931"/>
    </row>
    <row r="365" ht="22.15" customHeight="1" spans="1:7">
      <c r="A365" s="936"/>
      <c r="B365" s="937" t="s">
        <v>278</v>
      </c>
      <c r="C365" s="936"/>
      <c r="D365" s="936"/>
      <c r="E365" s="938"/>
      <c r="F365" s="939" t="e">
        <f>F20+F96+F173+F247</f>
        <v>#REF!</v>
      </c>
      <c r="G365" s="936"/>
    </row>
    <row r="366" ht="22.15" customHeight="1" spans="1:7">
      <c r="A366" s="940"/>
      <c r="C366" s="940"/>
      <c r="D366" s="940"/>
      <c r="E366" s="941"/>
      <c r="F366" s="940"/>
      <c r="G366" s="940"/>
    </row>
    <row r="367" ht="34.15" customHeight="1" spans="1:7">
      <c r="A367" s="940"/>
      <c r="C367" s="940"/>
      <c r="D367" s="940"/>
      <c r="E367" s="941"/>
      <c r="F367" s="940"/>
      <c r="G367" s="940"/>
    </row>
  </sheetData>
  <mergeCells count="2">
    <mergeCell ref="A1:G1"/>
    <mergeCell ref="A2:G2"/>
  </mergeCells>
  <pageMargins left="0.550694444444444" right="0.511805555555556" top="0.751388888888889" bottom="0.751388888888889" header="0.298611111111111" footer="0.298611111111111"/>
  <pageSetup paperSize="9" orientation="portrait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X20"/>
  <sheetViews>
    <sheetView workbookViewId="0">
      <pane xSplit="2" ySplit="4" topLeftCell="C5" activePane="bottomRight" state="frozen"/>
      <selection/>
      <selection pane="topRight"/>
      <selection pane="bottomLeft"/>
      <selection pane="bottomRight" activeCell="AA11" sqref="AA11"/>
    </sheetView>
  </sheetViews>
  <sheetFormatPr defaultColWidth="9" defaultRowHeight="21" customHeight="1"/>
  <cols>
    <col min="1" max="1" width="6.25" style="306" customWidth="1"/>
    <col min="2" max="2" width="14.375" style="306" customWidth="1"/>
    <col min="3" max="14" width="9" style="306"/>
    <col min="15" max="15" width="10.5" style="306" hidden="1" customWidth="1"/>
    <col min="16" max="16" width="11.25" style="306" hidden="1" customWidth="1"/>
    <col min="17" max="25" width="9" style="306" hidden="1" customWidth="1"/>
    <col min="26" max="16384" width="9" style="306"/>
  </cols>
  <sheetData>
    <row r="1" customHeight="1" spans="1:16">
      <c r="A1" s="166" t="s">
        <v>1136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P1" s="418">
        <f>材料预算价!K5-材料预算价!L5</f>
        <v>156.64017</v>
      </c>
    </row>
    <row r="2" customHeight="1" spans="1:24">
      <c r="A2" s="167"/>
      <c r="B2" s="167"/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167"/>
      <c r="O2" s="419" t="s">
        <v>1137</v>
      </c>
      <c r="P2" s="419"/>
      <c r="Q2" s="419"/>
      <c r="R2" s="419"/>
      <c r="S2" s="419"/>
      <c r="T2" s="419"/>
      <c r="U2" s="419"/>
      <c r="V2" s="419"/>
      <c r="W2" s="419"/>
      <c r="X2" s="419"/>
    </row>
    <row r="3" customHeight="1" spans="1:24">
      <c r="A3" s="248" t="s">
        <v>354</v>
      </c>
      <c r="B3" s="248" t="s">
        <v>1138</v>
      </c>
      <c r="C3" s="248" t="s">
        <v>1139</v>
      </c>
      <c r="D3" s="248" t="s">
        <v>1140</v>
      </c>
      <c r="E3" s="57" t="s">
        <v>1141</v>
      </c>
      <c r="F3" s="57"/>
      <c r="G3" s="57" t="s">
        <v>1142</v>
      </c>
      <c r="H3" s="57"/>
      <c r="I3" s="57" t="s">
        <v>1110</v>
      </c>
      <c r="J3" s="57"/>
      <c r="K3" s="57" t="s">
        <v>1022</v>
      </c>
      <c r="L3" s="57"/>
      <c r="M3" s="248" t="s">
        <v>855</v>
      </c>
      <c r="O3" s="417" t="s">
        <v>1141</v>
      </c>
      <c r="P3" s="417"/>
      <c r="Q3" s="417" t="s">
        <v>1142</v>
      </c>
      <c r="R3" s="417"/>
      <c r="S3" s="417" t="s">
        <v>1110</v>
      </c>
      <c r="T3" s="417"/>
      <c r="U3" s="417" t="s">
        <v>1022</v>
      </c>
      <c r="V3" s="417"/>
      <c r="W3" s="423" t="s">
        <v>855</v>
      </c>
      <c r="X3" s="423" t="s">
        <v>1143</v>
      </c>
    </row>
    <row r="4" customHeight="1" spans="1:24">
      <c r="A4" s="415"/>
      <c r="B4" s="415"/>
      <c r="C4" s="415"/>
      <c r="D4" s="415"/>
      <c r="E4" s="57" t="s">
        <v>1144</v>
      </c>
      <c r="F4" s="57" t="s">
        <v>53</v>
      </c>
      <c r="G4" s="57" t="s">
        <v>1144</v>
      </c>
      <c r="H4" s="57" t="s">
        <v>53</v>
      </c>
      <c r="I4" s="57" t="s">
        <v>1144</v>
      </c>
      <c r="J4" s="57" t="s">
        <v>53</v>
      </c>
      <c r="K4" s="57" t="s">
        <v>1144</v>
      </c>
      <c r="L4" s="57" t="s">
        <v>53</v>
      </c>
      <c r="M4" s="415"/>
      <c r="O4" s="417" t="s">
        <v>1144</v>
      </c>
      <c r="P4" s="417" t="s">
        <v>53</v>
      </c>
      <c r="Q4" s="417" t="s">
        <v>1144</v>
      </c>
      <c r="R4" s="417" t="s">
        <v>53</v>
      </c>
      <c r="S4" s="417" t="s">
        <v>1144</v>
      </c>
      <c r="T4" s="417" t="s">
        <v>53</v>
      </c>
      <c r="U4" s="417" t="s">
        <v>1144</v>
      </c>
      <c r="V4" s="417" t="s">
        <v>53</v>
      </c>
      <c r="W4" s="424"/>
      <c r="X4" s="424"/>
    </row>
    <row r="5" customHeight="1" spans="1:24">
      <c r="A5" s="57">
        <v>1</v>
      </c>
      <c r="B5" s="57" t="s">
        <v>1145</v>
      </c>
      <c r="C5" s="57">
        <v>42.5</v>
      </c>
      <c r="D5" s="57">
        <v>2</v>
      </c>
      <c r="E5" s="416">
        <f>0.208*1.1*1.07*0.86</f>
        <v>0.21054176</v>
      </c>
      <c r="F5" s="113">
        <f>E5*材料预算价!L5</f>
        <v>53.6881488</v>
      </c>
      <c r="G5" s="416">
        <f>0.55*1.1*0.98</f>
        <v>0.5929</v>
      </c>
      <c r="H5" s="113">
        <f>G5*材料预算价!L7</f>
        <v>41.503</v>
      </c>
      <c r="I5" s="416">
        <f>0.79*1.06*0.98</f>
        <v>0.820652</v>
      </c>
      <c r="J5" s="113">
        <f>I5*材料预算价!L8</f>
        <v>57.44564</v>
      </c>
      <c r="K5" s="416">
        <f t="shared" ref="K5:K8" si="0">0.15*1.1*1.07</f>
        <v>0.17655</v>
      </c>
      <c r="L5" s="113">
        <f>K5*材料预算价!K14</f>
        <v>0.7715235</v>
      </c>
      <c r="M5" s="84">
        <f>L5+J5+H5+F5</f>
        <v>153.4083123</v>
      </c>
      <c r="O5" s="420">
        <f>E5</f>
        <v>0.21054176</v>
      </c>
      <c r="P5" s="421">
        <f>O5*材料预算价!K5</f>
        <v>86.6674458784992</v>
      </c>
      <c r="Q5" s="420">
        <f t="shared" ref="Q5:Q8" si="1">G5</f>
        <v>0.5929</v>
      </c>
      <c r="R5" s="421">
        <f>Q5*材料预算价!K7</f>
        <v>68.0804622806</v>
      </c>
      <c r="S5" s="420">
        <f t="shared" ref="S5:S8" si="2">I5</f>
        <v>0.820652</v>
      </c>
      <c r="T5" s="421">
        <f>S5*材料预算价!K8</f>
        <v>74.35470668836</v>
      </c>
      <c r="U5" s="420">
        <f>K5</f>
        <v>0.17655</v>
      </c>
      <c r="V5" s="421">
        <f>U5*材料预算价!K14</f>
        <v>0.7715235</v>
      </c>
      <c r="W5" s="425">
        <f>V5+T5+R5+P5</f>
        <v>229.874138347459</v>
      </c>
      <c r="X5" s="425">
        <f>W5-M5</f>
        <v>76.4658260474592</v>
      </c>
    </row>
    <row r="6" customHeight="1" spans="1:24">
      <c r="A6" s="57">
        <v>2</v>
      </c>
      <c r="B6" s="57" t="s">
        <v>1146</v>
      </c>
      <c r="C6" s="57">
        <v>42.5</v>
      </c>
      <c r="D6" s="57">
        <v>2</v>
      </c>
      <c r="E6" s="416">
        <f>0.242*1.1*1.07*0.86</f>
        <v>0.24495724</v>
      </c>
      <c r="F6" s="113">
        <f>E6*材料预算价!L5</f>
        <v>62.4640962</v>
      </c>
      <c r="G6" s="416">
        <f>0.52*1.1*0.98</f>
        <v>0.56056</v>
      </c>
      <c r="H6" s="113">
        <f>G6*材料预算价!L7</f>
        <v>39.2392</v>
      </c>
      <c r="I6" s="416">
        <f t="shared" ref="I6:I12" si="3">0.81*1.06*0.98</f>
        <v>0.841428</v>
      </c>
      <c r="J6" s="113">
        <f>I6*材料预算价!L8</f>
        <v>58.89996</v>
      </c>
      <c r="K6" s="416">
        <f t="shared" si="0"/>
        <v>0.17655</v>
      </c>
      <c r="L6" s="113">
        <f>K6*材料预算价!K14</f>
        <v>0.7715235</v>
      </c>
      <c r="M6" s="84">
        <f t="shared" ref="M6:M16" si="4">L6+J6+H6+F6</f>
        <v>161.3747797</v>
      </c>
      <c r="O6" s="420">
        <f>E6</f>
        <v>0.24495724</v>
      </c>
      <c r="P6" s="421">
        <f>O6*材料预算价!K5</f>
        <v>100.834239916331</v>
      </c>
      <c r="Q6" s="420">
        <f t="shared" si="1"/>
        <v>0.56056</v>
      </c>
      <c r="R6" s="421">
        <f>Q6*材料预算价!K7</f>
        <v>64.36698251984</v>
      </c>
      <c r="S6" s="420">
        <f t="shared" si="2"/>
        <v>0.841428</v>
      </c>
      <c r="T6" s="421">
        <f>S6*材料预算价!K8</f>
        <v>76.23710432604</v>
      </c>
      <c r="U6" s="420">
        <f>K6</f>
        <v>0.17655</v>
      </c>
      <c r="V6" s="421">
        <f>U6*材料预算价!K14</f>
        <v>0.7715235</v>
      </c>
      <c r="W6" s="425">
        <f>V6+T6+R6+P6</f>
        <v>242.209850262211</v>
      </c>
      <c r="X6" s="425">
        <f>W6-M6</f>
        <v>80.8350705622108</v>
      </c>
    </row>
    <row r="7" customHeight="1" spans="1:24">
      <c r="A7" s="57">
        <v>3</v>
      </c>
      <c r="B7" s="57" t="s">
        <v>1146</v>
      </c>
      <c r="C7" s="57">
        <v>42.5</v>
      </c>
      <c r="D7" s="57">
        <v>1</v>
      </c>
      <c r="E7" s="416">
        <f>0.27*1.1*1.07*0.86</f>
        <v>0.2732994</v>
      </c>
      <c r="F7" s="113">
        <f>E7*材料预算价!L5</f>
        <v>69.691347</v>
      </c>
      <c r="G7" s="416">
        <f>0.57*1.1*0.98</f>
        <v>0.61446</v>
      </c>
      <c r="H7" s="113">
        <f>G7*材料预算价!L7</f>
        <v>43.0122</v>
      </c>
      <c r="I7" s="416">
        <f>0.7*1.06*0.98</f>
        <v>0.72716</v>
      </c>
      <c r="J7" s="113">
        <f>I7*材料预算价!L8</f>
        <v>50.9012</v>
      </c>
      <c r="K7" s="416">
        <f>0.17*1.1*1.07</f>
        <v>0.20009</v>
      </c>
      <c r="L7" s="113">
        <f>K7*材料预算价!K14</f>
        <v>0.8743933</v>
      </c>
      <c r="M7" s="84">
        <f t="shared" si="4"/>
        <v>164.4791403</v>
      </c>
      <c r="O7" s="420"/>
      <c r="P7" s="421"/>
      <c r="Q7" s="420"/>
      <c r="R7" s="421"/>
      <c r="S7" s="420"/>
      <c r="T7" s="421"/>
      <c r="U7" s="420"/>
      <c r="V7" s="421"/>
      <c r="W7" s="425"/>
      <c r="X7" s="425"/>
    </row>
    <row r="8" customHeight="1" spans="1:24">
      <c r="A8" s="57">
        <v>4</v>
      </c>
      <c r="B8" s="57" t="s">
        <v>1147</v>
      </c>
      <c r="C8" s="57">
        <v>42.5</v>
      </c>
      <c r="D8" s="57">
        <v>2</v>
      </c>
      <c r="E8" s="416">
        <f>0.261*1.1*1.07</f>
        <v>0.307197</v>
      </c>
      <c r="F8" s="113">
        <f>E8*材料预算价!L5</f>
        <v>78.335235</v>
      </c>
      <c r="G8" s="416">
        <f>0.51*1.1*0.98</f>
        <v>0.54978</v>
      </c>
      <c r="H8" s="113">
        <f>G8*材料预算价!L7</f>
        <v>38.4846</v>
      </c>
      <c r="I8" s="416">
        <f t="shared" si="3"/>
        <v>0.841428</v>
      </c>
      <c r="J8" s="113">
        <f>I8*材料预算价!L8</f>
        <v>58.89996</v>
      </c>
      <c r="K8" s="416">
        <f t="shared" si="0"/>
        <v>0.17655</v>
      </c>
      <c r="L8" s="113">
        <f>K8*材料预算价!K14</f>
        <v>0.7715235</v>
      </c>
      <c r="M8" s="84">
        <f t="shared" si="4"/>
        <v>176.4913185</v>
      </c>
      <c r="O8" s="420">
        <f>E8</f>
        <v>0.307197</v>
      </c>
      <c r="P8" s="421">
        <f>O8*材料预算价!K5</f>
        <v>126.45462530349</v>
      </c>
      <c r="Q8" s="420">
        <f t="shared" si="1"/>
        <v>0.54978</v>
      </c>
      <c r="R8" s="421">
        <f>Q8*材料预算价!K7</f>
        <v>63.12915593292</v>
      </c>
      <c r="S8" s="420">
        <f t="shared" si="2"/>
        <v>0.841428</v>
      </c>
      <c r="T8" s="421">
        <f>S8*材料预算价!K8</f>
        <v>76.23710432604</v>
      </c>
      <c r="U8" s="420">
        <f>K8</f>
        <v>0.17655</v>
      </c>
      <c r="V8" s="421">
        <f>U8*材料预算价!K14</f>
        <v>0.7715235</v>
      </c>
      <c r="W8" s="425">
        <f>V8+T8+R8+P8</f>
        <v>266.59240906245</v>
      </c>
      <c r="X8" s="425">
        <f>W8-M8</f>
        <v>90.10109056245</v>
      </c>
    </row>
    <row r="9" customHeight="1" spans="1:24">
      <c r="A9" s="57">
        <v>5</v>
      </c>
      <c r="B9" s="57" t="s">
        <v>1147</v>
      </c>
      <c r="C9" s="57">
        <v>42.5</v>
      </c>
      <c r="D9" s="57">
        <v>1</v>
      </c>
      <c r="E9" s="416">
        <f>0.294*1.1*1.07</f>
        <v>0.346038</v>
      </c>
      <c r="F9" s="113">
        <f>E9*材料预算价!L5</f>
        <v>88.23969</v>
      </c>
      <c r="G9" s="416">
        <f>0.56*1.1*0.98</f>
        <v>0.60368</v>
      </c>
      <c r="H9" s="113">
        <f>G9*材料预算价!L7</f>
        <v>42.2576</v>
      </c>
      <c r="I9" s="416">
        <f>0.71*1.06*0.98</f>
        <v>0.737548</v>
      </c>
      <c r="J9" s="113">
        <f>I9*材料预算价!L8</f>
        <v>51.62836</v>
      </c>
      <c r="K9" s="416">
        <f>0.17*1.1*1.07</f>
        <v>0.20009</v>
      </c>
      <c r="L9" s="113">
        <f>K9*材料预算价!K14</f>
        <v>0.8743933</v>
      </c>
      <c r="M9" s="84">
        <f t="shared" si="4"/>
        <v>183.0000433</v>
      </c>
      <c r="O9" s="420"/>
      <c r="P9" s="421"/>
      <c r="Q9" s="420"/>
      <c r="R9" s="421"/>
      <c r="S9" s="420"/>
      <c r="T9" s="421"/>
      <c r="U9" s="420"/>
      <c r="V9" s="421"/>
      <c r="W9" s="425"/>
      <c r="X9" s="425"/>
    </row>
    <row r="10" customHeight="1" spans="1:24">
      <c r="A10" s="57">
        <v>6</v>
      </c>
      <c r="B10" s="57" t="s">
        <v>1148</v>
      </c>
      <c r="C10" s="57">
        <v>42.5</v>
      </c>
      <c r="D10" s="57">
        <v>2</v>
      </c>
      <c r="E10" s="416">
        <f>0.289*1.1*1.07</f>
        <v>0.340153</v>
      </c>
      <c r="F10" s="113">
        <f>E10*材料预算价!L5</f>
        <v>86.739015</v>
      </c>
      <c r="G10" s="416">
        <f>0.49*1.1*0.98</f>
        <v>0.52822</v>
      </c>
      <c r="H10" s="113">
        <f>G10*材料预算价!L7</f>
        <v>36.9754</v>
      </c>
      <c r="I10" s="416">
        <f t="shared" si="3"/>
        <v>0.841428</v>
      </c>
      <c r="J10" s="113">
        <f>I10*材料预算价!L8</f>
        <v>58.89996</v>
      </c>
      <c r="K10" s="416">
        <f t="shared" ref="K10:K12" si="5">0.15*1.1*1.07</f>
        <v>0.17655</v>
      </c>
      <c r="L10" s="113">
        <f>K10*材料预算价!K14</f>
        <v>0.7715235</v>
      </c>
      <c r="M10" s="84">
        <f t="shared" si="4"/>
        <v>183.3858985</v>
      </c>
      <c r="O10" s="420">
        <f>E10</f>
        <v>0.340153</v>
      </c>
      <c r="P10" s="421">
        <f>O10*材料预算价!K5</f>
        <v>140.02063874601</v>
      </c>
      <c r="Q10" s="420">
        <f>G10</f>
        <v>0.52822</v>
      </c>
      <c r="R10" s="421">
        <f>Q10*材料预算价!K7</f>
        <v>60.65350275908</v>
      </c>
      <c r="S10" s="420">
        <f>I10</f>
        <v>0.841428</v>
      </c>
      <c r="T10" s="421">
        <f>S10*材料预算价!K8</f>
        <v>76.23710432604</v>
      </c>
      <c r="U10" s="420">
        <f>K10</f>
        <v>0.17655</v>
      </c>
      <c r="V10" s="421">
        <f>U10*材料预算价!K14</f>
        <v>0.7715235</v>
      </c>
      <c r="W10" s="425">
        <f>V10+T10+R10+P10</f>
        <v>277.68276933113</v>
      </c>
      <c r="X10" s="425">
        <f>W10-M10</f>
        <v>94.29687083113</v>
      </c>
    </row>
    <row r="11" customHeight="1" spans="1:24">
      <c r="A11" s="57">
        <v>7</v>
      </c>
      <c r="B11" s="57" t="s">
        <v>1149</v>
      </c>
      <c r="C11" s="57">
        <v>42.5</v>
      </c>
      <c r="D11" s="57">
        <v>2</v>
      </c>
      <c r="E11" s="416">
        <f>0.31*1.1*1.07</f>
        <v>0.36487</v>
      </c>
      <c r="F11" s="113">
        <f>E11*材料预算价!L5</f>
        <v>93.04185</v>
      </c>
      <c r="G11" s="416">
        <f>0.47*1.1*0.98</f>
        <v>0.50666</v>
      </c>
      <c r="H11" s="113">
        <f>G11*材料预算价!L7</f>
        <v>35.4662</v>
      </c>
      <c r="I11" s="416">
        <f t="shared" si="3"/>
        <v>0.841428</v>
      </c>
      <c r="J11" s="113">
        <f>I11*材料预算价!L8</f>
        <v>58.89996</v>
      </c>
      <c r="K11" s="416">
        <f t="shared" si="5"/>
        <v>0.17655</v>
      </c>
      <c r="L11" s="113">
        <f>K11*材料预算价!K14</f>
        <v>0.7715235</v>
      </c>
      <c r="M11" s="84">
        <f t="shared" si="4"/>
        <v>188.1795335</v>
      </c>
      <c r="O11" s="420">
        <f>E11</f>
        <v>0.36487</v>
      </c>
      <c r="P11" s="421">
        <f>O11*材料预算价!K5</f>
        <v>150.1951488279</v>
      </c>
      <c r="Q11" s="420">
        <f>G11</f>
        <v>0.50666</v>
      </c>
      <c r="R11" s="421">
        <f>Q11*材料预算价!K7</f>
        <v>58.17784958524</v>
      </c>
      <c r="S11" s="420">
        <f>I11</f>
        <v>0.841428</v>
      </c>
      <c r="T11" s="421">
        <f>S11*材料预算价!K8</f>
        <v>76.23710432604</v>
      </c>
      <c r="U11" s="420">
        <f>K11</f>
        <v>0.17655</v>
      </c>
      <c r="V11" s="421">
        <f>U11*材料预算价!K14</f>
        <v>0.7715235</v>
      </c>
      <c r="W11" s="425">
        <f>V11+T11+R11+P11</f>
        <v>285.38162623918</v>
      </c>
      <c r="X11" s="425">
        <f>W11-M11</f>
        <v>97.20209273918</v>
      </c>
    </row>
    <row r="12" customHeight="1" spans="1:24">
      <c r="A12" s="57">
        <v>8</v>
      </c>
      <c r="B12" s="57" t="s">
        <v>1150</v>
      </c>
      <c r="C12" s="57">
        <v>42.5</v>
      </c>
      <c r="D12" s="57">
        <v>2</v>
      </c>
      <c r="E12" s="416">
        <f>0.343*1.1*1.07</f>
        <v>0.403711</v>
      </c>
      <c r="F12" s="113">
        <f>E12*材料预算价!L6</f>
        <v>102.946305</v>
      </c>
      <c r="G12" s="416">
        <f>0.45*1.1*0.98</f>
        <v>0.4851</v>
      </c>
      <c r="H12" s="113">
        <f>G12*材料预算价!L8</f>
        <v>33.957</v>
      </c>
      <c r="I12" s="416">
        <f t="shared" si="3"/>
        <v>0.841428</v>
      </c>
      <c r="J12" s="113">
        <f>I12*材料预算价!L9</f>
        <v>58.89996</v>
      </c>
      <c r="K12" s="416">
        <f t="shared" si="5"/>
        <v>0.17655</v>
      </c>
      <c r="L12" s="113">
        <f>K12*材料预算价!K14</f>
        <v>0.7715235</v>
      </c>
      <c r="M12" s="84">
        <f t="shared" si="4"/>
        <v>196.5747885</v>
      </c>
      <c r="O12" s="420"/>
      <c r="P12" s="421"/>
      <c r="Q12" s="420"/>
      <c r="R12" s="421"/>
      <c r="S12" s="420"/>
      <c r="T12" s="421"/>
      <c r="U12" s="420"/>
      <c r="V12" s="421"/>
      <c r="W12" s="425"/>
      <c r="X12" s="425"/>
    </row>
    <row r="13" customHeight="1" spans="1:24">
      <c r="A13" s="57">
        <v>9</v>
      </c>
      <c r="B13" s="57" t="s">
        <v>1151</v>
      </c>
      <c r="C13" s="57">
        <v>42.5</v>
      </c>
      <c r="D13" s="57"/>
      <c r="E13" s="416">
        <f>0.211*0.86</f>
        <v>0.18146</v>
      </c>
      <c r="F13" s="113">
        <f>E13*材料预算价!L5</f>
        <v>46.2723</v>
      </c>
      <c r="G13" s="57">
        <v>1.13</v>
      </c>
      <c r="H13" s="113">
        <f>G13*材料预算价!L7</f>
        <v>79.1</v>
      </c>
      <c r="I13" s="57"/>
      <c r="J13" s="57"/>
      <c r="K13" s="57">
        <v>0.127</v>
      </c>
      <c r="L13" s="113">
        <f>K13*材料预算价!K14</f>
        <v>0.55499</v>
      </c>
      <c r="M13" s="84">
        <f t="shared" si="4"/>
        <v>125.92729</v>
      </c>
      <c r="O13" s="417">
        <f>E13</f>
        <v>0.18146</v>
      </c>
      <c r="P13" s="421">
        <f>O13*材料预算价!K5</f>
        <v>74.6962252482</v>
      </c>
      <c r="Q13" s="417">
        <v>1.13</v>
      </c>
      <c r="R13" s="421">
        <f>Q13*材料预算价!K7</f>
        <v>129.75362182</v>
      </c>
      <c r="S13" s="417"/>
      <c r="T13" s="417"/>
      <c r="U13" s="417">
        <f>K13</f>
        <v>0.127</v>
      </c>
      <c r="V13" s="421">
        <f>U13*材料预算价!K14</f>
        <v>0.55499</v>
      </c>
      <c r="W13" s="425">
        <f>V13+T13+R13+P13</f>
        <v>205.0048370682</v>
      </c>
      <c r="X13" s="425">
        <f>W13-M13</f>
        <v>79.0775470682</v>
      </c>
    </row>
    <row r="14" customHeight="1" spans="1:24">
      <c r="A14" s="57">
        <v>10</v>
      </c>
      <c r="B14" s="57" t="s">
        <v>1152</v>
      </c>
      <c r="C14" s="57">
        <v>42.5</v>
      </c>
      <c r="D14" s="57"/>
      <c r="E14" s="416">
        <f>0.261*0.86</f>
        <v>0.22446</v>
      </c>
      <c r="F14" s="113">
        <f>E14*材料预算价!L5</f>
        <v>57.2373</v>
      </c>
      <c r="G14" s="57">
        <v>1.11</v>
      </c>
      <c r="H14" s="113">
        <f>G14*材料预算价!L7</f>
        <v>77.7</v>
      </c>
      <c r="I14" s="57"/>
      <c r="J14" s="57"/>
      <c r="K14" s="57">
        <v>0.157</v>
      </c>
      <c r="L14" s="113">
        <f>K14*材料预算价!K14</f>
        <v>0.68609</v>
      </c>
      <c r="M14" s="84">
        <f t="shared" si="4"/>
        <v>135.62339</v>
      </c>
      <c r="O14" s="417">
        <f>E14</f>
        <v>0.22446</v>
      </c>
      <c r="P14" s="421">
        <f>O14*材料预算价!K5</f>
        <v>92.3967525582</v>
      </c>
      <c r="Q14" s="417">
        <v>1.11</v>
      </c>
      <c r="R14" s="421">
        <f>Q14*材料预算价!K7</f>
        <v>127.45709754</v>
      </c>
      <c r="S14" s="417"/>
      <c r="T14" s="417"/>
      <c r="U14" s="417">
        <f>K14</f>
        <v>0.157</v>
      </c>
      <c r="V14" s="421">
        <f>U14*材料预算价!K14</f>
        <v>0.68609</v>
      </c>
      <c r="W14" s="425">
        <f>V14+T14+R14+P14</f>
        <v>220.5399400982</v>
      </c>
      <c r="X14" s="425">
        <f>W14-M14</f>
        <v>84.9165500982</v>
      </c>
    </row>
    <row r="15" customHeight="1" spans="1:24">
      <c r="A15" s="57">
        <v>11</v>
      </c>
      <c r="B15" s="57" t="s">
        <v>1153</v>
      </c>
      <c r="C15" s="57">
        <v>42.5</v>
      </c>
      <c r="D15" s="57"/>
      <c r="E15" s="416">
        <f>0.305*0.86</f>
        <v>0.2623</v>
      </c>
      <c r="F15" s="113">
        <f>E15*材料预算价!L5</f>
        <v>66.8865</v>
      </c>
      <c r="G15" s="57">
        <v>1.1</v>
      </c>
      <c r="H15" s="113">
        <f>G15*材料预算价!L7</f>
        <v>77</v>
      </c>
      <c r="I15" s="57"/>
      <c r="J15" s="57"/>
      <c r="K15" s="57">
        <v>0.183</v>
      </c>
      <c r="L15" s="113">
        <f>K15*材料预算价!K14</f>
        <v>0.79971</v>
      </c>
      <c r="M15" s="84">
        <f t="shared" si="4"/>
        <v>144.68621</v>
      </c>
      <c r="O15" s="417">
        <f>E15</f>
        <v>0.2623</v>
      </c>
      <c r="P15" s="421">
        <f>O15*材料预算价!K5</f>
        <v>107.973216591</v>
      </c>
      <c r="Q15" s="417">
        <v>1.1</v>
      </c>
      <c r="R15" s="421">
        <f>Q15*材料预算价!K7</f>
        <v>126.3088354</v>
      </c>
      <c r="S15" s="417"/>
      <c r="T15" s="417"/>
      <c r="U15" s="417">
        <f>K15</f>
        <v>0.183</v>
      </c>
      <c r="V15" s="421">
        <f>U15*材料预算价!K14</f>
        <v>0.79971</v>
      </c>
      <c r="W15" s="425">
        <f>V15+T15+R15+P15</f>
        <v>235.081761991</v>
      </c>
      <c r="X15" s="425">
        <f>W15-M15</f>
        <v>90.395551991</v>
      </c>
    </row>
    <row r="16" customHeight="1" spans="1:13">
      <c r="A16" s="57">
        <v>12</v>
      </c>
      <c r="B16" s="57" t="s">
        <v>1154</v>
      </c>
      <c r="C16" s="57">
        <v>42.5</v>
      </c>
      <c r="D16" s="57"/>
      <c r="E16" s="416">
        <f>0.457*0.86</f>
        <v>0.39302</v>
      </c>
      <c r="F16" s="113">
        <f>E16*材料预算价!L6</f>
        <v>100.2201</v>
      </c>
      <c r="G16" s="57">
        <v>1.06</v>
      </c>
      <c r="H16" s="113">
        <f>G16*材料预算价!L8</f>
        <v>74.2</v>
      </c>
      <c r="I16" s="57"/>
      <c r="J16" s="57"/>
      <c r="K16" s="57">
        <v>0.274</v>
      </c>
      <c r="L16" s="113">
        <f>K16*材料预算价!K14</f>
        <v>1.19738</v>
      </c>
      <c r="M16" s="84">
        <f t="shared" si="4"/>
        <v>175.61748</v>
      </c>
    </row>
    <row r="17" customHeight="1" spans="1:16">
      <c r="A17" s="417"/>
      <c r="B17" s="417"/>
      <c r="C17" s="417"/>
      <c r="D17" s="417"/>
      <c r="E17" s="417"/>
      <c r="F17" s="417"/>
      <c r="G17" s="417"/>
      <c r="H17" s="417"/>
      <c r="I17" s="417"/>
      <c r="J17" s="417"/>
      <c r="K17" s="417"/>
      <c r="L17" s="417"/>
      <c r="M17" s="417"/>
      <c r="P17" s="422"/>
    </row>
    <row r="18" customHeight="1" spans="1:13">
      <c r="A18" s="417"/>
      <c r="B18" s="417"/>
      <c r="C18" s="417"/>
      <c r="D18" s="417"/>
      <c r="E18" s="417"/>
      <c r="F18" s="417"/>
      <c r="G18" s="417"/>
      <c r="H18" s="417"/>
      <c r="I18" s="417"/>
      <c r="J18" s="417"/>
      <c r="K18" s="417"/>
      <c r="L18" s="417"/>
      <c r="M18" s="417"/>
    </row>
    <row r="19" customHeight="1" spans="1:13">
      <c r="A19" s="417"/>
      <c r="B19" s="417"/>
      <c r="C19" s="417"/>
      <c r="D19" s="417"/>
      <c r="E19" s="417"/>
      <c r="F19" s="417"/>
      <c r="G19" s="417"/>
      <c r="H19" s="417"/>
      <c r="I19" s="417"/>
      <c r="J19" s="417"/>
      <c r="K19" s="417"/>
      <c r="L19" s="417"/>
      <c r="M19" s="417"/>
    </row>
    <row r="20" customHeight="1" spans="1:13">
      <c r="A20" s="417"/>
      <c r="B20" s="417"/>
      <c r="C20" s="417"/>
      <c r="D20" s="417"/>
      <c r="E20" s="417"/>
      <c r="F20" s="417"/>
      <c r="G20" s="417"/>
      <c r="H20" s="417"/>
      <c r="I20" s="417"/>
      <c r="J20" s="417"/>
      <c r="K20" s="417"/>
      <c r="L20" s="417"/>
      <c r="M20" s="417"/>
    </row>
  </sheetData>
  <mergeCells count="17">
    <mergeCell ref="O2:X2"/>
    <mergeCell ref="E3:F3"/>
    <mergeCell ref="G3:H3"/>
    <mergeCell ref="I3:J3"/>
    <mergeCell ref="K3:L3"/>
    <mergeCell ref="O3:P3"/>
    <mergeCell ref="Q3:R3"/>
    <mergeCell ref="S3:T3"/>
    <mergeCell ref="U3:V3"/>
    <mergeCell ref="A3:A4"/>
    <mergeCell ref="B3:B4"/>
    <mergeCell ref="C3:C4"/>
    <mergeCell ref="D3:D4"/>
    <mergeCell ref="M3:M4"/>
    <mergeCell ref="W3:W4"/>
    <mergeCell ref="X3:X4"/>
    <mergeCell ref="A1:M2"/>
  </mergeCells>
  <pageMargins left="0.75" right="0.75" top="1" bottom="1" header="0.5" footer="0.5"/>
  <pageSetup paperSize="9" orientation="landscape"/>
  <headerFooter alignWithMargins="0" scaleWithDoc="0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S4378"/>
  <sheetViews>
    <sheetView zoomScale="85" zoomScaleNormal="85" topLeftCell="A61" workbookViewId="0">
      <selection activeCell="B64" sqref="A64:F85"/>
    </sheetView>
  </sheetViews>
  <sheetFormatPr defaultColWidth="9" defaultRowHeight="18" customHeight="1"/>
  <cols>
    <col min="1" max="1" width="9.375" style="109" customWidth="1"/>
    <col min="2" max="2" width="22" style="243" customWidth="1"/>
    <col min="3" max="3" width="9.75" style="109" customWidth="1"/>
    <col min="4" max="4" width="10.125" style="109" customWidth="1"/>
    <col min="5" max="5" width="10.5" style="109" customWidth="1"/>
    <col min="6" max="6" width="12.125" style="109" customWidth="1"/>
    <col min="7" max="7" width="23.625" style="109" customWidth="1"/>
    <col min="8" max="8" width="17" style="109" customWidth="1"/>
    <col min="9" max="9" width="17.625" style="109" customWidth="1"/>
    <col min="10" max="10" width="12.125" style="109" customWidth="1"/>
    <col min="11" max="11" width="13.875" style="109" customWidth="1"/>
    <col min="12" max="12" width="10.125" style="109" customWidth="1"/>
    <col min="13" max="13" width="15.75" style="109" customWidth="1"/>
    <col min="14" max="14" width="14.125" style="109" customWidth="1"/>
    <col min="15" max="15" width="9" style="109"/>
    <col min="16" max="18" width="9.25" style="109" customWidth="1"/>
    <col min="19" max="19" width="10.125" style="109" customWidth="1"/>
    <col min="20" max="16384" width="9" style="109"/>
  </cols>
  <sheetData>
    <row r="1" s="307" customFormat="1" customHeight="1" spans="1:18">
      <c r="A1" s="311" t="s">
        <v>1155</v>
      </c>
      <c r="B1" s="175"/>
      <c r="C1" s="175"/>
      <c r="D1" s="175"/>
      <c r="E1" s="175"/>
      <c r="F1" s="175"/>
      <c r="G1"/>
      <c r="H1"/>
      <c r="I1"/>
      <c r="J1"/>
      <c r="K1"/>
      <c r="L1"/>
      <c r="M1" s="311" t="s">
        <v>1155</v>
      </c>
      <c r="N1" s="175"/>
      <c r="O1" s="175"/>
      <c r="P1" s="175"/>
      <c r="Q1" s="175"/>
      <c r="R1" s="175"/>
    </row>
    <row r="2" s="307" customFormat="1" customHeight="1" spans="1:18">
      <c r="A2" s="205" t="s">
        <v>1156</v>
      </c>
      <c r="B2" s="205"/>
      <c r="C2" s="205"/>
      <c r="D2" s="205"/>
      <c r="E2" s="205"/>
      <c r="F2" s="205"/>
      <c r="G2"/>
      <c r="H2"/>
      <c r="I2"/>
      <c r="J2"/>
      <c r="K2"/>
      <c r="L2"/>
      <c r="M2" s="205" t="s">
        <v>1157</v>
      </c>
      <c r="N2" s="205"/>
      <c r="O2" s="205"/>
      <c r="P2" s="205"/>
      <c r="Q2" s="205"/>
      <c r="R2" s="205"/>
    </row>
    <row r="3" s="307" customFormat="1" customHeight="1" spans="1:18">
      <c r="A3" s="190" t="s">
        <v>1158</v>
      </c>
      <c r="B3" s="191"/>
      <c r="C3" s="168"/>
      <c r="D3" s="168"/>
      <c r="E3" s="191" t="s">
        <v>1159</v>
      </c>
      <c r="F3" s="191"/>
      <c r="G3"/>
      <c r="H3"/>
      <c r="I3"/>
      <c r="J3"/>
      <c r="K3"/>
      <c r="L3"/>
      <c r="M3" s="190" t="s">
        <v>1160</v>
      </c>
      <c r="N3" s="191"/>
      <c r="O3" s="168"/>
      <c r="P3" s="168"/>
      <c r="Q3" s="191" t="s">
        <v>1159</v>
      </c>
      <c r="R3" s="191"/>
    </row>
    <row r="4" s="307" customFormat="1" customHeight="1" spans="1:18">
      <c r="A4" s="197" t="s">
        <v>952</v>
      </c>
      <c r="B4" s="192"/>
      <c r="C4" s="201"/>
      <c r="D4" s="201"/>
      <c r="E4" s="201"/>
      <c r="F4" s="202"/>
      <c r="G4"/>
      <c r="H4"/>
      <c r="I4"/>
      <c r="J4"/>
      <c r="K4"/>
      <c r="L4"/>
      <c r="M4" s="197" t="s">
        <v>952</v>
      </c>
      <c r="N4" s="192"/>
      <c r="O4" s="201"/>
      <c r="P4" s="201"/>
      <c r="Q4" s="201"/>
      <c r="R4" s="202"/>
    </row>
    <row r="5" s="307" customFormat="1" customHeight="1" spans="1:18">
      <c r="A5" s="57" t="s">
        <v>354</v>
      </c>
      <c r="B5" s="57" t="s">
        <v>956</v>
      </c>
      <c r="C5" s="57" t="s">
        <v>52</v>
      </c>
      <c r="D5" s="57" t="s">
        <v>855</v>
      </c>
      <c r="E5" s="57" t="s">
        <v>53</v>
      </c>
      <c r="F5" s="57" t="s">
        <v>306</v>
      </c>
      <c r="G5"/>
      <c r="H5"/>
      <c r="I5"/>
      <c r="J5"/>
      <c r="K5"/>
      <c r="L5"/>
      <c r="M5" s="57" t="s">
        <v>354</v>
      </c>
      <c r="N5" s="57" t="s">
        <v>956</v>
      </c>
      <c r="O5" s="57" t="s">
        <v>52</v>
      </c>
      <c r="P5" s="57" t="s">
        <v>855</v>
      </c>
      <c r="Q5" s="57" t="s">
        <v>53</v>
      </c>
      <c r="R5" s="57" t="s">
        <v>306</v>
      </c>
    </row>
    <row r="6" s="307" customFormat="1" customHeight="1" spans="1:18">
      <c r="A6" s="57" t="s">
        <v>959</v>
      </c>
      <c r="B6" s="57" t="s">
        <v>960</v>
      </c>
      <c r="C6" s="57"/>
      <c r="D6" s="57"/>
      <c r="E6" s="57"/>
      <c r="F6" s="84">
        <f>F7+F16+F17</f>
        <v>785.23236096</v>
      </c>
      <c r="G6"/>
      <c r="H6"/>
      <c r="I6"/>
      <c r="J6"/>
      <c r="K6"/>
      <c r="L6"/>
      <c r="M6" s="57" t="s">
        <v>959</v>
      </c>
      <c r="N6" s="57" t="s">
        <v>960</v>
      </c>
      <c r="O6" s="57"/>
      <c r="P6" s="57"/>
      <c r="Q6" s="57"/>
      <c r="R6" s="84">
        <f>R7+R16+R17</f>
        <v>8744.5644</v>
      </c>
    </row>
    <row r="7" s="307" customFormat="1" customHeight="1" spans="1:18">
      <c r="A7" s="57" t="s">
        <v>59</v>
      </c>
      <c r="B7" s="57" t="s">
        <v>957</v>
      </c>
      <c r="C7" s="57"/>
      <c r="D7" s="57"/>
      <c r="E7" s="57"/>
      <c r="F7" s="84">
        <f>F8+F11+F12</f>
        <v>749.26752</v>
      </c>
      <c r="G7"/>
      <c r="H7"/>
      <c r="I7"/>
      <c r="J7"/>
      <c r="K7"/>
      <c r="L7"/>
      <c r="M7" s="57" t="s">
        <v>59</v>
      </c>
      <c r="N7" s="57" t="s">
        <v>957</v>
      </c>
      <c r="O7" s="57"/>
      <c r="P7" s="57"/>
      <c r="Q7" s="57"/>
      <c r="R7" s="84">
        <f>R8+R11+R12</f>
        <v>8344.05</v>
      </c>
    </row>
    <row r="8" s="307" customFormat="1" customHeight="1" spans="1:18">
      <c r="A8" s="57">
        <v>1</v>
      </c>
      <c r="B8" s="57" t="s">
        <v>964</v>
      </c>
      <c r="C8" s="57" t="s">
        <v>965</v>
      </c>
      <c r="D8" s="113"/>
      <c r="E8" s="92">
        <f>SUM(E9:E10)</f>
        <v>126.3</v>
      </c>
      <c r="F8" s="113">
        <f>SUM(F9:F10)</f>
        <v>734.576</v>
      </c>
      <c r="G8"/>
      <c r="H8"/>
      <c r="I8"/>
      <c r="J8"/>
      <c r="K8"/>
      <c r="L8"/>
      <c r="M8" s="57">
        <v>1</v>
      </c>
      <c r="N8" s="57" t="s">
        <v>964</v>
      </c>
      <c r="O8" s="57" t="s">
        <v>965</v>
      </c>
      <c r="P8" s="113"/>
      <c r="Q8" s="92">
        <f>SUM(Q9:Q10)</f>
        <v>1148</v>
      </c>
      <c r="R8" s="113">
        <f>SUM(R9:R10)</f>
        <v>6677.55</v>
      </c>
    </row>
    <row r="9" s="307" customFormat="1" customHeight="1" spans="1:18">
      <c r="A9" s="57"/>
      <c r="B9" s="57" t="s">
        <v>966</v>
      </c>
      <c r="C9" s="57" t="s">
        <v>965</v>
      </c>
      <c r="D9" s="113">
        <f>材料预算价!K20</f>
        <v>8.1</v>
      </c>
      <c r="E9" s="92">
        <v>2.5</v>
      </c>
      <c r="F9" s="113">
        <f>D9*E9</f>
        <v>20.25</v>
      </c>
      <c r="G9"/>
      <c r="H9"/>
      <c r="I9"/>
      <c r="J9"/>
      <c r="K9"/>
      <c r="L9"/>
      <c r="M9" s="57"/>
      <c r="N9" s="57" t="s">
        <v>966</v>
      </c>
      <c r="O9" s="57" t="s">
        <v>965</v>
      </c>
      <c r="P9" s="113">
        <v>8.1</v>
      </c>
      <c r="Q9" s="92">
        <v>23</v>
      </c>
      <c r="R9" s="113">
        <f>P9*Q9</f>
        <v>186.3</v>
      </c>
    </row>
    <row r="10" s="307" customFormat="1" customHeight="1" spans="1:18">
      <c r="A10" s="57"/>
      <c r="B10" s="57" t="s">
        <v>968</v>
      </c>
      <c r="C10" s="57" t="s">
        <v>965</v>
      </c>
      <c r="D10" s="113">
        <f>材料预算价!K19</f>
        <v>5.77</v>
      </c>
      <c r="E10" s="92">
        <v>123.8</v>
      </c>
      <c r="F10" s="113">
        <f>D10*E10</f>
        <v>714.326</v>
      </c>
      <c r="G10"/>
      <c r="H10"/>
      <c r="I10"/>
      <c r="J10"/>
      <c r="K10"/>
      <c r="L10"/>
      <c r="M10" s="57"/>
      <c r="N10" s="57" t="s">
        <v>968</v>
      </c>
      <c r="O10" s="57" t="s">
        <v>965</v>
      </c>
      <c r="P10" s="113">
        <v>5.77</v>
      </c>
      <c r="Q10" s="92">
        <v>1125</v>
      </c>
      <c r="R10" s="113">
        <f>P10*Q10</f>
        <v>6491.25</v>
      </c>
    </row>
    <row r="11" s="307" customFormat="1" customHeight="1" spans="1:18">
      <c r="A11" s="57">
        <v>2</v>
      </c>
      <c r="B11" s="57" t="s">
        <v>974</v>
      </c>
      <c r="C11" s="57"/>
      <c r="D11" s="57"/>
      <c r="E11" s="57"/>
      <c r="F11" s="113">
        <v>0</v>
      </c>
      <c r="G11"/>
      <c r="H11"/>
      <c r="I11"/>
      <c r="J11"/>
      <c r="K11"/>
      <c r="L11"/>
      <c r="M11" s="57">
        <v>2</v>
      </c>
      <c r="N11" s="57" t="s">
        <v>974</v>
      </c>
      <c r="O11" s="57"/>
      <c r="P11" s="57"/>
      <c r="Q11" s="57"/>
      <c r="R11" s="113">
        <v>0</v>
      </c>
    </row>
    <row r="12" s="307" customFormat="1" customHeight="1" spans="1:18">
      <c r="A12" s="57">
        <v>3</v>
      </c>
      <c r="B12" s="57" t="s">
        <v>969</v>
      </c>
      <c r="C12" s="59" t="s">
        <v>423</v>
      </c>
      <c r="D12" s="84">
        <f>F8</f>
        <v>734.576</v>
      </c>
      <c r="E12" s="57">
        <v>2</v>
      </c>
      <c r="F12" s="113">
        <f>D12*E12/100</f>
        <v>14.69152</v>
      </c>
      <c r="G12"/>
      <c r="H12"/>
      <c r="I12"/>
      <c r="J12"/>
      <c r="K12"/>
      <c r="L12"/>
      <c r="M12" s="57">
        <v>3</v>
      </c>
      <c r="N12" s="57" t="s">
        <v>967</v>
      </c>
      <c r="O12" s="59"/>
      <c r="P12" s="84"/>
      <c r="Q12" s="57"/>
      <c r="R12" s="113">
        <f>R13+R14+R15</f>
        <v>1666.5</v>
      </c>
    </row>
    <row r="13" s="307" customFormat="1" customHeight="1" spans="1:18">
      <c r="A13" s="57"/>
      <c r="B13" s="57"/>
      <c r="C13" s="59"/>
      <c r="D13" s="84"/>
      <c r="E13" s="57"/>
      <c r="F13" s="113"/>
      <c r="G13"/>
      <c r="H13"/>
      <c r="I13"/>
      <c r="J13"/>
      <c r="K13"/>
      <c r="L13"/>
      <c r="M13" s="57"/>
      <c r="N13" s="57" t="s">
        <v>1161</v>
      </c>
      <c r="O13" s="59" t="s">
        <v>1023</v>
      </c>
      <c r="P13" s="84"/>
      <c r="Q13" s="57">
        <v>118</v>
      </c>
      <c r="R13" s="113">
        <f>P13*Q13</f>
        <v>0</v>
      </c>
    </row>
    <row r="14" s="307" customFormat="1" customHeight="1" spans="1:18">
      <c r="A14" s="57"/>
      <c r="B14" s="57"/>
      <c r="C14" s="59"/>
      <c r="D14" s="84"/>
      <c r="E14" s="57"/>
      <c r="F14" s="113"/>
      <c r="G14"/>
      <c r="H14"/>
      <c r="I14"/>
      <c r="J14"/>
      <c r="K14"/>
      <c r="L14"/>
      <c r="M14" s="57"/>
      <c r="N14" s="57" t="s">
        <v>1162</v>
      </c>
      <c r="O14" s="57" t="s">
        <v>267</v>
      </c>
      <c r="P14" s="84">
        <v>0.5</v>
      </c>
      <c r="Q14" s="57">
        <v>3300</v>
      </c>
      <c r="R14" s="113">
        <f>P14*Q14</f>
        <v>1650</v>
      </c>
    </row>
    <row r="15" s="307" customFormat="1" customHeight="1" spans="1:18">
      <c r="A15" s="57"/>
      <c r="B15" s="57"/>
      <c r="C15" s="59"/>
      <c r="D15" s="84"/>
      <c r="E15" s="57"/>
      <c r="F15" s="113"/>
      <c r="G15"/>
      <c r="H15"/>
      <c r="I15"/>
      <c r="J15"/>
      <c r="K15"/>
      <c r="L15"/>
      <c r="M15" s="57"/>
      <c r="N15" s="57" t="s">
        <v>1163</v>
      </c>
      <c r="O15" s="59" t="s">
        <v>423</v>
      </c>
      <c r="P15" s="84">
        <v>1</v>
      </c>
      <c r="Q15" s="57">
        <f>R13+R14</f>
        <v>1650</v>
      </c>
      <c r="R15" s="113">
        <f>P15*Q15/100</f>
        <v>16.5</v>
      </c>
    </row>
    <row r="16" s="307" customFormat="1" customHeight="1" spans="1:18">
      <c r="A16" s="58" t="s">
        <v>70</v>
      </c>
      <c r="B16" s="57" t="s">
        <v>977</v>
      </c>
      <c r="C16" s="194">
        <f>取费表!$C$4</f>
        <v>0.048</v>
      </c>
      <c r="D16" s="58"/>
      <c r="E16" s="84">
        <f>F8+F11+F12</f>
        <v>749.26752</v>
      </c>
      <c r="F16" s="113">
        <f t="shared" ref="F16:F20" si="0">E16*C16</f>
        <v>35.96484096</v>
      </c>
      <c r="G16"/>
      <c r="H16"/>
      <c r="I16"/>
      <c r="J16"/>
      <c r="K16"/>
      <c r="L16"/>
      <c r="M16" s="58" t="s">
        <v>70</v>
      </c>
      <c r="N16" s="57" t="s">
        <v>977</v>
      </c>
      <c r="O16" s="194">
        <f>取费表!$C$4</f>
        <v>0.048</v>
      </c>
      <c r="P16" s="58"/>
      <c r="Q16" s="84">
        <f>R8+R11+R12</f>
        <v>8344.05</v>
      </c>
      <c r="R16" s="113">
        <f t="shared" ref="R16:R20" si="1">Q16*O16</f>
        <v>400.5144</v>
      </c>
    </row>
    <row r="17" s="307" customFormat="1" customHeight="1" spans="1:18">
      <c r="A17" s="58"/>
      <c r="B17" s="57"/>
      <c r="C17" s="194"/>
      <c r="D17" s="58"/>
      <c r="E17" s="84"/>
      <c r="F17" s="113"/>
      <c r="G17"/>
      <c r="H17"/>
      <c r="I17"/>
      <c r="J17"/>
      <c r="K17"/>
      <c r="L17"/>
      <c r="M17" s="58"/>
      <c r="N17" s="57"/>
      <c r="O17" s="194"/>
      <c r="P17" s="58"/>
      <c r="Q17" s="84"/>
      <c r="R17" s="113"/>
    </row>
    <row r="18" s="307" customFormat="1" customHeight="1" spans="1:18">
      <c r="A18" s="57" t="s">
        <v>979</v>
      </c>
      <c r="B18" s="57" t="s">
        <v>973</v>
      </c>
      <c r="C18" s="194">
        <f>取费表!$E$4</f>
        <v>0.04</v>
      </c>
      <c r="D18" s="58"/>
      <c r="E18" s="84">
        <f>F6</f>
        <v>785.23236096</v>
      </c>
      <c r="F18" s="113">
        <f t="shared" si="0"/>
        <v>31.4092944384</v>
      </c>
      <c r="G18"/>
      <c r="H18"/>
      <c r="I18"/>
      <c r="J18"/>
      <c r="K18"/>
      <c r="L18"/>
      <c r="M18" s="57" t="s">
        <v>979</v>
      </c>
      <c r="N18" s="57" t="s">
        <v>973</v>
      </c>
      <c r="O18" s="194">
        <f>取费表!$E$4</f>
        <v>0.04</v>
      </c>
      <c r="P18" s="58"/>
      <c r="Q18" s="84">
        <f>R6</f>
        <v>8744.5644</v>
      </c>
      <c r="R18" s="113">
        <f>Q18*O18</f>
        <v>349.782576</v>
      </c>
    </row>
    <row r="19" s="307" customFormat="1" customHeight="1" spans="1:18">
      <c r="A19" s="57" t="s">
        <v>162</v>
      </c>
      <c r="B19" s="57" t="s">
        <v>980</v>
      </c>
      <c r="C19" s="194">
        <f>取费表!$F$4</f>
        <v>0.05</v>
      </c>
      <c r="D19" s="58"/>
      <c r="E19" s="84">
        <f>F18+F6</f>
        <v>816.6416553984</v>
      </c>
      <c r="F19" s="113">
        <f t="shared" si="0"/>
        <v>40.83208276992</v>
      </c>
      <c r="G19"/>
      <c r="H19"/>
      <c r="I19"/>
      <c r="J19"/>
      <c r="K19"/>
      <c r="L19"/>
      <c r="M19" s="57" t="s">
        <v>162</v>
      </c>
      <c r="N19" s="57" t="s">
        <v>980</v>
      </c>
      <c r="O19" s="194">
        <f>取费表!$F$4</f>
        <v>0.05</v>
      </c>
      <c r="P19" s="58"/>
      <c r="Q19" s="84">
        <f>R18+R6</f>
        <v>9094.346976</v>
      </c>
      <c r="R19" s="113">
        <f>Q19*O19</f>
        <v>454.7173488</v>
      </c>
    </row>
    <row r="20" s="307" customFormat="1" customHeight="1" spans="1:18">
      <c r="A20" s="57" t="s">
        <v>214</v>
      </c>
      <c r="B20" s="57" t="s">
        <v>976</v>
      </c>
      <c r="C20" s="195">
        <f>取费表!G4</f>
        <v>0.09</v>
      </c>
      <c r="D20" s="58"/>
      <c r="E20" s="84">
        <f>F19+F18+F6</f>
        <v>857.47373816832</v>
      </c>
      <c r="F20" s="113">
        <f t="shared" si="0"/>
        <v>77.1726364351488</v>
      </c>
      <c r="G20"/>
      <c r="H20"/>
      <c r="I20"/>
      <c r="J20"/>
      <c r="K20"/>
      <c r="L20"/>
      <c r="M20" s="57" t="s">
        <v>214</v>
      </c>
      <c r="N20" s="57" t="s">
        <v>976</v>
      </c>
      <c r="O20" s="195">
        <v>0.09</v>
      </c>
      <c r="P20" s="58"/>
      <c r="Q20" s="84">
        <f>R19+R18+R6</f>
        <v>9549.0643248</v>
      </c>
      <c r="R20" s="113">
        <f t="shared" si="1"/>
        <v>859.415789232</v>
      </c>
    </row>
    <row r="21" s="307" customFormat="1" customHeight="1" spans="1:18">
      <c r="A21" s="57"/>
      <c r="B21" s="57" t="s">
        <v>984</v>
      </c>
      <c r="C21" s="195"/>
      <c r="D21" s="58"/>
      <c r="E21" s="84"/>
      <c r="F21" s="113">
        <f>(F6+F18+F19+F20)*取费表!H4</f>
        <v>28.0393912381041</v>
      </c>
      <c r="G21"/>
      <c r="H21"/>
      <c r="I21"/>
      <c r="J21"/>
      <c r="K21"/>
      <c r="L21"/>
      <c r="M21" s="57"/>
      <c r="N21" s="57" t="s">
        <v>984</v>
      </c>
      <c r="O21" s="195"/>
      <c r="P21" s="58"/>
      <c r="Q21" s="84"/>
      <c r="R21" s="113">
        <f>(R6+R18+R19+R20)*3/100</f>
        <v>312.25440342096</v>
      </c>
    </row>
    <row r="22" s="307" customFormat="1" customHeight="1" spans="1:18">
      <c r="A22" s="58"/>
      <c r="B22" s="57" t="s">
        <v>278</v>
      </c>
      <c r="C22" s="58"/>
      <c r="D22" s="58"/>
      <c r="E22" s="57"/>
      <c r="F22" s="113">
        <f>F6+F18+F19+F20+F21</f>
        <v>962.685765841573</v>
      </c>
      <c r="G22"/>
      <c r="H22"/>
      <c r="I22"/>
      <c r="J22"/>
      <c r="K22"/>
      <c r="L22"/>
      <c r="M22" s="58"/>
      <c r="N22" s="57" t="s">
        <v>278</v>
      </c>
      <c r="O22" s="58"/>
      <c r="P22" s="58"/>
      <c r="Q22" s="57"/>
      <c r="R22" s="113">
        <f>R6+R18+R19+R20+R21</f>
        <v>10720.734517453</v>
      </c>
    </row>
    <row r="23" s="307" customFormat="1" customHeight="1" spans="1:11">
      <c r="A23" s="311" t="s">
        <v>1155</v>
      </c>
      <c r="B23" s="175"/>
      <c r="C23" s="175"/>
      <c r="D23" s="175"/>
      <c r="E23" s="175"/>
      <c r="F23" s="175"/>
      <c r="G23" s="175"/>
      <c r="H23" s="175"/>
      <c r="I23" s="175"/>
      <c r="J23" s="175"/>
      <c r="K23" s="175"/>
    </row>
    <row r="24" s="307" customFormat="1" customHeight="1" spans="1:18">
      <c r="A24" s="205" t="s">
        <v>1164</v>
      </c>
      <c r="B24" s="205"/>
      <c r="C24" s="205"/>
      <c r="D24" s="205"/>
      <c r="E24" s="205"/>
      <c r="F24" s="205"/>
      <c r="G24" s="205"/>
      <c r="H24" s="205"/>
      <c r="I24" s="205"/>
      <c r="J24" s="205"/>
      <c r="K24" s="205"/>
      <c r="M24" s="311" t="s">
        <v>1155</v>
      </c>
      <c r="N24" s="175"/>
      <c r="O24" s="175"/>
      <c r="P24" s="175"/>
      <c r="Q24" s="175"/>
      <c r="R24" s="175"/>
    </row>
    <row r="25" s="307" customFormat="1" customHeight="1" spans="1:18">
      <c r="A25" s="190" t="s">
        <v>1158</v>
      </c>
      <c r="B25" s="191"/>
      <c r="C25" s="168"/>
      <c r="D25" s="168"/>
      <c r="E25" s="191" t="s">
        <v>1159</v>
      </c>
      <c r="F25" s="191"/>
      <c r="G25" s="191"/>
      <c r="H25" s="168"/>
      <c r="I25" s="168"/>
      <c r="J25" s="191" t="s">
        <v>1159</v>
      </c>
      <c r="K25" s="191"/>
      <c r="M25" s="205" t="s">
        <v>1165</v>
      </c>
      <c r="N25" s="205"/>
      <c r="O25" s="205"/>
      <c r="P25" s="205"/>
      <c r="Q25" s="205"/>
      <c r="R25" s="205"/>
    </row>
    <row r="26" s="307" customFormat="1" customHeight="1" spans="1:18">
      <c r="A26" s="197" t="s">
        <v>1166</v>
      </c>
      <c r="B26" s="192"/>
      <c r="C26" s="201"/>
      <c r="D26" s="201"/>
      <c r="E26" s="201"/>
      <c r="F26" s="202"/>
      <c r="G26" s="192"/>
      <c r="H26" s="201"/>
      <c r="I26" s="201"/>
      <c r="J26" s="201"/>
      <c r="K26" s="202"/>
      <c r="M26" s="190" t="s">
        <v>1167</v>
      </c>
      <c r="N26" s="191"/>
      <c r="O26" s="168"/>
      <c r="P26" s="168"/>
      <c r="Q26" s="191" t="s">
        <v>1159</v>
      </c>
      <c r="R26" s="191"/>
    </row>
    <row r="27" s="307" customFormat="1" customHeight="1" spans="1:18">
      <c r="A27" s="57" t="s">
        <v>354</v>
      </c>
      <c r="B27" s="57" t="s">
        <v>956</v>
      </c>
      <c r="C27" s="57" t="s">
        <v>52</v>
      </c>
      <c r="D27" s="57" t="s">
        <v>855</v>
      </c>
      <c r="E27" s="57" t="s">
        <v>53</v>
      </c>
      <c r="F27" s="57" t="s">
        <v>306</v>
      </c>
      <c r="G27" s="57" t="s">
        <v>956</v>
      </c>
      <c r="H27" s="57" t="s">
        <v>52</v>
      </c>
      <c r="I27" s="57" t="s">
        <v>855</v>
      </c>
      <c r="J27" s="57" t="s">
        <v>53</v>
      </c>
      <c r="K27" s="57" t="s">
        <v>306</v>
      </c>
      <c r="M27" s="197" t="s">
        <v>952</v>
      </c>
      <c r="N27" s="192"/>
      <c r="O27" s="201"/>
      <c r="P27" s="201"/>
      <c r="Q27" s="201"/>
      <c r="R27" s="202"/>
    </row>
    <row r="28" s="307" customFormat="1" customHeight="1" spans="1:18">
      <c r="A28" s="57" t="s">
        <v>959</v>
      </c>
      <c r="B28" s="57" t="s">
        <v>960</v>
      </c>
      <c r="C28" s="57"/>
      <c r="D28" s="57"/>
      <c r="E28" s="57"/>
      <c r="F28" s="84">
        <f>F29+F35+F36</f>
        <v>1362.34569264</v>
      </c>
      <c r="G28" s="57" t="s">
        <v>960</v>
      </c>
      <c r="H28" s="57"/>
      <c r="I28" s="57"/>
      <c r="J28" s="57"/>
      <c r="K28" s="84">
        <f>K29+K35+K36</f>
        <v>1823.12303856</v>
      </c>
      <c r="M28" s="57" t="s">
        <v>354</v>
      </c>
      <c r="N28" s="57" t="s">
        <v>956</v>
      </c>
      <c r="O28" s="57" t="s">
        <v>52</v>
      </c>
      <c r="P28" s="57" t="s">
        <v>855</v>
      </c>
      <c r="Q28" s="57" t="s">
        <v>53</v>
      </c>
      <c r="R28" s="57" t="s">
        <v>306</v>
      </c>
    </row>
    <row r="29" s="307" customFormat="1" customHeight="1" spans="1:18">
      <c r="A29" s="57" t="s">
        <v>59</v>
      </c>
      <c r="B29" s="57" t="s">
        <v>957</v>
      </c>
      <c r="C29" s="57"/>
      <c r="D29" s="57"/>
      <c r="E29" s="57"/>
      <c r="F29" s="84">
        <f>F30+F33+F34</f>
        <v>1299.94818</v>
      </c>
      <c r="G29" s="57" t="s">
        <v>957</v>
      </c>
      <c r="H29" s="57"/>
      <c r="I29" s="57"/>
      <c r="J29" s="57"/>
      <c r="K29" s="84">
        <f>K30+K33+K34</f>
        <v>1739.62122</v>
      </c>
      <c r="M29" s="57" t="s">
        <v>959</v>
      </c>
      <c r="N29" s="57" t="s">
        <v>960</v>
      </c>
      <c r="O29" s="57"/>
      <c r="P29" s="57"/>
      <c r="Q29" s="57"/>
      <c r="R29" s="84">
        <f>R30+R39+R40</f>
        <v>1056.484608</v>
      </c>
    </row>
    <row r="30" s="307" customFormat="1" customHeight="1" spans="1:18">
      <c r="A30" s="57">
        <v>1</v>
      </c>
      <c r="B30" s="57" t="s">
        <v>964</v>
      </c>
      <c r="C30" s="57" t="s">
        <v>965</v>
      </c>
      <c r="D30" s="113"/>
      <c r="E30" s="92">
        <f>SUM(E31:E32)</f>
        <v>219.1</v>
      </c>
      <c r="F30" s="113">
        <f>SUM(F31:F32)</f>
        <v>1274.459</v>
      </c>
      <c r="G30" s="57" t="s">
        <v>964</v>
      </c>
      <c r="H30" s="57" t="s">
        <v>965</v>
      </c>
      <c r="I30" s="113"/>
      <c r="J30" s="92">
        <f>SUM(J31:J32)</f>
        <v>293.2</v>
      </c>
      <c r="K30" s="113">
        <f>SUM(K31:K32)</f>
        <v>1705.511</v>
      </c>
      <c r="M30" s="57" t="s">
        <v>59</v>
      </c>
      <c r="N30" s="57" t="s">
        <v>957</v>
      </c>
      <c r="O30" s="57"/>
      <c r="P30" s="57"/>
      <c r="Q30" s="57"/>
      <c r="R30" s="84">
        <f>R31+R34+R35</f>
        <v>1008.096</v>
      </c>
    </row>
    <row r="31" s="307" customFormat="1" customHeight="1" spans="1:18">
      <c r="A31" s="57"/>
      <c r="B31" s="57" t="s">
        <v>966</v>
      </c>
      <c r="C31" s="57" t="s">
        <v>965</v>
      </c>
      <c r="D31" s="113">
        <f>D9</f>
        <v>8.1</v>
      </c>
      <c r="E31" s="92">
        <v>4.4</v>
      </c>
      <c r="F31" s="113">
        <f>D31*E31</f>
        <v>35.64</v>
      </c>
      <c r="G31" s="57" t="s">
        <v>966</v>
      </c>
      <c r="H31" s="57" t="s">
        <v>965</v>
      </c>
      <c r="I31" s="113">
        <f>建筑工程单价分析表!D8</f>
        <v>8.1</v>
      </c>
      <c r="J31" s="92">
        <v>5.9</v>
      </c>
      <c r="K31" s="113">
        <f>I31*J31</f>
        <v>47.79</v>
      </c>
      <c r="M31" s="57">
        <v>1</v>
      </c>
      <c r="N31" s="57" t="s">
        <v>964</v>
      </c>
      <c r="O31" s="57" t="s">
        <v>965</v>
      </c>
      <c r="P31" s="113"/>
      <c r="Q31" s="92">
        <f>SUM(Q32:Q33)</f>
        <v>173.3</v>
      </c>
      <c r="R31" s="113">
        <f>SUM(R32:R33)</f>
        <v>1008.096</v>
      </c>
    </row>
    <row r="32" s="307" customFormat="1" customHeight="1" spans="1:18">
      <c r="A32" s="57"/>
      <c r="B32" s="57" t="s">
        <v>968</v>
      </c>
      <c r="C32" s="57" t="s">
        <v>965</v>
      </c>
      <c r="D32" s="113">
        <f>D10</f>
        <v>5.77</v>
      </c>
      <c r="E32" s="92">
        <v>214.7</v>
      </c>
      <c r="F32" s="113">
        <f>D32*E32</f>
        <v>1238.819</v>
      </c>
      <c r="G32" s="57" t="s">
        <v>968</v>
      </c>
      <c r="H32" s="57" t="s">
        <v>965</v>
      </c>
      <c r="I32" s="113">
        <f>建筑工程单价分析表!D9</f>
        <v>5.77</v>
      </c>
      <c r="J32" s="92">
        <v>287.3</v>
      </c>
      <c r="K32" s="113">
        <f>I32*J32</f>
        <v>1657.721</v>
      </c>
      <c r="M32" s="57"/>
      <c r="N32" s="57" t="s">
        <v>966</v>
      </c>
      <c r="O32" s="57" t="s">
        <v>965</v>
      </c>
      <c r="P32" s="113">
        <v>8.1</v>
      </c>
      <c r="Q32" s="92">
        <v>3.5</v>
      </c>
      <c r="R32" s="113">
        <f t="shared" ref="R32:R37" si="2">P32*Q32</f>
        <v>28.35</v>
      </c>
    </row>
    <row r="33" s="307" customFormat="1" customHeight="1" spans="1:18">
      <c r="A33" s="57">
        <v>2</v>
      </c>
      <c r="B33" s="57" t="s">
        <v>974</v>
      </c>
      <c r="C33" s="57"/>
      <c r="D33" s="57"/>
      <c r="E33" s="57"/>
      <c r="F33" s="113">
        <v>0</v>
      </c>
      <c r="G33" s="57" t="s">
        <v>974</v>
      </c>
      <c r="H33" s="57"/>
      <c r="I33" s="57"/>
      <c r="J33" s="57"/>
      <c r="K33" s="113">
        <v>0</v>
      </c>
      <c r="M33" s="57"/>
      <c r="N33" s="57" t="s">
        <v>968</v>
      </c>
      <c r="O33" s="57" t="s">
        <v>965</v>
      </c>
      <c r="P33" s="113">
        <v>5.77</v>
      </c>
      <c r="Q33" s="92">
        <v>169.8</v>
      </c>
      <c r="R33" s="113">
        <f t="shared" si="2"/>
        <v>979.746</v>
      </c>
    </row>
    <row r="34" s="307" customFormat="1" customHeight="1" spans="1:18">
      <c r="A34" s="57">
        <v>3</v>
      </c>
      <c r="B34" s="57" t="s">
        <v>969</v>
      </c>
      <c r="C34" s="59" t="s">
        <v>423</v>
      </c>
      <c r="D34" s="84">
        <f>F30</f>
        <v>1274.459</v>
      </c>
      <c r="E34" s="57">
        <v>2</v>
      </c>
      <c r="F34" s="113">
        <f>D34*E34/100</f>
        <v>25.48918</v>
      </c>
      <c r="G34" s="57" t="s">
        <v>969</v>
      </c>
      <c r="H34" s="59" t="s">
        <v>423</v>
      </c>
      <c r="I34" s="84">
        <f>K30</f>
        <v>1705.511</v>
      </c>
      <c r="J34" s="57">
        <v>2</v>
      </c>
      <c r="K34" s="113">
        <f>I34*J34/100</f>
        <v>34.11022</v>
      </c>
      <c r="M34" s="57">
        <v>2</v>
      </c>
      <c r="N34" s="57" t="s">
        <v>974</v>
      </c>
      <c r="O34" s="57"/>
      <c r="P34" s="57"/>
      <c r="Q34" s="57"/>
      <c r="R34" s="113">
        <v>0</v>
      </c>
    </row>
    <row r="35" s="307" customFormat="1" customHeight="1" spans="1:18">
      <c r="A35" s="57" t="s">
        <v>70</v>
      </c>
      <c r="B35" s="57" t="s">
        <v>977</v>
      </c>
      <c r="C35" s="194">
        <f>取费表!$C$4</f>
        <v>0.048</v>
      </c>
      <c r="D35" s="57"/>
      <c r="E35" s="84">
        <f>F29</f>
        <v>1299.94818</v>
      </c>
      <c r="F35" s="113">
        <f t="shared" ref="F35:F39" si="3">E35*C35</f>
        <v>62.39751264</v>
      </c>
      <c r="G35" s="57" t="s">
        <v>977</v>
      </c>
      <c r="H35" s="194">
        <f>取费表!$C$4</f>
        <v>0.048</v>
      </c>
      <c r="I35" s="57"/>
      <c r="J35" s="84">
        <f>K29</f>
        <v>1739.62122</v>
      </c>
      <c r="K35" s="113">
        <f t="shared" ref="K35:K39" si="4">J35*H35</f>
        <v>83.50181856</v>
      </c>
      <c r="M35" s="57">
        <v>3</v>
      </c>
      <c r="N35" s="57" t="s">
        <v>967</v>
      </c>
      <c r="O35" s="59"/>
      <c r="P35" s="84"/>
      <c r="Q35" s="57"/>
      <c r="R35" s="113">
        <f>R36+R37+R38</f>
        <v>0</v>
      </c>
    </row>
    <row r="36" s="307" customFormat="1" customHeight="1" spans="1:18">
      <c r="A36" s="57"/>
      <c r="B36" s="57"/>
      <c r="C36" s="194"/>
      <c r="D36" s="57"/>
      <c r="E36" s="84"/>
      <c r="F36" s="113"/>
      <c r="G36" s="57"/>
      <c r="H36" s="194"/>
      <c r="I36" s="57"/>
      <c r="J36" s="84"/>
      <c r="K36" s="113"/>
      <c r="M36" s="57"/>
      <c r="N36" s="57" t="s">
        <v>1161</v>
      </c>
      <c r="O36" s="59" t="s">
        <v>1023</v>
      </c>
      <c r="P36" s="84"/>
      <c r="Q36" s="57">
        <v>124</v>
      </c>
      <c r="R36" s="113">
        <f t="shared" si="2"/>
        <v>0</v>
      </c>
    </row>
    <row r="37" s="307" customFormat="1" customHeight="1" spans="1:18">
      <c r="A37" s="57" t="s">
        <v>979</v>
      </c>
      <c r="B37" s="57" t="s">
        <v>973</v>
      </c>
      <c r="C37" s="194">
        <f>取费表!$E$4</f>
        <v>0.04</v>
      </c>
      <c r="D37" s="57"/>
      <c r="E37" s="84">
        <f>F28</f>
        <v>1362.34569264</v>
      </c>
      <c r="F37" s="113">
        <f t="shared" si="3"/>
        <v>54.4938277056</v>
      </c>
      <c r="G37" s="57" t="s">
        <v>973</v>
      </c>
      <c r="H37" s="194">
        <f>取费表!$E$4</f>
        <v>0.04</v>
      </c>
      <c r="I37" s="57"/>
      <c r="J37" s="84">
        <f>K28</f>
        <v>1823.12303856</v>
      </c>
      <c r="K37" s="113">
        <f t="shared" si="4"/>
        <v>72.9249215424</v>
      </c>
      <c r="M37" s="57"/>
      <c r="N37" s="57" t="s">
        <v>1162</v>
      </c>
      <c r="O37" s="57" t="s">
        <v>267</v>
      </c>
      <c r="P37" s="84">
        <v>0.5</v>
      </c>
      <c r="Q37" s="57"/>
      <c r="R37" s="113">
        <f t="shared" si="2"/>
        <v>0</v>
      </c>
    </row>
    <row r="38" s="307" customFormat="1" customHeight="1" spans="1:18">
      <c r="A38" s="57" t="s">
        <v>162</v>
      </c>
      <c r="B38" s="57" t="s">
        <v>980</v>
      </c>
      <c r="C38" s="194">
        <f>取费表!$F$4</f>
        <v>0.05</v>
      </c>
      <c r="D38" s="57"/>
      <c r="E38" s="84">
        <f>F37+F28</f>
        <v>1416.8395203456</v>
      </c>
      <c r="F38" s="113">
        <f t="shared" si="3"/>
        <v>70.84197601728</v>
      </c>
      <c r="G38" s="57" t="s">
        <v>980</v>
      </c>
      <c r="H38" s="194">
        <f>取费表!$F$4</f>
        <v>0.05</v>
      </c>
      <c r="I38" s="57"/>
      <c r="J38" s="84">
        <f>K37+K28</f>
        <v>1896.0479601024</v>
      </c>
      <c r="K38" s="113">
        <f t="shared" si="4"/>
        <v>94.80239800512</v>
      </c>
      <c r="M38" s="57"/>
      <c r="N38" s="57" t="s">
        <v>1163</v>
      </c>
      <c r="O38" s="59" t="s">
        <v>423</v>
      </c>
      <c r="P38" s="84">
        <v>5</v>
      </c>
      <c r="Q38" s="57">
        <f>R36+R37</f>
        <v>0</v>
      </c>
      <c r="R38" s="113">
        <f>P38*Q38/100</f>
        <v>0</v>
      </c>
    </row>
    <row r="39" s="307" customFormat="1" customHeight="1" spans="1:18">
      <c r="A39" s="57" t="s">
        <v>214</v>
      </c>
      <c r="B39" s="57" t="s">
        <v>976</v>
      </c>
      <c r="C39" s="195">
        <f>C20</f>
        <v>0.09</v>
      </c>
      <c r="D39" s="57"/>
      <c r="E39" s="84">
        <f>F38+F37+F28</f>
        <v>1487.68149636288</v>
      </c>
      <c r="F39" s="113">
        <f t="shared" si="3"/>
        <v>133.891334672659</v>
      </c>
      <c r="G39" s="57" t="s">
        <v>976</v>
      </c>
      <c r="H39" s="195">
        <f>建筑工程单价分析表!C19</f>
        <v>0.09</v>
      </c>
      <c r="I39" s="57"/>
      <c r="J39" s="84">
        <f>K38+K37+K28</f>
        <v>1990.85035810752</v>
      </c>
      <c r="K39" s="113">
        <f t="shared" si="4"/>
        <v>179.176532229677</v>
      </c>
      <c r="M39" s="58" t="s">
        <v>70</v>
      </c>
      <c r="N39" s="57" t="s">
        <v>977</v>
      </c>
      <c r="O39" s="194">
        <f>取费表!$C$4</f>
        <v>0.048</v>
      </c>
      <c r="P39" s="58"/>
      <c r="Q39" s="84">
        <f>R31+R34+R35</f>
        <v>1008.096</v>
      </c>
      <c r="R39" s="113">
        <f t="shared" ref="R39:R43" si="5">Q39*O39</f>
        <v>48.388608</v>
      </c>
    </row>
    <row r="40" s="307" customFormat="1" customHeight="1" spans="1:18">
      <c r="A40" s="57"/>
      <c r="B40" s="57" t="s">
        <v>984</v>
      </c>
      <c r="C40" s="195"/>
      <c r="D40" s="57"/>
      <c r="E40" s="84"/>
      <c r="F40" s="113">
        <f>(F28+F37+F38+F39)*取费表!H4</f>
        <v>48.6471849310662</v>
      </c>
      <c r="G40" s="57" t="s">
        <v>984</v>
      </c>
      <c r="H40" s="195"/>
      <c r="I40" s="57"/>
      <c r="J40" s="84"/>
      <c r="K40" s="113">
        <f>(K28+K37+K38+K39)*取费表!H4</f>
        <v>65.1008067101159</v>
      </c>
      <c r="M40" s="58"/>
      <c r="N40" s="57"/>
      <c r="O40" s="194"/>
      <c r="P40" s="58"/>
      <c r="Q40" s="84"/>
      <c r="R40" s="113"/>
    </row>
    <row r="41" s="307" customFormat="1" customHeight="1" spans="1:18">
      <c r="A41" s="57"/>
      <c r="B41" s="57" t="s">
        <v>278</v>
      </c>
      <c r="C41" s="57"/>
      <c r="D41" s="57"/>
      <c r="E41" s="57"/>
      <c r="F41" s="113">
        <f>F28+F37+F38+F39+F40</f>
        <v>1670.22001596661</v>
      </c>
      <c r="G41" s="57" t="s">
        <v>278</v>
      </c>
      <c r="H41" s="57"/>
      <c r="I41" s="57"/>
      <c r="J41" s="57"/>
      <c r="K41" s="113">
        <f>K28+K37+K38+K39+K40</f>
        <v>2235.12769704731</v>
      </c>
      <c r="M41" s="57" t="s">
        <v>979</v>
      </c>
      <c r="N41" s="57" t="s">
        <v>973</v>
      </c>
      <c r="O41" s="194">
        <f>取费表!$E$4</f>
        <v>0.04</v>
      </c>
      <c r="P41" s="58"/>
      <c r="Q41" s="84">
        <f>R29</f>
        <v>1056.484608</v>
      </c>
      <c r="R41" s="113">
        <f t="shared" si="5"/>
        <v>42.25938432</v>
      </c>
    </row>
    <row r="42" s="307" customFormat="1" ht="15.6" customHeight="1" spans="1:18">
      <c r="A42" s="312" t="s">
        <v>1155</v>
      </c>
      <c r="B42" s="176"/>
      <c r="C42" s="312"/>
      <c r="D42" s="312"/>
      <c r="E42" s="312"/>
      <c r="F42" s="312"/>
      <c r="M42" s="57" t="s">
        <v>162</v>
      </c>
      <c r="N42" s="57" t="s">
        <v>980</v>
      </c>
      <c r="O42" s="194">
        <f>取费表!$F$4</f>
        <v>0.05</v>
      </c>
      <c r="P42" s="58"/>
      <c r="Q42" s="84">
        <f>R41+R29</f>
        <v>1098.74399232</v>
      </c>
      <c r="R42" s="113">
        <f t="shared" si="5"/>
        <v>54.937199616</v>
      </c>
    </row>
    <row r="43" s="307" customFormat="1" ht="15.6" customHeight="1" spans="1:18">
      <c r="A43" s="189" t="s">
        <v>1168</v>
      </c>
      <c r="B43" s="189"/>
      <c r="C43" s="189"/>
      <c r="D43" s="189"/>
      <c r="E43" s="189"/>
      <c r="F43" s="189"/>
      <c r="M43" s="57" t="s">
        <v>214</v>
      </c>
      <c r="N43" s="57" t="s">
        <v>976</v>
      </c>
      <c r="O43" s="195">
        <v>0.09</v>
      </c>
      <c r="P43" s="58"/>
      <c r="Q43" s="84">
        <f>R42+R41+R29</f>
        <v>1153.681191936</v>
      </c>
      <c r="R43" s="113">
        <f t="shared" si="5"/>
        <v>103.83130727424</v>
      </c>
    </row>
    <row r="44" s="307" customFormat="1" ht="15.6" customHeight="1" spans="1:18">
      <c r="A44" s="190" t="s">
        <v>1169</v>
      </c>
      <c r="B44" s="191"/>
      <c r="C44" s="191"/>
      <c r="D44" s="191"/>
      <c r="E44" s="191" t="s">
        <v>1159</v>
      </c>
      <c r="F44" s="191"/>
      <c r="M44" s="57"/>
      <c r="N44" s="57" t="s">
        <v>984</v>
      </c>
      <c r="O44" s="195"/>
      <c r="P44" s="58"/>
      <c r="Q44" s="84"/>
      <c r="R44" s="113">
        <f>(R29+R41+R42+R43)*3/100</f>
        <v>37.7253749763072</v>
      </c>
    </row>
    <row r="45" s="307" customFormat="1" ht="15.6" customHeight="1" spans="1:18">
      <c r="A45" s="197" t="s">
        <v>1170</v>
      </c>
      <c r="B45" s="192"/>
      <c r="C45" s="192"/>
      <c r="D45" s="192"/>
      <c r="E45" s="192"/>
      <c r="F45" s="118"/>
      <c r="M45" s="58"/>
      <c r="N45" s="57" t="s">
        <v>278</v>
      </c>
      <c r="O45" s="58"/>
      <c r="P45" s="58"/>
      <c r="Q45" s="57"/>
      <c r="R45" s="113">
        <f>R29+R41+R42+R43+R44</f>
        <v>1295.23787418655</v>
      </c>
    </row>
    <row r="46" s="307" customFormat="1" ht="15.6" customHeight="1" spans="1:6">
      <c r="A46" s="57" t="s">
        <v>354</v>
      </c>
      <c r="B46" s="57" t="s">
        <v>956</v>
      </c>
      <c r="C46" s="57" t="s">
        <v>52</v>
      </c>
      <c r="D46" s="57" t="s">
        <v>855</v>
      </c>
      <c r="E46" s="57" t="s">
        <v>53</v>
      </c>
      <c r="F46" s="57" t="s">
        <v>306</v>
      </c>
    </row>
    <row r="47" s="307" customFormat="1" ht="15.6" customHeight="1" spans="1:6">
      <c r="A47" s="57" t="s">
        <v>959</v>
      </c>
      <c r="B47" s="57" t="s">
        <v>960</v>
      </c>
      <c r="C47" s="57"/>
      <c r="D47" s="57"/>
      <c r="E47" s="57"/>
      <c r="F47" s="84">
        <f>F48+F55+F56</f>
        <v>128.187063380589</v>
      </c>
    </row>
    <row r="48" s="307" customFormat="1" ht="15.6" customHeight="1" spans="1:6">
      <c r="A48" s="57" t="s">
        <v>59</v>
      </c>
      <c r="B48" s="57" t="s">
        <v>957</v>
      </c>
      <c r="C48" s="57"/>
      <c r="D48" s="57"/>
      <c r="E48" s="57"/>
      <c r="F48" s="84">
        <f>F49+F52+F54</f>
        <v>122.315900172317</v>
      </c>
    </row>
    <row r="49" s="307" customFormat="1" ht="15.6" customHeight="1" spans="1:6">
      <c r="A49" s="57">
        <v>1</v>
      </c>
      <c r="B49" s="57" t="s">
        <v>964</v>
      </c>
      <c r="C49" s="57" t="s">
        <v>965</v>
      </c>
      <c r="D49" s="113"/>
      <c r="E49" s="113">
        <f>SUM(E50:E51)</f>
        <v>1.6</v>
      </c>
      <c r="F49" s="113">
        <f>SUM(F50:F51)</f>
        <v>9.232</v>
      </c>
    </row>
    <row r="50" s="307" customFormat="1" ht="15.6" customHeight="1" spans="1:6">
      <c r="A50" s="57"/>
      <c r="B50" s="57" t="s">
        <v>966</v>
      </c>
      <c r="C50" s="57" t="s">
        <v>965</v>
      </c>
      <c r="D50" s="113">
        <f>D31</f>
        <v>8.1</v>
      </c>
      <c r="E50" s="113">
        <v>0</v>
      </c>
      <c r="F50" s="113">
        <f t="shared" ref="F50:F53" si="6">D50*E50</f>
        <v>0</v>
      </c>
    </row>
    <row r="51" s="307" customFormat="1" ht="15.6" customHeight="1" spans="1:6">
      <c r="A51" s="57"/>
      <c r="B51" s="57" t="s">
        <v>968</v>
      </c>
      <c r="C51" s="57" t="s">
        <v>965</v>
      </c>
      <c r="D51" s="113">
        <f>D32</f>
        <v>5.77</v>
      </c>
      <c r="E51" s="113">
        <v>1.6</v>
      </c>
      <c r="F51" s="113">
        <f t="shared" si="6"/>
        <v>9.232</v>
      </c>
    </row>
    <row r="52" s="307" customFormat="1" ht="15.6" customHeight="1" spans="1:6">
      <c r="A52" s="57">
        <v>2</v>
      </c>
      <c r="B52" s="57" t="s">
        <v>1171</v>
      </c>
      <c r="C52" s="57"/>
      <c r="D52" s="57"/>
      <c r="E52" s="57"/>
      <c r="F52" s="113">
        <f>F53</f>
        <v>101.964272883925</v>
      </c>
    </row>
    <row r="53" s="307" customFormat="1" ht="15.6" customHeight="1" spans="1:6">
      <c r="A53" s="57"/>
      <c r="B53" s="57" t="s">
        <v>1172</v>
      </c>
      <c r="C53" s="57" t="s">
        <v>988</v>
      </c>
      <c r="D53" s="113">
        <f>D97</f>
        <v>89.4423446350219</v>
      </c>
      <c r="E53" s="57">
        <v>1.14</v>
      </c>
      <c r="F53" s="113">
        <f t="shared" si="6"/>
        <v>101.964272883925</v>
      </c>
    </row>
    <row r="54" s="307" customFormat="1" ht="15.6" customHeight="1" spans="1:6">
      <c r="A54" s="57">
        <v>3</v>
      </c>
      <c r="B54" s="57" t="s">
        <v>969</v>
      </c>
      <c r="C54" s="59" t="s">
        <v>423</v>
      </c>
      <c r="D54" s="84">
        <f>F49+F52</f>
        <v>111.196272883925</v>
      </c>
      <c r="E54" s="57">
        <v>10</v>
      </c>
      <c r="F54" s="113">
        <f>D54*E54/100</f>
        <v>11.1196272883925</v>
      </c>
    </row>
    <row r="55" s="307" customFormat="1" ht="15.6" customHeight="1" spans="1:6">
      <c r="A55" s="57" t="s">
        <v>70</v>
      </c>
      <c r="B55" s="57" t="s">
        <v>977</v>
      </c>
      <c r="C55" s="194">
        <f>取费表!$C$4</f>
        <v>0.048</v>
      </c>
      <c r="D55" s="57"/>
      <c r="E55" s="84">
        <f>F48</f>
        <v>122.315900172317</v>
      </c>
      <c r="F55" s="113">
        <f t="shared" ref="F55:F58" si="7">E55*C55</f>
        <v>5.87116320827124</v>
      </c>
    </row>
    <row r="56" s="307" customFormat="1" ht="15.6" customHeight="1" spans="1:6">
      <c r="A56" s="57"/>
      <c r="B56" s="57"/>
      <c r="C56" s="194"/>
      <c r="D56" s="57"/>
      <c r="E56" s="84"/>
      <c r="F56" s="113"/>
    </row>
    <row r="57" s="307" customFormat="1" ht="15.6" customHeight="1" spans="1:6">
      <c r="A57" s="57" t="s">
        <v>979</v>
      </c>
      <c r="B57" s="57" t="s">
        <v>973</v>
      </c>
      <c r="C57" s="194">
        <f>取费表!$E$4</f>
        <v>0.04</v>
      </c>
      <c r="D57" s="57"/>
      <c r="E57" s="84">
        <f>F47</f>
        <v>128.187063380589</v>
      </c>
      <c r="F57" s="113">
        <f t="shared" si="7"/>
        <v>5.12748253522355</v>
      </c>
    </row>
    <row r="58" s="307" customFormat="1" ht="15.6" customHeight="1" spans="1:6">
      <c r="A58" s="57" t="s">
        <v>162</v>
      </c>
      <c r="B58" s="57" t="s">
        <v>980</v>
      </c>
      <c r="C58" s="194">
        <f>取费表!$F$4</f>
        <v>0.05</v>
      </c>
      <c r="D58" s="57"/>
      <c r="E58" s="84">
        <f>F57+F47</f>
        <v>133.314545915812</v>
      </c>
      <c r="F58" s="113">
        <f t="shared" si="7"/>
        <v>6.66572729579061</v>
      </c>
    </row>
    <row r="59" s="307" customFormat="1" ht="15.6" customHeight="1" spans="1:6">
      <c r="A59" s="57" t="s">
        <v>214</v>
      </c>
      <c r="B59" s="57" t="s">
        <v>1173</v>
      </c>
      <c r="C59" s="59"/>
      <c r="D59" s="84"/>
      <c r="E59" s="57"/>
      <c r="F59" s="113">
        <f>F60</f>
        <v>58.72824</v>
      </c>
    </row>
    <row r="60" s="307" customFormat="1" ht="15.6" customHeight="1" spans="1:6">
      <c r="A60" s="57"/>
      <c r="B60" s="57" t="s">
        <v>1174</v>
      </c>
      <c r="C60" s="59" t="s">
        <v>184</v>
      </c>
      <c r="D60" s="84">
        <f>材料预算价!K12-材料预算价!L12</f>
        <v>4.86</v>
      </c>
      <c r="E60" s="88">
        <f>E53*台时!E14</f>
        <v>12.084</v>
      </c>
      <c r="F60" s="113">
        <f>E60*D60</f>
        <v>58.72824</v>
      </c>
    </row>
    <row r="61" s="307" customFormat="1" ht="15.6" customHeight="1" spans="1:6">
      <c r="A61" s="57" t="s">
        <v>327</v>
      </c>
      <c r="B61" s="57" t="s">
        <v>976</v>
      </c>
      <c r="C61" s="195">
        <f>C39</f>
        <v>0.09</v>
      </c>
      <c r="D61" s="57"/>
      <c r="E61" s="84">
        <f>F47+F57+F58+F59</f>
        <v>198.708513211603</v>
      </c>
      <c r="F61" s="113">
        <f>E61*C61</f>
        <v>17.8837661890443</v>
      </c>
    </row>
    <row r="62" s="307" customFormat="1" ht="15.6" customHeight="1" spans="1:6">
      <c r="A62" s="57"/>
      <c r="B62" s="57" t="s">
        <v>984</v>
      </c>
      <c r="C62" s="195"/>
      <c r="D62" s="57"/>
      <c r="E62" s="84"/>
      <c r="F62" s="113">
        <f>(F47+F57+F58+F59+F61)*取费表!H4</f>
        <v>6.49776838201942</v>
      </c>
    </row>
    <row r="63" s="307" customFormat="1" ht="15.6" customHeight="1" spans="1:6">
      <c r="A63" s="57"/>
      <c r="B63" s="57" t="s">
        <v>278</v>
      </c>
      <c r="C63" s="57"/>
      <c r="D63" s="57"/>
      <c r="E63" s="57"/>
      <c r="F63" s="113">
        <f>F47+F57+F58+F59+F61+F62</f>
        <v>223.090047782667</v>
      </c>
    </row>
    <row r="64" s="307" customFormat="1" ht="15.6" customHeight="1" spans="1:12">
      <c r="A64"/>
      <c r="B64"/>
      <c r="C64"/>
      <c r="D64"/>
      <c r="E64"/>
      <c r="F64"/>
      <c r="G64" s="312" t="s">
        <v>1155</v>
      </c>
      <c r="H64" s="176"/>
      <c r="I64" s="312"/>
      <c r="J64" s="312"/>
      <c r="K64" s="312"/>
      <c r="L64" s="312"/>
    </row>
    <row r="65" s="307" customFormat="1" ht="15.6" customHeight="1" spans="1:12">
      <c r="A65"/>
      <c r="B65"/>
      <c r="C65"/>
      <c r="D65"/>
      <c r="E65"/>
      <c r="F65"/>
      <c r="G65" s="189" t="s">
        <v>1175</v>
      </c>
      <c r="H65" s="189"/>
      <c r="I65" s="189"/>
      <c r="J65" s="189"/>
      <c r="K65" s="189"/>
      <c r="L65" s="189"/>
    </row>
    <row r="66" s="307" customFormat="1" ht="15.6" customHeight="1" spans="1:12">
      <c r="A66"/>
      <c r="B66"/>
      <c r="C66"/>
      <c r="D66"/>
      <c r="E66"/>
      <c r="F66"/>
      <c r="G66" s="190" t="s">
        <v>1176</v>
      </c>
      <c r="H66" s="191"/>
      <c r="I66" s="191"/>
      <c r="J66" s="191"/>
      <c r="K66" s="191" t="s">
        <v>1159</v>
      </c>
      <c r="L66" s="191"/>
    </row>
    <row r="67" s="307" customFormat="1" ht="15.6" customHeight="1" spans="1:12">
      <c r="A67"/>
      <c r="B67"/>
      <c r="C67"/>
      <c r="D67"/>
      <c r="E67"/>
      <c r="F67"/>
      <c r="G67" s="197" t="s">
        <v>1177</v>
      </c>
      <c r="H67" s="192"/>
      <c r="I67" s="192"/>
      <c r="J67" s="192"/>
      <c r="K67" s="192"/>
      <c r="L67" s="118"/>
    </row>
    <row r="68" s="307" customFormat="1" ht="15.6" customHeight="1" spans="1:12">
      <c r="A68"/>
      <c r="B68"/>
      <c r="C68"/>
      <c r="D68"/>
      <c r="E68"/>
      <c r="F68"/>
      <c r="G68" s="57" t="s">
        <v>354</v>
      </c>
      <c r="H68" s="57" t="s">
        <v>956</v>
      </c>
      <c r="I68" s="57" t="s">
        <v>52</v>
      </c>
      <c r="J68" s="57" t="s">
        <v>855</v>
      </c>
      <c r="K68" s="57" t="s">
        <v>53</v>
      </c>
      <c r="L68" s="57" t="s">
        <v>306</v>
      </c>
    </row>
    <row r="69" s="307" customFormat="1" ht="15.6" customHeight="1" spans="1:12">
      <c r="A69"/>
      <c r="B69"/>
      <c r="C69"/>
      <c r="D69"/>
      <c r="E69"/>
      <c r="F69"/>
      <c r="G69" s="57" t="s">
        <v>959</v>
      </c>
      <c r="H69" s="57" t="s">
        <v>960</v>
      </c>
      <c r="I69" s="57"/>
      <c r="J69" s="57"/>
      <c r="K69" s="57"/>
      <c r="L69" s="84">
        <f>L70+L77+L78</f>
        <v>210.108387854124</v>
      </c>
    </row>
    <row r="70" s="307" customFormat="1" ht="15.6" customHeight="1" spans="1:12">
      <c r="A70"/>
      <c r="B70"/>
      <c r="C70"/>
      <c r="D70"/>
      <c r="E70"/>
      <c r="F70"/>
      <c r="G70" s="57" t="s">
        <v>59</v>
      </c>
      <c r="H70" s="57" t="s">
        <v>957</v>
      </c>
      <c r="I70" s="57"/>
      <c r="J70" s="57"/>
      <c r="K70" s="57"/>
      <c r="L70" s="84">
        <f>L71+L74+L76</f>
        <v>200.48510291424</v>
      </c>
    </row>
    <row r="71" s="307" customFormat="1" ht="15.6" customHeight="1" spans="1:12">
      <c r="A71"/>
      <c r="B71"/>
      <c r="C71"/>
      <c r="D71"/>
      <c r="E71"/>
      <c r="F71"/>
      <c r="G71" s="57">
        <v>1</v>
      </c>
      <c r="H71" s="57" t="s">
        <v>964</v>
      </c>
      <c r="I71" s="57" t="s">
        <v>965</v>
      </c>
      <c r="J71" s="113"/>
      <c r="K71" s="113">
        <f>SUM(K72:K73)</f>
        <v>2.6</v>
      </c>
      <c r="L71" s="113">
        <f>SUM(L72:L73)</f>
        <v>15.002</v>
      </c>
    </row>
    <row r="72" s="307" customFormat="1" ht="15.6" customHeight="1" spans="1:12">
      <c r="A72"/>
      <c r="B72"/>
      <c r="C72"/>
      <c r="D72"/>
      <c r="E72"/>
      <c r="F72"/>
      <c r="G72" s="57"/>
      <c r="H72" s="57" t="s">
        <v>966</v>
      </c>
      <c r="I72" s="57" t="s">
        <v>965</v>
      </c>
      <c r="J72" s="113">
        <f>建筑工程单价分析表!D55</f>
        <v>8.1</v>
      </c>
      <c r="K72" s="113">
        <v>0</v>
      </c>
      <c r="L72" s="113">
        <f t="shared" ref="L72:L75" si="8">J72*K72</f>
        <v>0</v>
      </c>
    </row>
    <row r="73" s="307" customFormat="1" ht="15.6" customHeight="1" spans="1:12">
      <c r="A73"/>
      <c r="B73"/>
      <c r="C73"/>
      <c r="D73"/>
      <c r="E73"/>
      <c r="F73"/>
      <c r="G73" s="57"/>
      <c r="H73" s="57" t="s">
        <v>968</v>
      </c>
      <c r="I73" s="57" t="s">
        <v>965</v>
      </c>
      <c r="J73" s="113">
        <f>建筑工程单价分析表!D56</f>
        <v>5.77</v>
      </c>
      <c r="K73" s="113">
        <v>2.6</v>
      </c>
      <c r="L73" s="113">
        <f t="shared" si="8"/>
        <v>15.002</v>
      </c>
    </row>
    <row r="74" s="307" customFormat="1" ht="15.6" customHeight="1" spans="1:12">
      <c r="A74"/>
      <c r="B74"/>
      <c r="C74"/>
      <c r="D74"/>
      <c r="E74"/>
      <c r="F74"/>
      <c r="G74" s="57">
        <v>2</v>
      </c>
      <c r="H74" s="57" t="s">
        <v>1171</v>
      </c>
      <c r="I74" s="57"/>
      <c r="J74" s="57"/>
      <c r="K74" s="57"/>
      <c r="L74" s="113">
        <f>L75</f>
        <v>167.257184467491</v>
      </c>
    </row>
    <row r="75" s="307" customFormat="1" ht="15.6" customHeight="1" spans="1:12">
      <c r="A75"/>
      <c r="B75"/>
      <c r="C75"/>
      <c r="D75"/>
      <c r="E75"/>
      <c r="F75"/>
      <c r="G75" s="57"/>
      <c r="H75" s="57" t="s">
        <v>1172</v>
      </c>
      <c r="I75" s="57" t="s">
        <v>988</v>
      </c>
      <c r="J75" s="113">
        <f>建筑工程单价分析表!D58</f>
        <v>89.4423446350219</v>
      </c>
      <c r="K75" s="57">
        <v>1.87</v>
      </c>
      <c r="L75" s="113">
        <f t="shared" si="8"/>
        <v>167.257184467491</v>
      </c>
    </row>
    <row r="76" s="307" customFormat="1" ht="15.6" customHeight="1" spans="1:12">
      <c r="A76"/>
      <c r="B76"/>
      <c r="C76"/>
      <c r="D76"/>
      <c r="E76"/>
      <c r="F76"/>
      <c r="G76" s="57">
        <v>3</v>
      </c>
      <c r="H76" s="57" t="s">
        <v>969</v>
      </c>
      <c r="I76" s="59" t="s">
        <v>423</v>
      </c>
      <c r="J76" s="84">
        <f>L71+L74</f>
        <v>182.259184467491</v>
      </c>
      <c r="K76" s="57">
        <v>10</v>
      </c>
      <c r="L76" s="113">
        <f>J76*K76/100</f>
        <v>18.2259184467491</v>
      </c>
    </row>
    <row r="77" s="307" customFormat="1" ht="15.6" customHeight="1" spans="1:12">
      <c r="A77"/>
      <c r="B77"/>
      <c r="C77"/>
      <c r="D77"/>
      <c r="E77"/>
      <c r="F77"/>
      <c r="G77" s="57" t="s">
        <v>70</v>
      </c>
      <c r="H77" s="57" t="s">
        <v>977</v>
      </c>
      <c r="I77" s="194">
        <f>取费表!$C$4</f>
        <v>0.048</v>
      </c>
      <c r="J77" s="57"/>
      <c r="K77" s="84">
        <f>L70</f>
        <v>200.48510291424</v>
      </c>
      <c r="L77" s="113">
        <f t="shared" ref="L77:L80" si="9">K77*I77</f>
        <v>9.62328493988352</v>
      </c>
    </row>
    <row r="78" s="307" customFormat="1" ht="15.6" customHeight="1" spans="1:12">
      <c r="A78"/>
      <c r="B78"/>
      <c r="C78"/>
      <c r="D78"/>
      <c r="E78"/>
      <c r="F78"/>
      <c r="G78" s="57"/>
      <c r="H78" s="57"/>
      <c r="I78" s="194"/>
      <c r="J78" s="57"/>
      <c r="K78" s="84"/>
      <c r="L78" s="113"/>
    </row>
    <row r="79" s="307" customFormat="1" ht="15.6" customHeight="1" spans="1:12">
      <c r="A79"/>
      <c r="B79"/>
      <c r="C79"/>
      <c r="D79"/>
      <c r="E79"/>
      <c r="F79"/>
      <c r="G79" s="57" t="s">
        <v>979</v>
      </c>
      <c r="H79" s="57" t="s">
        <v>973</v>
      </c>
      <c r="I79" s="194">
        <f>取费表!$E$4</f>
        <v>0.04</v>
      </c>
      <c r="J79" s="57"/>
      <c r="K79" s="84">
        <f>L69</f>
        <v>210.108387854124</v>
      </c>
      <c r="L79" s="113">
        <f t="shared" si="9"/>
        <v>8.40433551416494</v>
      </c>
    </row>
    <row r="80" s="307" customFormat="1" ht="15.6" customHeight="1" spans="1:12">
      <c r="A80"/>
      <c r="B80"/>
      <c r="C80"/>
      <c r="D80"/>
      <c r="E80"/>
      <c r="F80"/>
      <c r="G80" s="57" t="s">
        <v>162</v>
      </c>
      <c r="H80" s="57" t="s">
        <v>980</v>
      </c>
      <c r="I80" s="194">
        <f>取费表!$F$4</f>
        <v>0.05</v>
      </c>
      <c r="J80" s="57"/>
      <c r="K80" s="84">
        <f>L79+L69</f>
        <v>218.512723368289</v>
      </c>
      <c r="L80" s="113">
        <f t="shared" si="9"/>
        <v>10.9256361684144</v>
      </c>
    </row>
    <row r="81" s="307" customFormat="1" ht="15.6" customHeight="1" spans="1:12">
      <c r="A81"/>
      <c r="B81"/>
      <c r="C81"/>
      <c r="D81"/>
      <c r="E81"/>
      <c r="F81"/>
      <c r="G81" s="57" t="s">
        <v>214</v>
      </c>
      <c r="H81" s="57" t="s">
        <v>1173</v>
      </c>
      <c r="I81" s="59"/>
      <c r="J81" s="84"/>
      <c r="K81" s="57"/>
      <c r="L81" s="113">
        <f>L82</f>
        <v>96.33492</v>
      </c>
    </row>
    <row r="82" s="307" customFormat="1" ht="15.6" customHeight="1" spans="1:12">
      <c r="A82"/>
      <c r="B82"/>
      <c r="C82"/>
      <c r="D82"/>
      <c r="E82"/>
      <c r="F82"/>
      <c r="G82" s="57"/>
      <c r="H82" s="57" t="s">
        <v>1174</v>
      </c>
      <c r="I82" s="59" t="s">
        <v>184</v>
      </c>
      <c r="J82" s="84">
        <f>建筑工程单价分析表!D65</f>
        <v>4.86</v>
      </c>
      <c r="K82" s="88">
        <f>K75*10.6</f>
        <v>19.822</v>
      </c>
      <c r="L82" s="113">
        <f>K82*J82</f>
        <v>96.33492</v>
      </c>
    </row>
    <row r="83" s="307" customFormat="1" ht="15.6" customHeight="1" spans="1:12">
      <c r="A83"/>
      <c r="B83"/>
      <c r="C83"/>
      <c r="D83"/>
      <c r="E83"/>
      <c r="F83"/>
      <c r="G83" s="57" t="s">
        <v>327</v>
      </c>
      <c r="H83" s="57" t="s">
        <v>976</v>
      </c>
      <c r="I83" s="195">
        <f>建筑工程单价分析表!C66</f>
        <v>0.09</v>
      </c>
      <c r="J83" s="57"/>
      <c r="K83" s="84">
        <f>L69+L79+L80+L81</f>
        <v>325.773279536703</v>
      </c>
      <c r="L83" s="113">
        <f>K83*I83</f>
        <v>29.3195951583033</v>
      </c>
    </row>
    <row r="84" s="307" customFormat="1" ht="15.6" customHeight="1" spans="1:12">
      <c r="A84"/>
      <c r="B84"/>
      <c r="C84"/>
      <c r="D84"/>
      <c r="E84"/>
      <c r="F84"/>
      <c r="G84" s="57"/>
      <c r="H84" s="57" t="s">
        <v>984</v>
      </c>
      <c r="I84" s="195"/>
      <c r="J84" s="57"/>
      <c r="K84" s="84"/>
      <c r="L84" s="113">
        <f>(L69+L79+L80+L81+L83)*取费表!H4</f>
        <v>10.6527862408502</v>
      </c>
    </row>
    <row r="85" s="307" customFormat="1" ht="15.6" customHeight="1" spans="1:12">
      <c r="A85"/>
      <c r="B85"/>
      <c r="C85"/>
      <c r="D85"/>
      <c r="E85"/>
      <c r="F85"/>
      <c r="G85" s="57"/>
      <c r="H85" s="57" t="s">
        <v>278</v>
      </c>
      <c r="I85" s="57"/>
      <c r="J85" s="57"/>
      <c r="K85" s="57"/>
      <c r="L85" s="113">
        <f>L69+L79+L80+L81+L83+L84</f>
        <v>365.745660935856</v>
      </c>
    </row>
    <row r="86" ht="15.6" customHeight="1" spans="1:6">
      <c r="A86" s="313" t="s">
        <v>1155</v>
      </c>
      <c r="B86" s="314"/>
      <c r="C86" s="313"/>
      <c r="D86" s="313"/>
      <c r="E86" s="313"/>
      <c r="F86" s="313"/>
    </row>
    <row r="87" ht="15.6" customHeight="1" spans="1:6">
      <c r="A87" s="189" t="s">
        <v>1178</v>
      </c>
      <c r="B87" s="189"/>
      <c r="C87" s="189"/>
      <c r="D87" s="189"/>
      <c r="E87" s="189"/>
      <c r="F87" s="189"/>
    </row>
    <row r="88" ht="15.6" customHeight="1" spans="1:6">
      <c r="A88" s="190" t="s">
        <v>1179</v>
      </c>
      <c r="B88" s="191"/>
      <c r="C88" s="168"/>
      <c r="D88" s="168"/>
      <c r="E88" s="191" t="s">
        <v>1159</v>
      </c>
      <c r="F88" s="191"/>
    </row>
    <row r="89" ht="15.6" customHeight="1" spans="1:6">
      <c r="A89" s="117" t="s">
        <v>1170</v>
      </c>
      <c r="B89" s="192"/>
      <c r="C89" s="192"/>
      <c r="D89" s="192"/>
      <c r="E89" s="192"/>
      <c r="F89" s="118"/>
    </row>
    <row r="90" ht="15.6" customHeight="1" spans="1:12">
      <c r="A90" s="57" t="s">
        <v>354</v>
      </c>
      <c r="B90" s="57" t="s">
        <v>956</v>
      </c>
      <c r="C90" s="57" t="s">
        <v>52</v>
      </c>
      <c r="D90" s="57" t="s">
        <v>855</v>
      </c>
      <c r="E90" s="57" t="s">
        <v>53</v>
      </c>
      <c r="F90" s="57" t="s">
        <v>306</v>
      </c>
      <c r="G90" s="315" t="s">
        <v>1180</v>
      </c>
      <c r="H90" s="315"/>
      <c r="I90" s="315"/>
      <c r="J90" s="315"/>
      <c r="K90" s="315"/>
      <c r="L90" s="315"/>
    </row>
    <row r="91" ht="15.6" customHeight="1" spans="1:12">
      <c r="A91" s="57" t="s">
        <v>959</v>
      </c>
      <c r="B91" s="57" t="s">
        <v>960</v>
      </c>
      <c r="C91" s="57"/>
      <c r="D91" s="57"/>
      <c r="E91" s="57"/>
      <c r="F91" s="84">
        <f>F92+F99+F100</f>
        <v>296.154077723469</v>
      </c>
      <c r="G91" s="168" t="s">
        <v>1181</v>
      </c>
      <c r="H91" s="168"/>
      <c r="I91" s="168"/>
      <c r="J91" s="168"/>
      <c r="K91" s="168"/>
      <c r="L91" s="168"/>
    </row>
    <row r="92" ht="15.6" customHeight="1" spans="1:12">
      <c r="A92" s="57" t="s">
        <v>59</v>
      </c>
      <c r="B92" s="57" t="s">
        <v>957</v>
      </c>
      <c r="C92" s="57"/>
      <c r="D92" s="57"/>
      <c r="E92" s="57"/>
      <c r="F92" s="84">
        <f>F93+F96+F98</f>
        <v>282.589768820104</v>
      </c>
      <c r="G92" s="316" t="s">
        <v>1182</v>
      </c>
      <c r="H92" s="317">
        <v>3009</v>
      </c>
      <c r="J92" s="307"/>
      <c r="K92" s="316" t="s">
        <v>1183</v>
      </c>
      <c r="L92" s="317" t="s">
        <v>924</v>
      </c>
    </row>
    <row r="93" ht="15.6" customHeight="1" spans="1:12">
      <c r="A93" s="57">
        <v>1</v>
      </c>
      <c r="B93" s="57" t="s">
        <v>964</v>
      </c>
      <c r="C93" s="57" t="s">
        <v>965</v>
      </c>
      <c r="D93" s="113"/>
      <c r="E93" s="113">
        <f>SUM(E94:E95)</f>
        <v>3.6</v>
      </c>
      <c r="F93" s="113">
        <f>SUM(F94:F95)</f>
        <v>20.772</v>
      </c>
      <c r="G93" s="318" t="s">
        <v>1184</v>
      </c>
      <c r="H93" s="117"/>
      <c r="I93" s="192"/>
      <c r="J93" s="192"/>
      <c r="K93" s="192"/>
      <c r="L93" s="118"/>
    </row>
    <row r="94" s="307" customFormat="1" ht="15.6" customHeight="1" spans="1:12">
      <c r="A94" s="57"/>
      <c r="B94" s="57" t="s">
        <v>966</v>
      </c>
      <c r="C94" s="57" t="s">
        <v>965</v>
      </c>
      <c r="D94" s="113">
        <f>D31</f>
        <v>8.1</v>
      </c>
      <c r="E94" s="113">
        <v>0</v>
      </c>
      <c r="F94" s="113">
        <f t="shared" ref="F94:F97" si="10">D94*E94</f>
        <v>0</v>
      </c>
      <c r="G94" s="57" t="s">
        <v>354</v>
      </c>
      <c r="H94" s="58" t="s">
        <v>956</v>
      </c>
      <c r="I94" s="57" t="s">
        <v>52</v>
      </c>
      <c r="J94" s="57" t="s">
        <v>54</v>
      </c>
      <c r="K94" s="57" t="s">
        <v>53</v>
      </c>
      <c r="L94" s="57" t="s">
        <v>1185</v>
      </c>
    </row>
    <row r="95" s="307" customFormat="1" ht="15.6" customHeight="1" spans="1:12">
      <c r="A95" s="57"/>
      <c r="B95" s="57" t="s">
        <v>968</v>
      </c>
      <c r="C95" s="57" t="s">
        <v>965</v>
      </c>
      <c r="D95" s="113">
        <f>D32</f>
        <v>5.77</v>
      </c>
      <c r="E95" s="113">
        <v>3.6</v>
      </c>
      <c r="F95" s="113">
        <f t="shared" si="10"/>
        <v>20.772</v>
      </c>
      <c r="G95" s="57">
        <v>1</v>
      </c>
      <c r="H95" s="58" t="s">
        <v>960</v>
      </c>
      <c r="I95" s="57"/>
      <c r="J95" s="57"/>
      <c r="K95" s="57"/>
      <c r="L95" s="119">
        <f>L96+L104+L105</f>
        <v>10618.3398295684</v>
      </c>
    </row>
    <row r="96" ht="15.6" customHeight="1" spans="1:12">
      <c r="A96" s="57">
        <v>2</v>
      </c>
      <c r="B96" s="57" t="s">
        <v>1171</v>
      </c>
      <c r="C96" s="57"/>
      <c r="D96" s="57"/>
      <c r="E96" s="57"/>
      <c r="F96" s="113">
        <f>F97</f>
        <v>236.127789836458</v>
      </c>
      <c r="G96" s="57">
        <v>1.1</v>
      </c>
      <c r="H96" s="58" t="s">
        <v>957</v>
      </c>
      <c r="I96" s="57"/>
      <c r="J96" s="57"/>
      <c r="K96" s="57"/>
      <c r="L96" s="119">
        <f>L97+L100+L103</f>
        <v>10132.0036541683</v>
      </c>
    </row>
    <row r="97" ht="15.6" customHeight="1" spans="1:12">
      <c r="A97" s="57"/>
      <c r="B97" s="57" t="s">
        <v>1172</v>
      </c>
      <c r="C97" s="57" t="s">
        <v>988</v>
      </c>
      <c r="D97" s="113">
        <f>台时!E21</f>
        <v>89.4423446350219</v>
      </c>
      <c r="E97" s="57">
        <f>2.64</f>
        <v>2.64</v>
      </c>
      <c r="F97" s="113">
        <f t="shared" si="10"/>
        <v>236.127789836458</v>
      </c>
      <c r="G97" s="57" t="s">
        <v>1186</v>
      </c>
      <c r="H97" s="58" t="s">
        <v>963</v>
      </c>
      <c r="I97" s="57"/>
      <c r="J97" s="57"/>
      <c r="K97" s="57"/>
      <c r="L97" s="119">
        <f>L98+L99</f>
        <v>2866.523</v>
      </c>
    </row>
    <row r="98" ht="15.6" customHeight="1" spans="1:12">
      <c r="A98" s="57">
        <v>3</v>
      </c>
      <c r="B98" s="57" t="s">
        <v>969</v>
      </c>
      <c r="C98" s="59" t="s">
        <v>423</v>
      </c>
      <c r="D98" s="84">
        <f>F93+F97</f>
        <v>256.899789836458</v>
      </c>
      <c r="E98" s="57">
        <v>10</v>
      </c>
      <c r="F98" s="113">
        <f>D98*E98/100</f>
        <v>25.6899789836458</v>
      </c>
      <c r="G98" s="57"/>
      <c r="H98" s="58" t="s">
        <v>966</v>
      </c>
      <c r="I98" s="57" t="s">
        <v>965</v>
      </c>
      <c r="J98" s="57">
        <v>8.1</v>
      </c>
      <c r="K98" s="57">
        <v>9.9</v>
      </c>
      <c r="L98" s="119">
        <f t="shared" ref="L98:L101" si="11">J98*K98</f>
        <v>80.19</v>
      </c>
    </row>
    <row r="99" ht="15.6" customHeight="1" spans="1:12">
      <c r="A99" s="57" t="s">
        <v>70</v>
      </c>
      <c r="B99" s="57" t="s">
        <v>977</v>
      </c>
      <c r="C99" s="194">
        <f>取费表!$C$4</f>
        <v>0.048</v>
      </c>
      <c r="D99" s="57"/>
      <c r="E99" s="84">
        <f>F92</f>
        <v>282.589768820104</v>
      </c>
      <c r="F99" s="113">
        <f t="shared" ref="F99:F102" si="12">E99*C99</f>
        <v>13.564308903365</v>
      </c>
      <c r="G99" s="57"/>
      <c r="H99" s="58" t="s">
        <v>968</v>
      </c>
      <c r="I99" s="57" t="s">
        <v>965</v>
      </c>
      <c r="J99" s="57">
        <v>5.77</v>
      </c>
      <c r="K99" s="57">
        <v>482.9</v>
      </c>
      <c r="L99" s="119">
        <f t="shared" si="11"/>
        <v>2786.333</v>
      </c>
    </row>
    <row r="100" ht="15.6" customHeight="1" spans="1:12">
      <c r="A100" s="57"/>
      <c r="B100" s="57"/>
      <c r="C100" s="194"/>
      <c r="D100" s="57"/>
      <c r="E100" s="84"/>
      <c r="F100" s="113"/>
      <c r="G100" s="57" t="s">
        <v>1187</v>
      </c>
      <c r="H100" s="58" t="s">
        <v>967</v>
      </c>
      <c r="I100" s="57"/>
      <c r="J100" s="57"/>
      <c r="K100" s="57"/>
      <c r="L100" s="119">
        <f>L101+L102</f>
        <v>7211.4</v>
      </c>
    </row>
    <row r="101" ht="46.15" customHeight="1" spans="1:12">
      <c r="A101" s="57" t="s">
        <v>979</v>
      </c>
      <c r="B101" s="57" t="s">
        <v>973</v>
      </c>
      <c r="C101" s="194">
        <f>取费表!$E$4</f>
        <v>0.04</v>
      </c>
      <c r="D101" s="57"/>
      <c r="E101" s="84">
        <f>F91</f>
        <v>296.154077723469</v>
      </c>
      <c r="F101" s="113">
        <f t="shared" si="12"/>
        <v>11.8461631089388</v>
      </c>
      <c r="G101" s="57"/>
      <c r="H101" s="319" t="str">
        <f>建筑工程概算表!B101</f>
        <v>砂滤料封管</v>
      </c>
      <c r="I101" s="57" t="s">
        <v>1188</v>
      </c>
      <c r="J101" s="320">
        <f>70</f>
        <v>70</v>
      </c>
      <c r="K101" s="57">
        <v>102</v>
      </c>
      <c r="L101" s="119">
        <f t="shared" si="11"/>
        <v>7140</v>
      </c>
    </row>
    <row r="102" ht="15.6" customHeight="1" spans="1:12">
      <c r="A102" s="57" t="s">
        <v>162</v>
      </c>
      <c r="B102" s="57" t="s">
        <v>980</v>
      </c>
      <c r="C102" s="194">
        <f>取费表!$F$4</f>
        <v>0.05</v>
      </c>
      <c r="D102" s="57"/>
      <c r="E102" s="84">
        <f>F101+F91</f>
        <v>308.000240832407</v>
      </c>
      <c r="F102" s="113">
        <f t="shared" si="12"/>
        <v>15.4000120416204</v>
      </c>
      <c r="G102" s="57"/>
      <c r="H102" s="58" t="s">
        <v>1163</v>
      </c>
      <c r="I102" s="57" t="s">
        <v>423</v>
      </c>
      <c r="J102" s="119">
        <f>L101</f>
        <v>7140</v>
      </c>
      <c r="K102" s="57">
        <v>1</v>
      </c>
      <c r="L102" s="119">
        <f>J102*K102/100</f>
        <v>71.4</v>
      </c>
    </row>
    <row r="103" ht="15.6" customHeight="1" spans="1:12">
      <c r="A103" s="57" t="s">
        <v>214</v>
      </c>
      <c r="B103" s="57" t="s">
        <v>1173</v>
      </c>
      <c r="C103" s="59"/>
      <c r="D103" s="84"/>
      <c r="E103" s="57"/>
      <c r="F103" s="113">
        <f>F104</f>
        <v>136.00224</v>
      </c>
      <c r="G103" s="57" t="s">
        <v>1189</v>
      </c>
      <c r="H103" s="58" t="s">
        <v>1190</v>
      </c>
      <c r="I103" s="57"/>
      <c r="J103" s="113">
        <f>台时!C42</f>
        <v>0.813242919824491</v>
      </c>
      <c r="K103" s="57">
        <v>66.5</v>
      </c>
      <c r="L103" s="119">
        <f>J103*K103</f>
        <v>54.0806541683287</v>
      </c>
    </row>
    <row r="104" ht="15.6" customHeight="1" spans="1:12">
      <c r="A104" s="57"/>
      <c r="B104" s="57" t="s">
        <v>1174</v>
      </c>
      <c r="C104" s="59" t="s">
        <v>184</v>
      </c>
      <c r="D104" s="84">
        <f>材料预算价!K12-材料预算价!L12</f>
        <v>4.86</v>
      </c>
      <c r="E104" s="88">
        <f>E97*台时!E14</f>
        <v>27.984</v>
      </c>
      <c r="F104" s="113">
        <f>E104*D104</f>
        <v>136.00224</v>
      </c>
      <c r="G104" s="57">
        <v>1.2</v>
      </c>
      <c r="H104" s="58" t="s">
        <v>971</v>
      </c>
      <c r="I104" s="57"/>
      <c r="J104" s="119">
        <f>L96</f>
        <v>10132.0036541683</v>
      </c>
      <c r="K104" s="102">
        <f>取费表!C6</f>
        <v>0.048</v>
      </c>
      <c r="L104" s="119">
        <f t="shared" ref="L104:L107" si="13">J104*K104</f>
        <v>486.33617540008</v>
      </c>
    </row>
    <row r="105" ht="15.6" customHeight="1" spans="1:12">
      <c r="A105" s="57" t="s">
        <v>327</v>
      </c>
      <c r="B105" s="57" t="s">
        <v>976</v>
      </c>
      <c r="C105" s="195">
        <f>建筑工程单价分析表!C66</f>
        <v>0.09</v>
      </c>
      <c r="D105" s="57"/>
      <c r="E105" s="84">
        <f>F91+F101+F102+F103</f>
        <v>459.402492874028</v>
      </c>
      <c r="F105" s="113">
        <f>E105*C105</f>
        <v>41.3462243586625</v>
      </c>
      <c r="G105" s="57">
        <v>1.3</v>
      </c>
      <c r="H105" s="58" t="s">
        <v>1191</v>
      </c>
      <c r="I105" s="57"/>
      <c r="J105" s="119">
        <f>L96</f>
        <v>10132.0036541683</v>
      </c>
      <c r="K105" s="102"/>
      <c r="L105" s="119">
        <f t="shared" si="13"/>
        <v>0</v>
      </c>
    </row>
    <row r="106" ht="15.6" customHeight="1" spans="1:12">
      <c r="A106" s="57"/>
      <c r="B106" s="57" t="s">
        <v>984</v>
      </c>
      <c r="C106" s="195"/>
      <c r="D106" s="57"/>
      <c r="E106" s="84"/>
      <c r="F106" s="113">
        <f>(F91+F101+F102+F103+F105)*取费表!H4</f>
        <v>15.0224615169807</v>
      </c>
      <c r="G106" s="57">
        <v>2</v>
      </c>
      <c r="H106" s="58" t="s">
        <v>973</v>
      </c>
      <c r="I106" s="57"/>
      <c r="J106" s="119">
        <f>L95</f>
        <v>10618.3398295684</v>
      </c>
      <c r="K106" s="102">
        <f>取费表!E6</f>
        <v>0.085</v>
      </c>
      <c r="L106" s="119">
        <f t="shared" si="13"/>
        <v>902.558885513315</v>
      </c>
    </row>
    <row r="107" ht="15.6" customHeight="1" spans="1:12">
      <c r="A107" s="57"/>
      <c r="B107" s="57" t="s">
        <v>278</v>
      </c>
      <c r="C107" s="57"/>
      <c r="D107" s="57"/>
      <c r="E107" s="57"/>
      <c r="F107" s="113">
        <f>F91+F101+F102+F103+F105+F106</f>
        <v>515.771178749671</v>
      </c>
      <c r="G107" s="57">
        <v>3</v>
      </c>
      <c r="H107" s="58" t="s">
        <v>975</v>
      </c>
      <c r="I107" s="57"/>
      <c r="J107" s="119">
        <f>L95+L106</f>
        <v>11520.8987150817</v>
      </c>
      <c r="K107" s="102">
        <f>取费表!F6</f>
        <v>0.07</v>
      </c>
      <c r="L107" s="119">
        <f t="shared" si="13"/>
        <v>806.462910055721</v>
      </c>
    </row>
    <row r="108" ht="15.6" customHeight="1" spans="1:12">
      <c r="A108" s="313" t="s">
        <v>1155</v>
      </c>
      <c r="B108" s="314"/>
      <c r="C108" s="313"/>
      <c r="D108" s="313"/>
      <c r="E108" s="313"/>
      <c r="F108" s="313"/>
      <c r="G108" s="57">
        <v>4</v>
      </c>
      <c r="H108" s="58" t="s">
        <v>1173</v>
      </c>
      <c r="I108" s="57"/>
      <c r="J108" s="57"/>
      <c r="K108" s="57"/>
      <c r="L108" s="119">
        <f>L109</f>
        <v>334.66404</v>
      </c>
    </row>
    <row r="109" ht="42" customHeight="1" spans="1:12">
      <c r="A109" s="189" t="s">
        <v>1175</v>
      </c>
      <c r="B109" s="189"/>
      <c r="C109" s="189"/>
      <c r="D109" s="189"/>
      <c r="E109" s="189"/>
      <c r="F109" s="189"/>
      <c r="G109" s="57"/>
      <c r="H109" s="319" t="str">
        <f>H101</f>
        <v>砂滤料封管</v>
      </c>
      <c r="I109" s="57" t="s">
        <v>1188</v>
      </c>
      <c r="J109" s="88">
        <f>材料预算价!K16-70</f>
        <v>3.28102</v>
      </c>
      <c r="K109" s="57">
        <f>K101</f>
        <v>102</v>
      </c>
      <c r="L109" s="119">
        <f>J109*K109</f>
        <v>334.66404</v>
      </c>
    </row>
    <row r="110" ht="15.6" customHeight="1" spans="1:12">
      <c r="A110" s="190" t="s">
        <v>1179</v>
      </c>
      <c r="B110" s="191"/>
      <c r="C110" s="168"/>
      <c r="D110" s="168"/>
      <c r="E110" s="191" t="s">
        <v>1159</v>
      </c>
      <c r="F110" s="191"/>
      <c r="G110" s="57">
        <v>5</v>
      </c>
      <c r="H110" s="58" t="s">
        <v>976</v>
      </c>
      <c r="I110" s="57"/>
      <c r="J110" s="88">
        <f>L95+L106+L107+L108</f>
        <v>12662.0256651374</v>
      </c>
      <c r="K110" s="102">
        <f>取费表!G6</f>
        <v>0.09</v>
      </c>
      <c r="L110" s="119">
        <f>J110*K110</f>
        <v>1139.58230986237</v>
      </c>
    </row>
    <row r="111" ht="15.6" customHeight="1" spans="1:12">
      <c r="A111" s="117" t="s">
        <v>1170</v>
      </c>
      <c r="B111" s="192"/>
      <c r="C111" s="192"/>
      <c r="D111" s="192"/>
      <c r="E111" s="192"/>
      <c r="F111" s="118"/>
      <c r="G111" s="57">
        <v>6</v>
      </c>
      <c r="H111" s="58" t="s">
        <v>278</v>
      </c>
      <c r="I111" s="57"/>
      <c r="J111" s="57"/>
      <c r="K111" s="57"/>
      <c r="L111" s="119">
        <f>L95+L106+L107+L108+L110</f>
        <v>13801.6079749998</v>
      </c>
    </row>
    <row r="112" ht="15.6" customHeight="1" spans="1:12">
      <c r="A112" s="57" t="s">
        <v>354</v>
      </c>
      <c r="B112" s="57" t="s">
        <v>956</v>
      </c>
      <c r="C112" s="57" t="s">
        <v>52</v>
      </c>
      <c r="D112" s="57" t="s">
        <v>855</v>
      </c>
      <c r="E112" s="57" t="s">
        <v>53</v>
      </c>
      <c r="F112" s="57" t="s">
        <v>306</v>
      </c>
      <c r="G112" s="57"/>
      <c r="H112" s="58" t="s">
        <v>1192</v>
      </c>
      <c r="I112" s="57"/>
      <c r="J112" s="119">
        <f>L111</f>
        <v>13801.6079749998</v>
      </c>
      <c r="K112" s="102">
        <f>取费表!H6</f>
        <v>0.03</v>
      </c>
      <c r="L112" s="119">
        <f>K112*J112</f>
        <v>414.048239249994</v>
      </c>
    </row>
    <row r="113" ht="15.6" customHeight="1" spans="1:12">
      <c r="A113" s="57" t="s">
        <v>959</v>
      </c>
      <c r="B113" s="57" t="s">
        <v>960</v>
      </c>
      <c r="C113" s="57"/>
      <c r="D113" s="57"/>
      <c r="E113" s="57"/>
      <c r="F113" s="84">
        <f>F114+F121+F122</f>
        <v>210.108387854124</v>
      </c>
      <c r="G113" s="57"/>
      <c r="H113" s="58" t="s">
        <v>1193</v>
      </c>
      <c r="I113" s="57"/>
      <c r="J113" s="57"/>
      <c r="K113" s="57"/>
      <c r="L113" s="119">
        <f>SUM(L111:L112)</f>
        <v>14215.6562142498</v>
      </c>
    </row>
    <row r="114" ht="15.6" customHeight="1" spans="1:6">
      <c r="A114" s="57" t="s">
        <v>59</v>
      </c>
      <c r="B114" s="57" t="s">
        <v>957</v>
      </c>
      <c r="C114" s="57"/>
      <c r="D114" s="57"/>
      <c r="E114" s="57"/>
      <c r="F114" s="84">
        <f>F115+F118+F120</f>
        <v>200.48510291424</v>
      </c>
    </row>
    <row r="115" ht="15.6" customHeight="1" spans="1:12">
      <c r="A115" s="57">
        <v>1</v>
      </c>
      <c r="B115" s="57" t="s">
        <v>964</v>
      </c>
      <c r="C115" s="57" t="s">
        <v>965</v>
      </c>
      <c r="D115" s="113"/>
      <c r="E115" s="113">
        <f>SUM(E116:E117)</f>
        <v>2.6</v>
      </c>
      <c r="F115" s="113">
        <f>SUM(F116:F117)</f>
        <v>15.002</v>
      </c>
      <c r="G115" s="315" t="s">
        <v>1180</v>
      </c>
      <c r="H115" s="315"/>
      <c r="I115" s="315"/>
      <c r="J115" s="315"/>
      <c r="K115" s="315"/>
      <c r="L115" s="315"/>
    </row>
    <row r="116" ht="15.6" customHeight="1" spans="1:12">
      <c r="A116" s="57"/>
      <c r="B116" s="57" t="s">
        <v>966</v>
      </c>
      <c r="C116" s="57" t="s">
        <v>965</v>
      </c>
      <c r="D116" s="113">
        <f t="shared" ref="D116:D119" si="14">D94</f>
        <v>8.1</v>
      </c>
      <c r="E116" s="113">
        <v>0</v>
      </c>
      <c r="F116" s="113">
        <f t="shared" ref="F116:F119" si="15">D116*E116</f>
        <v>0</v>
      </c>
      <c r="G116" s="168" t="s">
        <v>1194</v>
      </c>
      <c r="H116" s="168"/>
      <c r="I116" s="168"/>
      <c r="J116" s="168"/>
      <c r="K116" s="168"/>
      <c r="L116" s="168"/>
    </row>
    <row r="117" ht="15.6" customHeight="1" spans="1:12">
      <c r="A117" s="57"/>
      <c r="B117" s="57" t="s">
        <v>968</v>
      </c>
      <c r="C117" s="57" t="s">
        <v>965</v>
      </c>
      <c r="D117" s="113">
        <f t="shared" si="14"/>
        <v>5.77</v>
      </c>
      <c r="E117" s="113">
        <v>2.6</v>
      </c>
      <c r="F117" s="113">
        <f t="shared" si="15"/>
        <v>15.002</v>
      </c>
      <c r="G117" s="316" t="s">
        <v>1182</v>
      </c>
      <c r="H117" s="317">
        <v>3007</v>
      </c>
      <c r="J117" s="307"/>
      <c r="K117" s="316" t="s">
        <v>1183</v>
      </c>
      <c r="L117" s="317" t="s">
        <v>924</v>
      </c>
    </row>
    <row r="118" ht="15.6" customHeight="1" spans="1:12">
      <c r="A118" s="57">
        <v>2</v>
      </c>
      <c r="B118" s="57" t="s">
        <v>1171</v>
      </c>
      <c r="C118" s="57"/>
      <c r="D118" s="57"/>
      <c r="E118" s="57"/>
      <c r="F118" s="113">
        <f>F119</f>
        <v>167.257184467491</v>
      </c>
      <c r="G118" s="318" t="s">
        <v>1184</v>
      </c>
      <c r="H118" s="117"/>
      <c r="I118" s="192"/>
      <c r="J118" s="192"/>
      <c r="K118" s="192"/>
      <c r="L118" s="118"/>
    </row>
    <row r="119" ht="15.6" customHeight="1" spans="1:12">
      <c r="A119" s="57"/>
      <c r="B119" s="57" t="s">
        <v>1172</v>
      </c>
      <c r="C119" s="57" t="s">
        <v>988</v>
      </c>
      <c r="D119" s="113">
        <f t="shared" si="14"/>
        <v>89.4423446350219</v>
      </c>
      <c r="E119" s="57">
        <v>1.87</v>
      </c>
      <c r="F119" s="113">
        <f t="shared" si="15"/>
        <v>167.257184467491</v>
      </c>
      <c r="G119" s="57" t="s">
        <v>354</v>
      </c>
      <c r="H119" s="58" t="s">
        <v>956</v>
      </c>
      <c r="I119" s="57" t="s">
        <v>52</v>
      </c>
      <c r="J119" s="57" t="s">
        <v>54</v>
      </c>
      <c r="K119" s="57" t="s">
        <v>53</v>
      </c>
      <c r="L119" s="57" t="s">
        <v>1185</v>
      </c>
    </row>
    <row r="120" ht="15.6" customHeight="1" spans="1:12">
      <c r="A120" s="57">
        <v>3</v>
      </c>
      <c r="B120" s="57" t="s">
        <v>969</v>
      </c>
      <c r="C120" s="59" t="s">
        <v>423</v>
      </c>
      <c r="D120" s="84">
        <f>F115+F119</f>
        <v>182.259184467491</v>
      </c>
      <c r="E120" s="57">
        <v>10</v>
      </c>
      <c r="F120" s="113">
        <f>D120*E120/100</f>
        <v>18.2259184467491</v>
      </c>
      <c r="G120" s="57">
        <v>1</v>
      </c>
      <c r="H120" s="58" t="s">
        <v>960</v>
      </c>
      <c r="I120" s="57"/>
      <c r="J120" s="57"/>
      <c r="K120" s="57"/>
      <c r="L120" s="119">
        <f>L121+L129+L130</f>
        <v>8933.62742956841</v>
      </c>
    </row>
    <row r="121" ht="15.6" customHeight="1" spans="1:12">
      <c r="A121" s="57" t="s">
        <v>70</v>
      </c>
      <c r="B121" s="57" t="s">
        <v>977</v>
      </c>
      <c r="C121" s="194">
        <f>取费表!$C$4</f>
        <v>0.048</v>
      </c>
      <c r="D121" s="57"/>
      <c r="E121" s="84">
        <f>F114</f>
        <v>200.48510291424</v>
      </c>
      <c r="F121" s="113">
        <f t="shared" ref="F121:F124" si="16">E121*C121</f>
        <v>9.62328493988353</v>
      </c>
      <c r="G121" s="57">
        <v>1.1</v>
      </c>
      <c r="H121" s="58" t="s">
        <v>957</v>
      </c>
      <c r="I121" s="57"/>
      <c r="J121" s="57"/>
      <c r="K121" s="57"/>
      <c r="L121" s="119">
        <f>L122+L125+L128</f>
        <v>8524.45365416833</v>
      </c>
    </row>
    <row r="122" ht="15.6" customHeight="1" spans="1:12">
      <c r="A122" s="57"/>
      <c r="B122" s="57"/>
      <c r="C122" s="194"/>
      <c r="D122" s="57"/>
      <c r="E122" s="84"/>
      <c r="F122" s="113"/>
      <c r="G122" s="57" t="s">
        <v>1186</v>
      </c>
      <c r="H122" s="58" t="s">
        <v>963</v>
      </c>
      <c r="I122" s="57"/>
      <c r="J122" s="57"/>
      <c r="K122" s="57"/>
      <c r="L122" s="119">
        <f>L123+L124</f>
        <v>1245.953</v>
      </c>
    </row>
    <row r="123" ht="15.6" customHeight="1" spans="1:12">
      <c r="A123" s="57" t="s">
        <v>979</v>
      </c>
      <c r="B123" s="57" t="s">
        <v>973</v>
      </c>
      <c r="C123" s="194">
        <f>取费表!$E$4</f>
        <v>0.04</v>
      </c>
      <c r="D123" s="57"/>
      <c r="E123" s="84">
        <f>F113</f>
        <v>210.108387854124</v>
      </c>
      <c r="F123" s="113">
        <f t="shared" si="16"/>
        <v>8.40433551416495</v>
      </c>
      <c r="G123" s="57"/>
      <c r="H123" s="58" t="s">
        <v>966</v>
      </c>
      <c r="I123" s="57" t="s">
        <v>965</v>
      </c>
      <c r="J123" s="57">
        <v>8.1</v>
      </c>
      <c r="K123" s="57">
        <v>4.3</v>
      </c>
      <c r="L123" s="119">
        <f t="shared" ref="L123:L126" si="17">J123*K123</f>
        <v>34.83</v>
      </c>
    </row>
    <row r="124" ht="15.6" customHeight="1" spans="1:12">
      <c r="A124" s="57" t="s">
        <v>162</v>
      </c>
      <c r="B124" s="57" t="s">
        <v>980</v>
      </c>
      <c r="C124" s="194">
        <f>取费表!$F$4</f>
        <v>0.05</v>
      </c>
      <c r="D124" s="57"/>
      <c r="E124" s="84">
        <f>F123+F113</f>
        <v>218.512723368289</v>
      </c>
      <c r="F124" s="113">
        <f t="shared" si="16"/>
        <v>10.9256361684144</v>
      </c>
      <c r="G124" s="57"/>
      <c r="H124" s="58" t="s">
        <v>968</v>
      </c>
      <c r="I124" s="57" t="s">
        <v>965</v>
      </c>
      <c r="J124" s="57">
        <v>5.77</v>
      </c>
      <c r="K124" s="57">
        <v>209.9</v>
      </c>
      <c r="L124" s="119">
        <f t="shared" si="17"/>
        <v>1211.123</v>
      </c>
    </row>
    <row r="125" ht="15.6" customHeight="1" spans="1:12">
      <c r="A125" s="57" t="s">
        <v>214</v>
      </c>
      <c r="B125" s="57" t="s">
        <v>1173</v>
      </c>
      <c r="C125" s="59"/>
      <c r="D125" s="84"/>
      <c r="E125" s="57"/>
      <c r="F125" s="113">
        <f>F126</f>
        <v>96.33492</v>
      </c>
      <c r="G125" s="57" t="s">
        <v>1187</v>
      </c>
      <c r="H125" s="58" t="s">
        <v>967</v>
      </c>
      <c r="I125" s="57"/>
      <c r="J125" s="57"/>
      <c r="K125" s="57"/>
      <c r="L125" s="119">
        <f>L126+L127</f>
        <v>7224.42</v>
      </c>
    </row>
    <row r="126" ht="46.9" customHeight="1" spans="1:12">
      <c r="A126" s="57"/>
      <c r="B126" s="57" t="s">
        <v>1174</v>
      </c>
      <c r="C126" s="59" t="s">
        <v>184</v>
      </c>
      <c r="D126" s="84">
        <f>D104</f>
        <v>4.86</v>
      </c>
      <c r="E126" s="88">
        <f>E119*台时!E14</f>
        <v>19.822</v>
      </c>
      <c r="F126" s="113">
        <f>E126*D126</f>
        <v>96.33492</v>
      </c>
      <c r="G126" s="57"/>
      <c r="H126" s="319" t="s">
        <v>200</v>
      </c>
      <c r="I126" s="57" t="s">
        <v>1188</v>
      </c>
      <c r="J126" s="320">
        <f>70</f>
        <v>70</v>
      </c>
      <c r="K126" s="57">
        <v>103</v>
      </c>
      <c r="L126" s="119">
        <f t="shared" si="17"/>
        <v>7210</v>
      </c>
    </row>
    <row r="127" ht="15.6" customHeight="1" spans="1:12">
      <c r="A127" s="57" t="s">
        <v>327</v>
      </c>
      <c r="B127" s="57" t="s">
        <v>976</v>
      </c>
      <c r="C127" s="195">
        <f>C105</f>
        <v>0.09</v>
      </c>
      <c r="D127" s="57"/>
      <c r="E127" s="84">
        <f>F113+F123+F124+F125</f>
        <v>325.773279536703</v>
      </c>
      <c r="F127" s="113">
        <f>E127*C127</f>
        <v>29.3195951583033</v>
      </c>
      <c r="G127" s="57"/>
      <c r="H127" s="58" t="s">
        <v>1163</v>
      </c>
      <c r="I127" s="57" t="s">
        <v>423</v>
      </c>
      <c r="J127" s="119">
        <f>L126</f>
        <v>7210</v>
      </c>
      <c r="K127" s="57">
        <v>0.2</v>
      </c>
      <c r="L127" s="119">
        <f>J127*K127/100</f>
        <v>14.42</v>
      </c>
    </row>
    <row r="128" ht="15.6" customHeight="1" spans="1:12">
      <c r="A128" s="57"/>
      <c r="B128" s="57" t="s">
        <v>984</v>
      </c>
      <c r="C128" s="195"/>
      <c r="D128" s="57"/>
      <c r="E128" s="84"/>
      <c r="F128" s="113">
        <f>(F113+F123+F124+F125+F127)*取费表!H4</f>
        <v>10.6527862408502</v>
      </c>
      <c r="G128" s="57" t="s">
        <v>1189</v>
      </c>
      <c r="H128" s="58" t="str">
        <f>H103</f>
        <v>胶轮车</v>
      </c>
      <c r="I128" s="57" t="s">
        <v>988</v>
      </c>
      <c r="J128" s="113">
        <f>J103</f>
        <v>0.813242919824491</v>
      </c>
      <c r="K128" s="57">
        <v>66.5</v>
      </c>
      <c r="L128" s="119">
        <f>J128*K128</f>
        <v>54.0806541683287</v>
      </c>
    </row>
    <row r="129" ht="15.6" customHeight="1" spans="1:12">
      <c r="A129" s="57"/>
      <c r="B129" s="57" t="s">
        <v>278</v>
      </c>
      <c r="C129" s="57"/>
      <c r="D129" s="57"/>
      <c r="E129" s="57"/>
      <c r="F129" s="113">
        <f>F113+F123+F124+F125+F127+F128</f>
        <v>365.745660935857</v>
      </c>
      <c r="G129" s="57">
        <v>1.2</v>
      </c>
      <c r="H129" s="58" t="s">
        <v>971</v>
      </c>
      <c r="I129" s="57"/>
      <c r="J129" s="119">
        <f>L121</f>
        <v>8524.45365416833</v>
      </c>
      <c r="K129" s="102">
        <f>K104</f>
        <v>0.048</v>
      </c>
      <c r="L129" s="119">
        <f t="shared" ref="L129:L132" si="18">J129*K129</f>
        <v>409.17377540008</v>
      </c>
    </row>
    <row r="130" ht="15.6" customHeight="1" spans="1:12">
      <c r="A130" s="313" t="s">
        <v>1155</v>
      </c>
      <c r="B130" s="314"/>
      <c r="C130" s="313"/>
      <c r="D130" s="313"/>
      <c r="E130" s="313"/>
      <c r="F130" s="313"/>
      <c r="G130" s="57">
        <v>1.3</v>
      </c>
      <c r="H130" s="58" t="s">
        <v>1191</v>
      </c>
      <c r="I130" s="57"/>
      <c r="J130" s="119">
        <f>L121</f>
        <v>8524.45365416833</v>
      </c>
      <c r="K130" s="102"/>
      <c r="L130" s="119">
        <f t="shared" si="18"/>
        <v>0</v>
      </c>
    </row>
    <row r="131" ht="15.6" customHeight="1" spans="1:12">
      <c r="A131" s="189" t="s">
        <v>1195</v>
      </c>
      <c r="B131" s="189"/>
      <c r="C131" s="189"/>
      <c r="D131" s="189"/>
      <c r="E131" s="189"/>
      <c r="F131" s="189"/>
      <c r="G131" s="57">
        <v>2</v>
      </c>
      <c r="H131" s="58" t="s">
        <v>973</v>
      </c>
      <c r="I131" s="57"/>
      <c r="J131" s="119">
        <f>L120</f>
        <v>8933.62742956841</v>
      </c>
      <c r="K131" s="102">
        <f>K106</f>
        <v>0.085</v>
      </c>
      <c r="L131" s="119">
        <f t="shared" si="18"/>
        <v>759.358331513315</v>
      </c>
    </row>
    <row r="132" ht="15.6" customHeight="1" spans="1:12">
      <c r="A132" s="190" t="s">
        <v>1179</v>
      </c>
      <c r="B132" s="191"/>
      <c r="C132" s="168"/>
      <c r="D132" s="168"/>
      <c r="E132" s="191" t="s">
        <v>1159</v>
      </c>
      <c r="F132" s="191"/>
      <c r="G132" s="57">
        <v>3</v>
      </c>
      <c r="H132" s="58" t="s">
        <v>975</v>
      </c>
      <c r="I132" s="57"/>
      <c r="J132" s="119">
        <f>L120+L131</f>
        <v>9692.98576108172</v>
      </c>
      <c r="K132" s="102">
        <f>K107</f>
        <v>0.07</v>
      </c>
      <c r="L132" s="119">
        <f t="shared" si="18"/>
        <v>678.509003275721</v>
      </c>
    </row>
    <row r="133" ht="15.6" customHeight="1" spans="1:12">
      <c r="A133" s="117" t="s">
        <v>1196</v>
      </c>
      <c r="B133" s="192"/>
      <c r="C133" s="192"/>
      <c r="D133" s="192"/>
      <c r="E133" s="192"/>
      <c r="F133" s="118"/>
      <c r="G133" s="57">
        <v>4</v>
      </c>
      <c r="H133" s="58" t="s">
        <v>1173</v>
      </c>
      <c r="I133" s="57"/>
      <c r="J133" s="57"/>
      <c r="K133" s="57"/>
      <c r="L133" s="119" t="e">
        <f>L134</f>
        <v>#REF!</v>
      </c>
    </row>
    <row r="134" ht="15.6" customHeight="1" spans="1:12">
      <c r="A134" s="57" t="s">
        <v>354</v>
      </c>
      <c r="B134" s="57" t="s">
        <v>956</v>
      </c>
      <c r="C134" s="57" t="s">
        <v>52</v>
      </c>
      <c r="D134" s="57" t="s">
        <v>855</v>
      </c>
      <c r="E134" s="57" t="s">
        <v>53</v>
      </c>
      <c r="F134" s="57" t="s">
        <v>306</v>
      </c>
      <c r="G134" s="57"/>
      <c r="H134" s="319" t="str">
        <f>H126</f>
        <v>滤料铺设 火山岩(粒径30-50mm)</v>
      </c>
      <c r="I134" s="57" t="s">
        <v>1188</v>
      </c>
      <c r="J134" s="88" t="e">
        <f>材料预算价!#REF!-材料预算价!#REF!</f>
        <v>#REF!</v>
      </c>
      <c r="K134" s="57">
        <f>K126</f>
        <v>103</v>
      </c>
      <c r="L134" s="119" t="e">
        <f>J134*K134</f>
        <v>#REF!</v>
      </c>
    </row>
    <row r="135" ht="15.6" customHeight="1" spans="1:12">
      <c r="A135" s="57" t="s">
        <v>959</v>
      </c>
      <c r="B135" s="57" t="s">
        <v>960</v>
      </c>
      <c r="C135" s="57"/>
      <c r="D135" s="57"/>
      <c r="E135" s="57"/>
      <c r="F135" s="84">
        <f>F136+F143+F144</f>
        <v>349.770827869</v>
      </c>
      <c r="G135" s="57">
        <v>5</v>
      </c>
      <c r="H135" s="58" t="s">
        <v>976</v>
      </c>
      <c r="I135" s="57"/>
      <c r="J135" s="88" t="e">
        <f>L120+L131+L132+L133</f>
        <v>#REF!</v>
      </c>
      <c r="K135" s="102">
        <f>K110</f>
        <v>0.09</v>
      </c>
      <c r="L135" s="119" t="e">
        <f>J135*K135</f>
        <v>#REF!</v>
      </c>
    </row>
    <row r="136" ht="15.6" customHeight="1" spans="1:12">
      <c r="A136" s="57" t="s">
        <v>59</v>
      </c>
      <c r="B136" s="57" t="s">
        <v>957</v>
      </c>
      <c r="C136" s="57"/>
      <c r="D136" s="57"/>
      <c r="E136" s="57"/>
      <c r="F136" s="84">
        <f>F137+F140+F142</f>
        <v>333.750789951336</v>
      </c>
      <c r="G136" s="57">
        <v>6</v>
      </c>
      <c r="H136" s="58" t="s">
        <v>278</v>
      </c>
      <c r="I136" s="57"/>
      <c r="J136" s="57"/>
      <c r="K136" s="57"/>
      <c r="L136" s="119" t="e">
        <f>L120+L131+L132+L133+L135</f>
        <v>#REF!</v>
      </c>
    </row>
    <row r="137" ht="15.6" customHeight="1" spans="1:12">
      <c r="A137" s="57">
        <v>1</v>
      </c>
      <c r="B137" s="57" t="s">
        <v>964</v>
      </c>
      <c r="C137" s="57" t="s">
        <v>965</v>
      </c>
      <c r="D137" s="113"/>
      <c r="E137" s="113">
        <f>SUM(E138:E139)</f>
        <v>3.6</v>
      </c>
      <c r="F137" s="113">
        <f>SUM(F138:F139)</f>
        <v>20.772</v>
      </c>
      <c r="G137" s="57"/>
      <c r="H137" s="58" t="s">
        <v>1192</v>
      </c>
      <c r="I137" s="57"/>
      <c r="J137" s="119" t="e">
        <f>L136</f>
        <v>#REF!</v>
      </c>
      <c r="K137" s="102">
        <f>K112</f>
        <v>0.03</v>
      </c>
      <c r="L137" s="119" t="e">
        <f>K137*J137</f>
        <v>#REF!</v>
      </c>
    </row>
    <row r="138" ht="15.6" customHeight="1" spans="1:12">
      <c r="A138" s="57"/>
      <c r="B138" s="57" t="s">
        <v>966</v>
      </c>
      <c r="C138" s="57" t="s">
        <v>965</v>
      </c>
      <c r="D138" s="113">
        <f t="shared" ref="D138:D141" si="19">D116</f>
        <v>8.1</v>
      </c>
      <c r="E138" s="113">
        <v>0</v>
      </c>
      <c r="F138" s="113">
        <f t="shared" ref="F138:F141" si="20">D138*E138</f>
        <v>0</v>
      </c>
      <c r="G138" s="57"/>
      <c r="H138" s="58" t="s">
        <v>1193</v>
      </c>
      <c r="I138" s="57"/>
      <c r="J138" s="57"/>
      <c r="K138" s="57"/>
      <c r="L138" s="119" t="e">
        <f>SUM(L136:L137)</f>
        <v>#REF!</v>
      </c>
    </row>
    <row r="139" ht="15.6" customHeight="1" spans="1:6">
      <c r="A139" s="57"/>
      <c r="B139" s="57" t="s">
        <v>968</v>
      </c>
      <c r="C139" s="57" t="s">
        <v>965</v>
      </c>
      <c r="D139" s="113">
        <f t="shared" si="19"/>
        <v>5.77</v>
      </c>
      <c r="E139" s="113">
        <v>3.6</v>
      </c>
      <c r="F139" s="113">
        <f t="shared" si="20"/>
        <v>20.772</v>
      </c>
    </row>
    <row r="140" ht="15.6" customHeight="1" spans="1:12">
      <c r="A140" s="57">
        <v>2</v>
      </c>
      <c r="B140" s="57" t="s">
        <v>1171</v>
      </c>
      <c r="C140" s="57"/>
      <c r="D140" s="57"/>
      <c r="E140" s="57"/>
      <c r="F140" s="113">
        <f>F141</f>
        <v>282.637809046669</v>
      </c>
      <c r="G140" s="321" t="s">
        <v>1180</v>
      </c>
      <c r="H140" s="321"/>
      <c r="I140" s="321"/>
      <c r="J140" s="321"/>
      <c r="K140" s="321"/>
      <c r="L140" s="321"/>
    </row>
    <row r="141" ht="15.6" customHeight="1" spans="1:12">
      <c r="A141" s="57"/>
      <c r="B141" s="57" t="s">
        <v>1172</v>
      </c>
      <c r="C141" s="57" t="s">
        <v>988</v>
      </c>
      <c r="D141" s="113">
        <f t="shared" si="19"/>
        <v>89.4423446350219</v>
      </c>
      <c r="E141" s="57">
        <v>3.16</v>
      </c>
      <c r="F141" s="113">
        <f t="shared" si="20"/>
        <v>282.637809046669</v>
      </c>
      <c r="G141" s="168" t="s">
        <v>1197</v>
      </c>
      <c r="H141" s="168"/>
      <c r="I141" s="168"/>
      <c r="J141" s="168"/>
      <c r="K141" s="168"/>
      <c r="L141" s="168"/>
    </row>
    <row r="142" ht="15.6" customHeight="1" spans="1:12">
      <c r="A142" s="57">
        <v>3</v>
      </c>
      <c r="B142" s="57" t="s">
        <v>969</v>
      </c>
      <c r="C142" s="59" t="s">
        <v>423</v>
      </c>
      <c r="D142" s="84">
        <f>F137+F141</f>
        <v>303.409809046669</v>
      </c>
      <c r="E142" s="57">
        <v>10</v>
      </c>
      <c r="F142" s="113">
        <f>D142*E142/100</f>
        <v>30.3409809046669</v>
      </c>
      <c r="G142" s="316" t="s">
        <v>1182</v>
      </c>
      <c r="H142" s="317">
        <v>3007</v>
      </c>
      <c r="J142" s="307"/>
      <c r="K142" s="316" t="s">
        <v>1183</v>
      </c>
      <c r="L142" s="317" t="s">
        <v>924</v>
      </c>
    </row>
    <row r="143" ht="15.6" customHeight="1" spans="1:12">
      <c r="A143" s="57" t="s">
        <v>70</v>
      </c>
      <c r="B143" s="57" t="s">
        <v>977</v>
      </c>
      <c r="C143" s="194">
        <f>取费表!$C$4</f>
        <v>0.048</v>
      </c>
      <c r="D143" s="57"/>
      <c r="E143" s="84">
        <f>F136</f>
        <v>333.750789951336</v>
      </c>
      <c r="F143" s="113">
        <f t="shared" ref="F143:F146" si="21">E143*C143</f>
        <v>16.0200379176641</v>
      </c>
      <c r="G143" s="318" t="s">
        <v>1184</v>
      </c>
      <c r="H143" s="117"/>
      <c r="I143" s="192"/>
      <c r="J143" s="192"/>
      <c r="K143" s="192"/>
      <c r="L143" s="118"/>
    </row>
    <row r="144" ht="15.6" customHeight="1" spans="1:12">
      <c r="A144" s="57"/>
      <c r="B144" s="57"/>
      <c r="C144" s="194"/>
      <c r="D144" s="57"/>
      <c r="E144" s="84"/>
      <c r="F144" s="113"/>
      <c r="G144" s="57" t="s">
        <v>354</v>
      </c>
      <c r="H144" s="58" t="s">
        <v>956</v>
      </c>
      <c r="I144" s="57" t="s">
        <v>52</v>
      </c>
      <c r="J144" s="57" t="s">
        <v>54</v>
      </c>
      <c r="K144" s="57" t="s">
        <v>53</v>
      </c>
      <c r="L144" s="57" t="s">
        <v>1185</v>
      </c>
    </row>
    <row r="145" ht="15.6" customHeight="1" spans="1:12">
      <c r="A145" s="57" t="s">
        <v>979</v>
      </c>
      <c r="B145" s="57" t="s">
        <v>973</v>
      </c>
      <c r="C145" s="194">
        <f>取费表!$E$4</f>
        <v>0.04</v>
      </c>
      <c r="D145" s="57"/>
      <c r="E145" s="84">
        <f>F135</f>
        <v>349.770827869</v>
      </c>
      <c r="F145" s="113">
        <f t="shared" si="21"/>
        <v>13.99083311476</v>
      </c>
      <c r="G145" s="57">
        <v>1</v>
      </c>
      <c r="H145" s="58" t="s">
        <v>960</v>
      </c>
      <c r="I145" s="57"/>
      <c r="J145" s="57"/>
      <c r="K145" s="57"/>
      <c r="L145" s="119">
        <f>L146+L154+L155</f>
        <v>8933.62742956841</v>
      </c>
    </row>
    <row r="146" ht="15.6" customHeight="1" spans="1:12">
      <c r="A146" s="57" t="s">
        <v>162</v>
      </c>
      <c r="B146" s="57" t="s">
        <v>980</v>
      </c>
      <c r="C146" s="194">
        <f>取费表!$F$4</f>
        <v>0.05</v>
      </c>
      <c r="D146" s="57"/>
      <c r="E146" s="84">
        <f>F145+F135</f>
        <v>363.76166098376</v>
      </c>
      <c r="F146" s="113">
        <f t="shared" si="21"/>
        <v>18.188083049188</v>
      </c>
      <c r="G146" s="57">
        <v>1.1</v>
      </c>
      <c r="H146" s="58" t="s">
        <v>957</v>
      </c>
      <c r="I146" s="57"/>
      <c r="J146" s="57"/>
      <c r="K146" s="57"/>
      <c r="L146" s="119">
        <f>L147+L150+L153</f>
        <v>8524.45365416833</v>
      </c>
    </row>
    <row r="147" ht="15.6" customHeight="1" spans="1:12">
      <c r="A147" s="57" t="s">
        <v>214</v>
      </c>
      <c r="B147" s="57" t="s">
        <v>1173</v>
      </c>
      <c r="C147" s="59"/>
      <c r="D147" s="84"/>
      <c r="E147" s="57"/>
      <c r="F147" s="113">
        <f>F148</f>
        <v>162.79056</v>
      </c>
      <c r="G147" s="57" t="s">
        <v>1186</v>
      </c>
      <c r="H147" s="58" t="s">
        <v>963</v>
      </c>
      <c r="I147" s="57"/>
      <c r="J147" s="57"/>
      <c r="K147" s="57"/>
      <c r="L147" s="119">
        <f>L148+L149</f>
        <v>1245.953</v>
      </c>
    </row>
    <row r="148" ht="15.6" customHeight="1" spans="1:12">
      <c r="A148" s="57"/>
      <c r="B148" s="57" t="s">
        <v>1174</v>
      </c>
      <c r="C148" s="59" t="s">
        <v>184</v>
      </c>
      <c r="D148" s="84">
        <f>D126</f>
        <v>4.86</v>
      </c>
      <c r="E148" s="88">
        <f>E141*台时!E14</f>
        <v>33.496</v>
      </c>
      <c r="F148" s="113">
        <f>E148*D148</f>
        <v>162.79056</v>
      </c>
      <c r="G148" s="57"/>
      <c r="H148" s="58" t="s">
        <v>966</v>
      </c>
      <c r="I148" s="57" t="s">
        <v>965</v>
      </c>
      <c r="J148" s="57">
        <v>8.1</v>
      </c>
      <c r="K148" s="57">
        <v>4.3</v>
      </c>
      <c r="L148" s="119">
        <f t="shared" ref="L148:L151" si="22">J148*K148</f>
        <v>34.83</v>
      </c>
    </row>
    <row r="149" ht="15.6" customHeight="1" spans="1:12">
      <c r="A149" s="57" t="s">
        <v>327</v>
      </c>
      <c r="B149" s="57" t="s">
        <v>976</v>
      </c>
      <c r="C149" s="195">
        <f>C127</f>
        <v>0.09</v>
      </c>
      <c r="D149" s="57"/>
      <c r="E149" s="84">
        <f>F135+F145+F146+F147</f>
        <v>544.740304032948</v>
      </c>
      <c r="F149" s="113">
        <f>E149*C149</f>
        <v>49.0266273629653</v>
      </c>
      <c r="G149" s="57"/>
      <c r="H149" s="58" t="s">
        <v>968</v>
      </c>
      <c r="I149" s="57" t="s">
        <v>965</v>
      </c>
      <c r="J149" s="57">
        <v>5.77</v>
      </c>
      <c r="K149" s="57">
        <v>209.9</v>
      </c>
      <c r="L149" s="119">
        <f t="shared" si="22"/>
        <v>1211.123</v>
      </c>
    </row>
    <row r="150" ht="15.6" customHeight="1" spans="1:12">
      <c r="A150" s="57"/>
      <c r="B150" s="57" t="s">
        <v>984</v>
      </c>
      <c r="C150" s="195"/>
      <c r="D150" s="57"/>
      <c r="E150" s="84"/>
      <c r="F150" s="113">
        <f>(F135+F145+F146+F147+F149)*取费表!H4</f>
        <v>17.8130079418774</v>
      </c>
      <c r="G150" s="57" t="s">
        <v>1187</v>
      </c>
      <c r="H150" s="58" t="s">
        <v>967</v>
      </c>
      <c r="I150" s="57"/>
      <c r="J150" s="57"/>
      <c r="K150" s="57"/>
      <c r="L150" s="119">
        <f>L151+L152</f>
        <v>7224.42</v>
      </c>
    </row>
    <row r="151" ht="15.6" customHeight="1" spans="1:12">
      <c r="A151" s="57"/>
      <c r="B151" s="57" t="s">
        <v>278</v>
      </c>
      <c r="C151" s="57"/>
      <c r="D151" s="57"/>
      <c r="E151" s="57"/>
      <c r="F151" s="113">
        <f>F135+F145+F146+F147+F149+F150</f>
        <v>611.579939337791</v>
      </c>
      <c r="G151" s="57"/>
      <c r="H151" s="319" t="s">
        <v>1198</v>
      </c>
      <c r="I151" s="57" t="s">
        <v>1188</v>
      </c>
      <c r="J151" s="320">
        <f>材料预算价!L7</f>
        <v>70</v>
      </c>
      <c r="K151" s="57">
        <v>103</v>
      </c>
      <c r="L151" s="119">
        <f t="shared" si="22"/>
        <v>7210</v>
      </c>
    </row>
    <row r="152" ht="15.6" customHeight="1" spans="1:12">
      <c r="A152" s="168"/>
      <c r="B152" s="168"/>
      <c r="C152" s="168"/>
      <c r="D152" s="168"/>
      <c r="E152" s="168"/>
      <c r="F152" s="322"/>
      <c r="G152" s="57"/>
      <c r="H152" s="58" t="s">
        <v>1163</v>
      </c>
      <c r="I152" s="57" t="s">
        <v>423</v>
      </c>
      <c r="J152" s="119">
        <f>L151</f>
        <v>7210</v>
      </c>
      <c r="K152" s="57">
        <v>0.2</v>
      </c>
      <c r="L152" s="119">
        <f>J152*K152/100</f>
        <v>14.42</v>
      </c>
    </row>
    <row r="153" ht="15" customHeight="1" spans="1:12">
      <c r="A153"/>
      <c r="B153"/>
      <c r="C153"/>
      <c r="D153"/>
      <c r="E153"/>
      <c r="F153"/>
      <c r="G153" s="57" t="s">
        <v>1189</v>
      </c>
      <c r="H153" s="58" t="str">
        <f>H128</f>
        <v>胶轮车</v>
      </c>
      <c r="I153" s="57" t="str">
        <f>I128</f>
        <v>台时</v>
      </c>
      <c r="J153" s="113">
        <f>J128</f>
        <v>0.813242919824491</v>
      </c>
      <c r="K153" s="57">
        <v>66.5</v>
      </c>
      <c r="L153" s="119">
        <f>J153*K153</f>
        <v>54.0806541683287</v>
      </c>
    </row>
    <row r="154" ht="15" customHeight="1" spans="1:12">
      <c r="A154"/>
      <c r="B154"/>
      <c r="C154"/>
      <c r="D154"/>
      <c r="E154"/>
      <c r="F154"/>
      <c r="G154" s="57">
        <v>1.2</v>
      </c>
      <c r="H154" s="58" t="s">
        <v>971</v>
      </c>
      <c r="I154" s="57"/>
      <c r="J154" s="119">
        <f>L146</f>
        <v>8524.45365416833</v>
      </c>
      <c r="K154" s="102">
        <f t="shared" ref="K154:K157" si="23">K129</f>
        <v>0.048</v>
      </c>
      <c r="L154" s="119">
        <f t="shared" ref="L154:L157" si="24">J154*K154</f>
        <v>409.17377540008</v>
      </c>
    </row>
    <row r="155" ht="15" customHeight="1" spans="1:12">
      <c r="A155"/>
      <c r="B155"/>
      <c r="C155"/>
      <c r="D155"/>
      <c r="E155"/>
      <c r="F155"/>
      <c r="G155" s="57">
        <v>1.3</v>
      </c>
      <c r="H155" s="58" t="s">
        <v>1191</v>
      </c>
      <c r="I155" s="57"/>
      <c r="J155" s="119">
        <f>L146</f>
        <v>8524.45365416833</v>
      </c>
      <c r="K155" s="102"/>
      <c r="L155" s="119">
        <f t="shared" si="24"/>
        <v>0</v>
      </c>
    </row>
    <row r="156" ht="15" customHeight="1" spans="1:12">
      <c r="A156"/>
      <c r="B156"/>
      <c r="C156"/>
      <c r="D156"/>
      <c r="E156"/>
      <c r="F156"/>
      <c r="G156" s="57">
        <v>2</v>
      </c>
      <c r="H156" s="58" t="s">
        <v>973</v>
      </c>
      <c r="I156" s="57"/>
      <c r="J156" s="119">
        <f>L145</f>
        <v>8933.62742956841</v>
      </c>
      <c r="K156" s="102">
        <f t="shared" si="23"/>
        <v>0.085</v>
      </c>
      <c r="L156" s="119">
        <f t="shared" si="24"/>
        <v>759.358331513315</v>
      </c>
    </row>
    <row r="157" ht="15" customHeight="1" spans="1:12">
      <c r="A157"/>
      <c r="B157"/>
      <c r="C157"/>
      <c r="D157"/>
      <c r="E157"/>
      <c r="F157"/>
      <c r="G157" s="57">
        <v>3</v>
      </c>
      <c r="H157" s="58" t="s">
        <v>975</v>
      </c>
      <c r="I157" s="57"/>
      <c r="J157" s="119">
        <f>L145+L156</f>
        <v>9692.98576108172</v>
      </c>
      <c r="K157" s="102">
        <f t="shared" si="23"/>
        <v>0.07</v>
      </c>
      <c r="L157" s="119">
        <f t="shared" si="24"/>
        <v>678.509003275721</v>
      </c>
    </row>
    <row r="158" ht="15" customHeight="1" spans="1:12">
      <c r="A158"/>
      <c r="B158"/>
      <c r="C158"/>
      <c r="D158"/>
      <c r="E158"/>
      <c r="F158"/>
      <c r="G158" s="57">
        <v>4</v>
      </c>
      <c r="H158" s="58" t="s">
        <v>1173</v>
      </c>
      <c r="I158" s="57"/>
      <c r="J158" s="57"/>
      <c r="K158" s="57"/>
      <c r="L158" s="119">
        <f>L159</f>
        <v>4617.100042</v>
      </c>
    </row>
    <row r="159" ht="15" customHeight="1" spans="1:12">
      <c r="A159"/>
      <c r="B159"/>
      <c r="C159"/>
      <c r="D159"/>
      <c r="E159"/>
      <c r="F159"/>
      <c r="G159" s="57"/>
      <c r="H159" s="319" t="str">
        <f>H151</f>
        <v>细砂</v>
      </c>
      <c r="I159" s="57" t="s">
        <v>1188</v>
      </c>
      <c r="J159" s="88">
        <f>材料预算价!K7-材料预算价!L7</f>
        <v>44.826214</v>
      </c>
      <c r="K159" s="57">
        <f>K151</f>
        <v>103</v>
      </c>
      <c r="L159" s="119">
        <f>J159*K159</f>
        <v>4617.100042</v>
      </c>
    </row>
    <row r="160" ht="15" customHeight="1" spans="1:12">
      <c r="A160"/>
      <c r="B160"/>
      <c r="C160"/>
      <c r="D160"/>
      <c r="E160"/>
      <c r="F160"/>
      <c r="G160" s="57">
        <v>5</v>
      </c>
      <c r="H160" s="58" t="s">
        <v>976</v>
      </c>
      <c r="I160" s="57"/>
      <c r="J160" s="88">
        <f>L145+L156+L157+L158</f>
        <v>14988.5948063574</v>
      </c>
      <c r="K160" s="102">
        <f>K135</f>
        <v>0.09</v>
      </c>
      <c r="L160" s="119">
        <f>J160*K160</f>
        <v>1348.97353257217</v>
      </c>
    </row>
    <row r="161" s="307" customFormat="1" ht="15" customHeight="1" spans="1:12">
      <c r="A161"/>
      <c r="B161"/>
      <c r="C161"/>
      <c r="D161"/>
      <c r="E161"/>
      <c r="F161"/>
      <c r="G161" s="57">
        <v>6</v>
      </c>
      <c r="H161" s="58" t="s">
        <v>278</v>
      </c>
      <c r="I161" s="57"/>
      <c r="J161" s="57"/>
      <c r="K161" s="57"/>
      <c r="L161" s="119">
        <f>L145+L156+L157+L158+L160</f>
        <v>16337.5683389296</v>
      </c>
    </row>
    <row r="162" s="307" customFormat="1" ht="15" customHeight="1" spans="1:12">
      <c r="A162"/>
      <c r="B162"/>
      <c r="C162"/>
      <c r="D162"/>
      <c r="E162"/>
      <c r="F162"/>
      <c r="G162" s="57"/>
      <c r="H162" s="58" t="s">
        <v>1192</v>
      </c>
      <c r="I162" s="57"/>
      <c r="J162" s="119">
        <f>L161</f>
        <v>16337.5683389296</v>
      </c>
      <c r="K162" s="102">
        <f>K137</f>
        <v>0.03</v>
      </c>
      <c r="L162" s="119">
        <f>K162*J162</f>
        <v>490.127050167889</v>
      </c>
    </row>
    <row r="163" ht="15" customHeight="1" spans="1:12">
      <c r="A163"/>
      <c r="B163"/>
      <c r="C163"/>
      <c r="D163"/>
      <c r="E163"/>
      <c r="F163"/>
      <c r="G163" s="57"/>
      <c r="H163" s="58" t="s">
        <v>1193</v>
      </c>
      <c r="I163" s="57"/>
      <c r="J163" s="57"/>
      <c r="K163" s="57"/>
      <c r="L163" s="119">
        <f>SUM(L161:L162)</f>
        <v>16827.6953890975</v>
      </c>
    </row>
    <row r="164" ht="15" customHeight="1" spans="1:6">
      <c r="A164"/>
      <c r="B164"/>
      <c r="C164"/>
      <c r="D164"/>
      <c r="E164"/>
      <c r="F164"/>
    </row>
    <row r="165" ht="15" customHeight="1" spans="1:6">
      <c r="A165"/>
      <c r="B165"/>
      <c r="C165"/>
      <c r="D165"/>
      <c r="E165"/>
      <c r="F165"/>
    </row>
    <row r="166" ht="15" customHeight="1" spans="1:6">
      <c r="A166"/>
      <c r="B166"/>
      <c r="C166"/>
      <c r="D166"/>
      <c r="E166"/>
      <c r="F166"/>
    </row>
    <row r="167" ht="15" customHeight="1" spans="1:6">
      <c r="A167"/>
      <c r="B167"/>
      <c r="C167"/>
      <c r="D167"/>
      <c r="E167"/>
      <c r="F167"/>
    </row>
    <row r="168" ht="15" customHeight="1" spans="1:6">
      <c r="A168"/>
      <c r="B168"/>
      <c r="C168"/>
      <c r="D168"/>
      <c r="E168"/>
      <c r="F168"/>
    </row>
    <row r="169" ht="15" customHeight="1" spans="1:6">
      <c r="A169"/>
      <c r="B169"/>
      <c r="C169"/>
      <c r="D169"/>
      <c r="E169"/>
      <c r="F169"/>
    </row>
    <row r="170" ht="15" customHeight="1" spans="1:6">
      <c r="A170"/>
      <c r="B170"/>
      <c r="C170"/>
      <c r="D170"/>
      <c r="E170"/>
      <c r="F170"/>
    </row>
    <row r="171" ht="15" customHeight="1" spans="1:6">
      <c r="A171"/>
      <c r="B171"/>
      <c r="C171"/>
      <c r="D171"/>
      <c r="E171"/>
      <c r="F171"/>
    </row>
    <row r="172" ht="15" customHeight="1" spans="1:6">
      <c r="A172"/>
      <c r="B172"/>
      <c r="C172"/>
      <c r="D172"/>
      <c r="E172"/>
      <c r="F172"/>
    </row>
    <row r="173" ht="15" customHeight="1" spans="1:6">
      <c r="A173"/>
      <c r="B173"/>
      <c r="C173"/>
      <c r="D173"/>
      <c r="E173"/>
      <c r="F173"/>
    </row>
    <row r="174" ht="15" customHeight="1" spans="1:6">
      <c r="A174"/>
      <c r="B174"/>
      <c r="C174"/>
      <c r="D174"/>
      <c r="E174"/>
      <c r="F174"/>
    </row>
    <row r="175" ht="15" customHeight="1" spans="1:11">
      <c r="A175" s="311" t="s">
        <v>1155</v>
      </c>
      <c r="B175" s="175"/>
      <c r="C175" s="175"/>
      <c r="D175" s="175"/>
      <c r="E175" s="175"/>
      <c r="F175" s="175"/>
      <c r="G175" s="175"/>
      <c r="H175" s="175"/>
      <c r="I175" s="175"/>
      <c r="J175" s="175"/>
      <c r="K175" s="175"/>
    </row>
    <row r="176" ht="15" customHeight="1" spans="1:11">
      <c r="A176" s="189" t="s">
        <v>1199</v>
      </c>
      <c r="B176" s="189"/>
      <c r="C176" s="189"/>
      <c r="D176" s="189"/>
      <c r="E176" s="189"/>
      <c r="F176" s="189"/>
      <c r="G176" s="189"/>
      <c r="H176" s="189"/>
      <c r="I176" s="189"/>
      <c r="J176" s="189"/>
      <c r="K176" s="189"/>
    </row>
    <row r="177" ht="15" customHeight="1" spans="1:11">
      <c r="A177" s="191" t="s">
        <v>1200</v>
      </c>
      <c r="B177" s="191"/>
      <c r="C177" s="168"/>
      <c r="D177" s="168"/>
      <c r="E177" s="191" t="s">
        <v>1159</v>
      </c>
      <c r="F177" s="191"/>
      <c r="G177" s="191">
        <v>9019</v>
      </c>
      <c r="H177" s="168" t="s">
        <v>1201</v>
      </c>
      <c r="I177" s="168"/>
      <c r="J177" s="191" t="s">
        <v>1159</v>
      </c>
      <c r="K177" s="191"/>
    </row>
    <row r="178" ht="15" customHeight="1" spans="1:11">
      <c r="A178" s="117" t="s">
        <v>1202</v>
      </c>
      <c r="B178" s="192"/>
      <c r="C178" s="192"/>
      <c r="D178" s="192"/>
      <c r="E178" s="192"/>
      <c r="F178" s="118"/>
      <c r="G178" s="192"/>
      <c r="H178" s="192"/>
      <c r="I178" s="192"/>
      <c r="J178" s="192"/>
      <c r="K178" s="118"/>
    </row>
    <row r="179" ht="15" customHeight="1" spans="1:11">
      <c r="A179" s="57" t="s">
        <v>354</v>
      </c>
      <c r="B179" s="57" t="s">
        <v>956</v>
      </c>
      <c r="C179" s="57" t="s">
        <v>52</v>
      </c>
      <c r="D179" s="57" t="s">
        <v>855</v>
      </c>
      <c r="E179" s="57" t="s">
        <v>53</v>
      </c>
      <c r="F179" s="57" t="s">
        <v>306</v>
      </c>
      <c r="G179" s="57" t="s">
        <v>956</v>
      </c>
      <c r="H179" s="57" t="s">
        <v>52</v>
      </c>
      <c r="I179" s="57" t="s">
        <v>855</v>
      </c>
      <c r="J179" s="57" t="s">
        <v>53</v>
      </c>
      <c r="K179" s="57" t="s">
        <v>306</v>
      </c>
    </row>
    <row r="180" ht="15" customHeight="1" spans="1:11">
      <c r="A180" s="57" t="s">
        <v>959</v>
      </c>
      <c r="B180" s="57" t="s">
        <v>960</v>
      </c>
      <c r="C180" s="57"/>
      <c r="D180" s="57"/>
      <c r="E180" s="57"/>
      <c r="F180" s="84">
        <f>F181+F188+F189</f>
        <v>180.222167031162</v>
      </c>
      <c r="G180" s="57" t="s">
        <v>960</v>
      </c>
      <c r="H180" s="57"/>
      <c r="I180" s="57"/>
      <c r="J180" s="57"/>
      <c r="K180" s="84">
        <f>K181+K188+K189</f>
        <v>306.100588926634</v>
      </c>
    </row>
    <row r="181" ht="15" customHeight="1" spans="1:11">
      <c r="A181" s="57" t="s">
        <v>59</v>
      </c>
      <c r="B181" s="57" t="s">
        <v>957</v>
      </c>
      <c r="C181" s="57"/>
      <c r="D181" s="57"/>
      <c r="E181" s="57"/>
      <c r="F181" s="84">
        <f>F182+F185+F187</f>
        <v>171.967716632788</v>
      </c>
      <c r="G181" s="57" t="s">
        <v>957</v>
      </c>
      <c r="H181" s="57"/>
      <c r="I181" s="57"/>
      <c r="J181" s="57"/>
      <c r="K181" s="84">
        <f>K182+K185+K187</f>
        <v>292.080714624651</v>
      </c>
    </row>
    <row r="182" ht="15" customHeight="1" spans="1:11">
      <c r="A182" s="57">
        <v>1</v>
      </c>
      <c r="B182" s="57" t="s">
        <v>964</v>
      </c>
      <c r="C182" s="57" t="s">
        <v>965</v>
      </c>
      <c r="D182" s="113"/>
      <c r="E182" s="113">
        <f>SUM(E183:E184)</f>
        <v>4.1</v>
      </c>
      <c r="F182" s="113">
        <f>SUM(F183:F184)</f>
        <v>23.657</v>
      </c>
      <c r="G182" s="57" t="s">
        <v>964</v>
      </c>
      <c r="H182" s="57" t="s">
        <v>965</v>
      </c>
      <c r="I182" s="113"/>
      <c r="J182" s="113">
        <f>SUM(J183:J184)</f>
        <v>4.3</v>
      </c>
      <c r="K182" s="113">
        <f>SUM(K183:K184)</f>
        <v>24.811</v>
      </c>
    </row>
    <row r="183" ht="15" customHeight="1" spans="1:11">
      <c r="A183" s="57"/>
      <c r="B183" s="57" t="s">
        <v>966</v>
      </c>
      <c r="C183" s="57" t="s">
        <v>965</v>
      </c>
      <c r="D183" s="113">
        <f>D116</f>
        <v>8.1</v>
      </c>
      <c r="E183" s="113">
        <v>0</v>
      </c>
      <c r="F183" s="113">
        <f t="shared" ref="F183:F186" si="25">D183*E183</f>
        <v>0</v>
      </c>
      <c r="G183" s="57" t="s">
        <v>966</v>
      </c>
      <c r="H183" s="57" t="s">
        <v>965</v>
      </c>
      <c r="I183" s="113">
        <f t="shared" ref="I183:I186" si="26">D183</f>
        <v>8.1</v>
      </c>
      <c r="J183" s="113">
        <v>0</v>
      </c>
      <c r="K183" s="113">
        <f t="shared" ref="K183:K186" si="27">I183*J183</f>
        <v>0</v>
      </c>
    </row>
    <row r="184" ht="15" customHeight="1" spans="1:11">
      <c r="A184" s="57"/>
      <c r="B184" s="57" t="s">
        <v>968</v>
      </c>
      <c r="C184" s="57" t="s">
        <v>965</v>
      </c>
      <c r="D184" s="113">
        <f>D117</f>
        <v>5.77</v>
      </c>
      <c r="E184" s="113">
        <f>4.1</f>
        <v>4.1</v>
      </c>
      <c r="F184" s="113">
        <f t="shared" si="25"/>
        <v>23.657</v>
      </c>
      <c r="G184" s="57" t="s">
        <v>968</v>
      </c>
      <c r="H184" s="57" t="s">
        <v>965</v>
      </c>
      <c r="I184" s="113">
        <f t="shared" si="26"/>
        <v>5.77</v>
      </c>
      <c r="J184" s="113">
        <v>4.3</v>
      </c>
      <c r="K184" s="113">
        <f t="shared" si="27"/>
        <v>24.811</v>
      </c>
    </row>
    <row r="185" ht="15" customHeight="1" spans="1:11">
      <c r="A185" s="57">
        <v>2</v>
      </c>
      <c r="B185" s="57" t="s">
        <v>1171</v>
      </c>
      <c r="C185" s="57"/>
      <c r="D185" s="57"/>
      <c r="E185" s="57"/>
      <c r="F185" s="113">
        <f>F186</f>
        <v>140.121777745513</v>
      </c>
      <c r="G185" s="57" t="s">
        <v>1171</v>
      </c>
      <c r="H185" s="57"/>
      <c r="I185" s="57"/>
      <c r="J185" s="57"/>
      <c r="K185" s="113">
        <f>K186</f>
        <v>253.361109166334</v>
      </c>
    </row>
    <row r="186" ht="15" customHeight="1" spans="1:11">
      <c r="A186" s="57"/>
      <c r="B186" s="193" t="s">
        <v>1203</v>
      </c>
      <c r="C186" s="57" t="s">
        <v>988</v>
      </c>
      <c r="D186" s="113">
        <f>建筑工程单价分析表!D33</f>
        <v>118.94887754288</v>
      </c>
      <c r="E186" s="88">
        <f>0.95*1.24</f>
        <v>1.178</v>
      </c>
      <c r="F186" s="113">
        <f t="shared" si="25"/>
        <v>140.121777745513</v>
      </c>
      <c r="G186" s="193" t="s">
        <v>1203</v>
      </c>
      <c r="H186" s="57" t="s">
        <v>988</v>
      </c>
      <c r="I186" s="113">
        <f t="shared" si="26"/>
        <v>118.94887754288</v>
      </c>
      <c r="J186" s="88">
        <v>2.13</v>
      </c>
      <c r="K186" s="113">
        <f t="shared" si="27"/>
        <v>253.361109166334</v>
      </c>
    </row>
    <row r="187" ht="15" customHeight="1" spans="1:11">
      <c r="A187" s="57">
        <v>3</v>
      </c>
      <c r="B187" s="57" t="s">
        <v>969</v>
      </c>
      <c r="C187" s="59" t="s">
        <v>423</v>
      </c>
      <c r="D187" s="84">
        <f>F182+F186</f>
        <v>163.778777745513</v>
      </c>
      <c r="E187" s="57">
        <v>5</v>
      </c>
      <c r="F187" s="113">
        <f>D187*E187/100</f>
        <v>8.18893888727563</v>
      </c>
      <c r="G187" s="57" t="s">
        <v>969</v>
      </c>
      <c r="H187" s="59" t="s">
        <v>423</v>
      </c>
      <c r="I187" s="84">
        <f>K182+K186</f>
        <v>278.172109166334</v>
      </c>
      <c r="J187" s="57">
        <v>5</v>
      </c>
      <c r="K187" s="113">
        <f>I187*J187/100</f>
        <v>13.9086054583167</v>
      </c>
    </row>
    <row r="188" ht="15" customHeight="1" spans="1:11">
      <c r="A188" s="57" t="s">
        <v>70</v>
      </c>
      <c r="B188" s="57" t="s">
        <v>977</v>
      </c>
      <c r="C188" s="194">
        <f>取费表!$C$4</f>
        <v>0.048</v>
      </c>
      <c r="D188" s="57"/>
      <c r="E188" s="84">
        <f>F181</f>
        <v>171.967716632788</v>
      </c>
      <c r="F188" s="113">
        <f t="shared" ref="F188:F191" si="28">E188*C188</f>
        <v>8.25445039837384</v>
      </c>
      <c r="G188" s="57" t="s">
        <v>977</v>
      </c>
      <c r="H188" s="194">
        <f>取费表!$C$4</f>
        <v>0.048</v>
      </c>
      <c r="I188" s="57"/>
      <c r="J188" s="84">
        <f>K181</f>
        <v>292.080714624651</v>
      </c>
      <c r="K188" s="113">
        <f t="shared" ref="K188:K191" si="29">J188*H188</f>
        <v>14.0198743019833</v>
      </c>
    </row>
    <row r="189" ht="15" customHeight="1" spans="1:11">
      <c r="A189" s="57"/>
      <c r="B189" s="57"/>
      <c r="C189" s="194"/>
      <c r="D189" s="57"/>
      <c r="E189" s="84"/>
      <c r="F189" s="113"/>
      <c r="G189" s="57"/>
      <c r="H189" s="194"/>
      <c r="I189" s="57"/>
      <c r="J189" s="84"/>
      <c r="K189" s="113"/>
    </row>
    <row r="190" ht="15" customHeight="1" spans="1:11">
      <c r="A190" s="57" t="s">
        <v>979</v>
      </c>
      <c r="B190" s="57" t="s">
        <v>973</v>
      </c>
      <c r="C190" s="194">
        <f>取费表!$E$4</f>
        <v>0.04</v>
      </c>
      <c r="D190" s="57"/>
      <c r="E190" s="84">
        <f>F180</f>
        <v>180.222167031162</v>
      </c>
      <c r="F190" s="113">
        <f t="shared" si="28"/>
        <v>7.20888668124648</v>
      </c>
      <c r="G190" s="57" t="s">
        <v>973</v>
      </c>
      <c r="H190" s="194">
        <f>取费表!$E$4</f>
        <v>0.04</v>
      </c>
      <c r="I190" s="57"/>
      <c r="J190" s="84">
        <f>K180</f>
        <v>306.100588926634</v>
      </c>
      <c r="K190" s="113">
        <f t="shared" si="29"/>
        <v>12.2440235570654</v>
      </c>
    </row>
    <row r="191" ht="15" customHeight="1" spans="1:11">
      <c r="A191" s="57" t="s">
        <v>162</v>
      </c>
      <c r="B191" s="57" t="s">
        <v>980</v>
      </c>
      <c r="C191" s="194">
        <f>取费表!$F$4</f>
        <v>0.05</v>
      </c>
      <c r="D191" s="57"/>
      <c r="E191" s="84">
        <f>F190+F180</f>
        <v>187.431053712409</v>
      </c>
      <c r="F191" s="113">
        <f t="shared" si="28"/>
        <v>9.37155268562043</v>
      </c>
      <c r="G191" s="57" t="s">
        <v>980</v>
      </c>
      <c r="H191" s="194">
        <f>取费表!$F$4</f>
        <v>0.05</v>
      </c>
      <c r="I191" s="57"/>
      <c r="J191" s="84">
        <f>K190+K180</f>
        <v>318.3446124837</v>
      </c>
      <c r="K191" s="113">
        <f t="shared" si="29"/>
        <v>15.917230624185</v>
      </c>
    </row>
    <row r="192" ht="15" customHeight="1" spans="1:11">
      <c r="A192" s="57" t="s">
        <v>214</v>
      </c>
      <c r="B192" s="57" t="s">
        <v>1173</v>
      </c>
      <c r="C192" s="59"/>
      <c r="D192" s="57"/>
      <c r="E192" s="57"/>
      <c r="F192" s="113">
        <f>F193</f>
        <v>81.296136</v>
      </c>
      <c r="G192" s="57" t="s">
        <v>1173</v>
      </c>
      <c r="H192" s="59"/>
      <c r="I192" s="57"/>
      <c r="J192" s="57"/>
      <c r="K192" s="113">
        <f>K193</f>
        <v>146.99556</v>
      </c>
    </row>
    <row r="193" ht="15" customHeight="1" spans="1:11">
      <c r="A193" s="57"/>
      <c r="B193" s="57" t="s">
        <v>1174</v>
      </c>
      <c r="C193" s="59" t="s">
        <v>184</v>
      </c>
      <c r="D193" s="84">
        <f>建筑工程单价分析表!D40</f>
        <v>4.86</v>
      </c>
      <c r="E193" s="88">
        <f>E186*台时!C14</f>
        <v>16.7276</v>
      </c>
      <c r="F193" s="113">
        <f>E193*D193</f>
        <v>81.296136</v>
      </c>
      <c r="G193" s="57" t="s">
        <v>1174</v>
      </c>
      <c r="H193" s="59" t="s">
        <v>184</v>
      </c>
      <c r="I193" s="84">
        <f>D193</f>
        <v>4.86</v>
      </c>
      <c r="J193" s="88">
        <f>J186*台时!C14</f>
        <v>30.246</v>
      </c>
      <c r="K193" s="113">
        <f>J193*I193</f>
        <v>146.99556</v>
      </c>
    </row>
    <row r="194" ht="15" customHeight="1" spans="1:11">
      <c r="A194" s="57" t="s">
        <v>327</v>
      </c>
      <c r="B194" s="57" t="s">
        <v>976</v>
      </c>
      <c r="C194" s="195">
        <f>建筑工程单价分析表!C41</f>
        <v>0.09</v>
      </c>
      <c r="D194" s="57"/>
      <c r="E194" s="196">
        <f>F192+F191+F190+F180</f>
        <v>278.098742398029</v>
      </c>
      <c r="F194" s="113">
        <f>E194*C194</f>
        <v>25.0288868158226</v>
      </c>
      <c r="G194" s="57" t="s">
        <v>976</v>
      </c>
      <c r="H194" s="195">
        <f>C194</f>
        <v>0.09</v>
      </c>
      <c r="I194" s="57"/>
      <c r="J194" s="196">
        <f>K192+K191+K190+K180</f>
        <v>481.257403107885</v>
      </c>
      <c r="K194" s="113">
        <f>J194*H194</f>
        <v>43.3131662797096</v>
      </c>
    </row>
    <row r="195" ht="15" customHeight="1" spans="1:11">
      <c r="A195" s="57"/>
      <c r="B195" s="57" t="s">
        <v>984</v>
      </c>
      <c r="C195" s="195"/>
      <c r="D195" s="57"/>
      <c r="E195" s="196"/>
      <c r="F195" s="113">
        <f>(F180+F190+F191+F192+F194)*取费表!H4</f>
        <v>9.09382887641554</v>
      </c>
      <c r="G195" s="57" t="s">
        <v>984</v>
      </c>
      <c r="H195" s="195"/>
      <c r="I195" s="57"/>
      <c r="J195" s="196"/>
      <c r="K195" s="113">
        <f>(K180+K190+K191+K192+K194)*取费表!H4</f>
        <v>15.7371170816278</v>
      </c>
    </row>
    <row r="196" ht="15" customHeight="1" spans="1:11">
      <c r="A196" s="57"/>
      <c r="B196" s="57" t="s">
        <v>278</v>
      </c>
      <c r="C196" s="57"/>
      <c r="D196" s="57"/>
      <c r="E196" s="57"/>
      <c r="F196" s="113">
        <f>F194+F192+F191+F190+F180+F195</f>
        <v>312.221458090267</v>
      </c>
      <c r="G196" s="57" t="s">
        <v>278</v>
      </c>
      <c r="H196" s="57"/>
      <c r="I196" s="57"/>
      <c r="J196" s="57"/>
      <c r="K196" s="113">
        <f>K194+K192+K191+K190+K180+K195</f>
        <v>540.307686469222</v>
      </c>
    </row>
    <row r="197" ht="15" customHeight="1" spans="1:11">
      <c r="A197" s="57"/>
      <c r="B197" s="57"/>
      <c r="C197" s="195"/>
      <c r="D197" s="57"/>
      <c r="E197" s="84"/>
      <c r="F197" s="113"/>
      <c r="G197" s="57"/>
      <c r="H197" s="195"/>
      <c r="I197" s="57"/>
      <c r="J197" s="84"/>
      <c r="K197" s="113"/>
    </row>
    <row r="198" ht="15" customHeight="1" spans="1:6">
      <c r="A198" s="176" t="s">
        <v>1204</v>
      </c>
      <c r="B198" s="175"/>
      <c r="C198" s="175"/>
      <c r="D198" s="175"/>
      <c r="E198" s="175"/>
      <c r="F198" s="175"/>
    </row>
    <row r="199" ht="14.45" customHeight="1" spans="1:12">
      <c r="A199" s="323" t="s">
        <v>1205</v>
      </c>
      <c r="B199" s="168"/>
      <c r="C199" s="168"/>
      <c r="D199" s="168"/>
      <c r="E199" s="168"/>
      <c r="F199" s="168"/>
      <c r="G199"/>
      <c r="H199"/>
      <c r="I199"/>
      <c r="J199"/>
      <c r="K199"/>
      <c r="L199"/>
    </row>
    <row r="200" ht="14.45" customHeight="1" spans="1:12">
      <c r="A200" s="190" t="s">
        <v>1206</v>
      </c>
      <c r="B200" s="191"/>
      <c r="C200" s="168"/>
      <c r="D200" s="168"/>
      <c r="E200" s="191" t="s">
        <v>1159</v>
      </c>
      <c r="F200" s="191"/>
      <c r="G200"/>
      <c r="H200"/>
      <c r="I200"/>
      <c r="J200"/>
      <c r="K200"/>
      <c r="L200"/>
    </row>
    <row r="201" ht="14.45" customHeight="1" spans="1:12">
      <c r="A201" s="197" t="s">
        <v>1207</v>
      </c>
      <c r="B201" s="192"/>
      <c r="C201" s="201"/>
      <c r="D201" s="201"/>
      <c r="E201" s="201"/>
      <c r="F201" s="202"/>
      <c r="G201"/>
      <c r="H201"/>
      <c r="I201"/>
      <c r="J201"/>
      <c r="K201"/>
      <c r="L201"/>
    </row>
    <row r="202" ht="14.45" customHeight="1" spans="1:12">
      <c r="A202" s="57" t="s">
        <v>354</v>
      </c>
      <c r="B202" s="57" t="s">
        <v>956</v>
      </c>
      <c r="C202" s="57" t="s">
        <v>52</v>
      </c>
      <c r="D202" s="57" t="s">
        <v>855</v>
      </c>
      <c r="E202" s="57" t="s">
        <v>53</v>
      </c>
      <c r="F202" s="57" t="s">
        <v>306</v>
      </c>
      <c r="G202"/>
      <c r="H202"/>
      <c r="I202"/>
      <c r="J202"/>
      <c r="K202"/>
      <c r="L202"/>
    </row>
    <row r="203" ht="14.45" customHeight="1" spans="1:12">
      <c r="A203" s="57" t="s">
        <v>959</v>
      </c>
      <c r="B203" s="57" t="s">
        <v>960</v>
      </c>
      <c r="C203" s="57"/>
      <c r="D203" s="57"/>
      <c r="E203" s="57"/>
      <c r="F203" s="84">
        <f>F204+F213+F214</f>
        <v>762.041182296994</v>
      </c>
      <c r="G203"/>
      <c r="H203"/>
      <c r="I203"/>
      <c r="J203"/>
      <c r="K203"/>
      <c r="L203"/>
    </row>
    <row r="204" ht="14.45" customHeight="1" spans="1:12">
      <c r="A204" s="57" t="s">
        <v>59</v>
      </c>
      <c r="B204" s="57" t="s">
        <v>957</v>
      </c>
      <c r="C204" s="57"/>
      <c r="D204" s="57"/>
      <c r="E204" s="57"/>
      <c r="F204" s="84">
        <f>F205+F208+F209</f>
        <v>727.13853272614</v>
      </c>
      <c r="G204"/>
      <c r="H204"/>
      <c r="I204"/>
      <c r="J204"/>
      <c r="K204"/>
      <c r="L204"/>
    </row>
    <row r="205" ht="14.45" customHeight="1" spans="1:12">
      <c r="A205" s="57">
        <v>1</v>
      </c>
      <c r="B205" s="57" t="s">
        <v>964</v>
      </c>
      <c r="C205" s="57" t="s">
        <v>965</v>
      </c>
      <c r="D205" s="113"/>
      <c r="E205" s="113">
        <f>SUM(E206:E207)</f>
        <v>4.732</v>
      </c>
      <c r="F205" s="113">
        <f>SUM(F206:F207)</f>
        <v>27.30364</v>
      </c>
      <c r="G205"/>
      <c r="H205"/>
      <c r="I205"/>
      <c r="J205"/>
      <c r="K205"/>
      <c r="L205"/>
    </row>
    <row r="206" s="307" customFormat="1" ht="14.45" customHeight="1" spans="1:12">
      <c r="A206" s="57"/>
      <c r="B206" s="57" t="s">
        <v>966</v>
      </c>
      <c r="C206" s="57" t="s">
        <v>965</v>
      </c>
      <c r="D206" s="113">
        <f>建筑工程单价分析表!D30</f>
        <v>8.1</v>
      </c>
      <c r="E206" s="113">
        <v>0</v>
      </c>
      <c r="F206" s="113">
        <f t="shared" ref="F206:F212" si="30">D206*E206</f>
        <v>0</v>
      </c>
      <c r="G206"/>
      <c r="H206"/>
      <c r="I206"/>
      <c r="J206"/>
      <c r="K206"/>
      <c r="L206"/>
    </row>
    <row r="207" s="307" customFormat="1" ht="14.45" customHeight="1" spans="1:12">
      <c r="A207" s="57"/>
      <c r="B207" s="57" t="s">
        <v>968</v>
      </c>
      <c r="C207" s="57" t="s">
        <v>965</v>
      </c>
      <c r="D207" s="113">
        <f>建筑工程单价分析表!D31</f>
        <v>5.77</v>
      </c>
      <c r="E207" s="113">
        <f>5.2*0.91</f>
        <v>4.732</v>
      </c>
      <c r="F207" s="113">
        <f t="shared" si="30"/>
        <v>27.30364</v>
      </c>
      <c r="G207"/>
      <c r="H207"/>
      <c r="I207"/>
      <c r="J207"/>
      <c r="K207"/>
      <c r="L207"/>
    </row>
    <row r="208" ht="14.45" customHeight="1" spans="1:12">
      <c r="A208" s="57">
        <v>2</v>
      </c>
      <c r="B208" s="57" t="s">
        <v>969</v>
      </c>
      <c r="C208" s="59" t="s">
        <v>423</v>
      </c>
      <c r="D208" s="84">
        <f>F205+F209</f>
        <v>695.49357506087</v>
      </c>
      <c r="E208" s="57">
        <f>5*0.91</f>
        <v>4.55</v>
      </c>
      <c r="F208" s="113">
        <f>D208*E208/100</f>
        <v>31.6449576652696</v>
      </c>
      <c r="G208"/>
      <c r="H208"/>
      <c r="I208"/>
      <c r="J208"/>
      <c r="K208"/>
      <c r="L208"/>
    </row>
    <row r="209" ht="14.45" customHeight="1" spans="1:12">
      <c r="A209" s="57">
        <v>3</v>
      </c>
      <c r="B209" s="57" t="s">
        <v>1171</v>
      </c>
      <c r="C209" s="57"/>
      <c r="D209" s="57"/>
      <c r="E209" s="57"/>
      <c r="F209" s="113">
        <f>SUM(F210:F212)</f>
        <v>668.18993506087</v>
      </c>
      <c r="G209"/>
      <c r="H209"/>
      <c r="I209"/>
      <c r="J209"/>
      <c r="K209"/>
      <c r="L209"/>
    </row>
    <row r="210" ht="14.45" customHeight="1" spans="1:12">
      <c r="A210" s="57"/>
      <c r="B210" s="57" t="s">
        <v>1208</v>
      </c>
      <c r="C210" s="57" t="s">
        <v>988</v>
      </c>
      <c r="D210" s="113">
        <f>台时!C21</f>
        <v>118.94887754288</v>
      </c>
      <c r="E210" s="88">
        <f>1.04*0.91</f>
        <v>0.9464</v>
      </c>
      <c r="F210" s="113">
        <f t="shared" si="30"/>
        <v>112.573217706582</v>
      </c>
      <c r="G210"/>
      <c r="H210"/>
      <c r="I210"/>
      <c r="J210"/>
      <c r="K210"/>
      <c r="L210"/>
    </row>
    <row r="211" ht="14.45" customHeight="1" spans="1:12">
      <c r="A211" s="57"/>
      <c r="B211" s="57" t="s">
        <v>1209</v>
      </c>
      <c r="C211" s="57" t="s">
        <v>988</v>
      </c>
      <c r="D211" s="113">
        <f>台时!D21</f>
        <v>66.3822584762664</v>
      </c>
      <c r="E211" s="113">
        <f>0.52*0.91</f>
        <v>0.4732</v>
      </c>
      <c r="F211" s="113">
        <f t="shared" si="30"/>
        <v>31.4120847109693</v>
      </c>
      <c r="G211"/>
      <c r="H211"/>
      <c r="I211"/>
      <c r="J211"/>
      <c r="K211"/>
      <c r="L211"/>
    </row>
    <row r="212" ht="14.45" customHeight="1" spans="1:12">
      <c r="A212" s="57"/>
      <c r="B212" s="57" t="s">
        <v>1210</v>
      </c>
      <c r="C212" s="57" t="s">
        <v>988</v>
      </c>
      <c r="D212" s="113">
        <f>台时!G189</f>
        <v>73.10267092142</v>
      </c>
      <c r="E212" s="113">
        <f>7.88*0.91</f>
        <v>7.1708</v>
      </c>
      <c r="F212" s="113">
        <f t="shared" si="30"/>
        <v>524.204632643319</v>
      </c>
      <c r="G212"/>
      <c r="H212"/>
      <c r="I212"/>
      <c r="J212"/>
      <c r="K212"/>
      <c r="L212"/>
    </row>
    <row r="213" ht="14.45" customHeight="1" spans="1:12">
      <c r="A213" s="57" t="s">
        <v>70</v>
      </c>
      <c r="B213" s="57" t="s">
        <v>977</v>
      </c>
      <c r="C213" s="194">
        <f>取费表!$C$4</f>
        <v>0.048</v>
      </c>
      <c r="D213" s="84"/>
      <c r="E213" s="84">
        <f>F204</f>
        <v>727.13853272614</v>
      </c>
      <c r="F213" s="113">
        <f t="shared" ref="F213:F216" si="31">E213*C213</f>
        <v>34.9026495708547</v>
      </c>
      <c r="G213"/>
      <c r="H213"/>
      <c r="I213"/>
      <c r="J213"/>
      <c r="K213"/>
      <c r="L213"/>
    </row>
    <row r="214" ht="14.45" customHeight="1" spans="1:12">
      <c r="A214" s="57"/>
      <c r="B214" s="57"/>
      <c r="C214" s="194"/>
      <c r="D214" s="84"/>
      <c r="E214" s="88"/>
      <c r="F214" s="113"/>
      <c r="G214"/>
      <c r="H214"/>
      <c r="I214"/>
      <c r="J214"/>
      <c r="K214"/>
      <c r="L214"/>
    </row>
    <row r="215" ht="14.45" customHeight="1" spans="1:12">
      <c r="A215" s="57" t="s">
        <v>979</v>
      </c>
      <c r="B215" s="57" t="s">
        <v>973</v>
      </c>
      <c r="C215" s="194">
        <f>取费表!$E$4</f>
        <v>0.04</v>
      </c>
      <c r="D215" s="57"/>
      <c r="E215" s="84">
        <f>F203</f>
        <v>762.041182296994</v>
      </c>
      <c r="F215" s="113">
        <f t="shared" si="31"/>
        <v>30.4816472918798</v>
      </c>
      <c r="G215"/>
      <c r="H215"/>
      <c r="I215"/>
      <c r="J215"/>
      <c r="K215"/>
      <c r="L215"/>
    </row>
    <row r="216" ht="14.45" customHeight="1" spans="1:12">
      <c r="A216" s="57" t="s">
        <v>162</v>
      </c>
      <c r="B216" s="57" t="s">
        <v>980</v>
      </c>
      <c r="C216" s="194">
        <f>取费表!$F$4</f>
        <v>0.05</v>
      </c>
      <c r="D216" s="57"/>
      <c r="E216" s="84">
        <f>F215+F203</f>
        <v>792.522829588874</v>
      </c>
      <c r="F216" s="113">
        <f t="shared" si="31"/>
        <v>39.6261414794437</v>
      </c>
      <c r="G216"/>
      <c r="H216"/>
      <c r="I216"/>
      <c r="J216"/>
      <c r="K216"/>
      <c r="L216"/>
    </row>
    <row r="217" ht="14.45" customHeight="1" spans="1:12">
      <c r="A217" s="57" t="s">
        <v>214</v>
      </c>
      <c r="B217" s="57" t="s">
        <v>1173</v>
      </c>
      <c r="C217" s="59"/>
      <c r="D217" s="57"/>
      <c r="E217" s="57"/>
      <c r="F217" s="113">
        <f>F218</f>
        <v>440.1017712</v>
      </c>
      <c r="G217"/>
      <c r="H217"/>
      <c r="I217"/>
      <c r="J217"/>
      <c r="K217"/>
      <c r="L217"/>
    </row>
    <row r="218" ht="14.45" customHeight="1" spans="1:12">
      <c r="A218" s="57"/>
      <c r="B218" s="57" t="s">
        <v>1174</v>
      </c>
      <c r="C218" s="59" t="s">
        <v>184</v>
      </c>
      <c r="D218" s="84">
        <f>材料预算价!K12-材料预算价!L12</f>
        <v>4.86</v>
      </c>
      <c r="E218" s="88">
        <f>E210*台时!C14+新定额单价!E211*台时!D14+新定额单价!E212*台时!G245</f>
        <v>90.55592</v>
      </c>
      <c r="F218" s="113">
        <f>E218*D218</f>
        <v>440.1017712</v>
      </c>
      <c r="G218"/>
      <c r="H218"/>
      <c r="I218"/>
      <c r="J218"/>
      <c r="K218"/>
      <c r="L218"/>
    </row>
    <row r="219" ht="14.45" customHeight="1" spans="1:12">
      <c r="A219" s="57" t="s">
        <v>327</v>
      </c>
      <c r="B219" s="57" t="s">
        <v>976</v>
      </c>
      <c r="C219" s="195">
        <f>C194</f>
        <v>0.09</v>
      </c>
      <c r="D219" s="57"/>
      <c r="E219" s="84">
        <f>F217+F216+F203+F215</f>
        <v>1272.25074226832</v>
      </c>
      <c r="F219" s="113">
        <f>E219*C219</f>
        <v>114.502566804149</v>
      </c>
      <c r="G219"/>
      <c r="H219"/>
      <c r="I219"/>
      <c r="J219"/>
      <c r="K219"/>
      <c r="L219"/>
    </row>
    <row r="220" ht="14.45" customHeight="1" spans="1:12">
      <c r="A220" s="57"/>
      <c r="B220" s="57" t="s">
        <v>984</v>
      </c>
      <c r="C220" s="195"/>
      <c r="D220" s="57"/>
      <c r="E220" s="84"/>
      <c r="F220" s="113">
        <f>(F203+F215+F216+F217+F219)*取费表!H4</f>
        <v>41.602599272174</v>
      </c>
      <c r="G220"/>
      <c r="H220"/>
      <c r="I220"/>
      <c r="J220"/>
      <c r="K220"/>
      <c r="L220"/>
    </row>
    <row r="221" ht="14.45" customHeight="1" spans="1:12">
      <c r="A221" s="57"/>
      <c r="B221" s="57" t="s">
        <v>278</v>
      </c>
      <c r="C221" s="57"/>
      <c r="D221" s="57"/>
      <c r="E221" s="57"/>
      <c r="F221" s="113">
        <f>(F219+F217+F216+F215+F203+F220)</f>
        <v>1428.35590834464</v>
      </c>
      <c r="G221"/>
      <c r="H221"/>
      <c r="I221"/>
      <c r="J221"/>
      <c r="K221"/>
      <c r="L221"/>
    </row>
    <row r="222" ht="14.45" customHeight="1" spans="1:12">
      <c r="A222" s="176" t="s">
        <v>1204</v>
      </c>
      <c r="B222" s="175"/>
      <c r="C222" s="175"/>
      <c r="D222" s="175"/>
      <c r="E222" s="175"/>
      <c r="F222" s="175"/>
      <c r="G222"/>
      <c r="H222"/>
      <c r="I222"/>
      <c r="J222"/>
      <c r="K222"/>
      <c r="L222"/>
    </row>
    <row r="223" ht="14.45" customHeight="1" spans="1:6">
      <c r="A223" s="323" t="s">
        <v>1211</v>
      </c>
      <c r="B223" s="168"/>
      <c r="C223" s="168"/>
      <c r="D223" s="168"/>
      <c r="E223" s="168"/>
      <c r="F223" s="168"/>
    </row>
    <row r="224" ht="14.45" customHeight="1" spans="1:6">
      <c r="A224" s="190" t="s">
        <v>1212</v>
      </c>
      <c r="B224" s="191"/>
      <c r="C224" s="168"/>
      <c r="D224" s="168"/>
      <c r="E224" s="191" t="s">
        <v>1159</v>
      </c>
      <c r="F224" s="191"/>
    </row>
    <row r="225" ht="14.45" customHeight="1" spans="1:6">
      <c r="A225" s="197" t="s">
        <v>1207</v>
      </c>
      <c r="B225" s="192"/>
      <c r="C225" s="201"/>
      <c r="D225" s="201"/>
      <c r="E225" s="201"/>
      <c r="F225" s="202"/>
    </row>
    <row r="226" ht="14.45" customHeight="1" spans="1:6">
      <c r="A226" s="57" t="s">
        <v>354</v>
      </c>
      <c r="B226" s="57" t="s">
        <v>956</v>
      </c>
      <c r="C226" s="57" t="s">
        <v>52</v>
      </c>
      <c r="D226" s="57" t="s">
        <v>855</v>
      </c>
      <c r="E226" s="57" t="s">
        <v>53</v>
      </c>
      <c r="F226" s="57" t="s">
        <v>306</v>
      </c>
    </row>
    <row r="227" ht="14.45" customHeight="1" spans="1:6">
      <c r="A227" s="57" t="s">
        <v>959</v>
      </c>
      <c r="B227" s="57" t="s">
        <v>960</v>
      </c>
      <c r="C227" s="57"/>
      <c r="D227" s="57"/>
      <c r="E227" s="57"/>
      <c r="F227" s="84">
        <f>F228+F237+F238</f>
        <v>504.744217911529</v>
      </c>
    </row>
    <row r="228" ht="14.45" customHeight="1" spans="1:6">
      <c r="A228" s="57" t="s">
        <v>59</v>
      </c>
      <c r="B228" s="57" t="s">
        <v>957</v>
      </c>
      <c r="C228" s="57"/>
      <c r="D228" s="57"/>
      <c r="E228" s="57"/>
      <c r="F228" s="84">
        <f>F229+F232+F233</f>
        <v>481.626162129322</v>
      </c>
    </row>
    <row r="229" ht="14.45" customHeight="1" spans="1:6">
      <c r="A229" s="57">
        <v>1</v>
      </c>
      <c r="B229" s="57" t="s">
        <v>964</v>
      </c>
      <c r="C229" s="57" t="s">
        <v>965</v>
      </c>
      <c r="D229" s="113"/>
      <c r="E229" s="113">
        <f>SUM(E230:E231)</f>
        <v>4.732</v>
      </c>
      <c r="F229" s="113">
        <f>SUM(F230:F231)</f>
        <v>27.30364</v>
      </c>
    </row>
    <row r="230" ht="14.45" customHeight="1" spans="1:6">
      <c r="A230" s="57"/>
      <c r="B230" s="57" t="s">
        <v>966</v>
      </c>
      <c r="C230" s="57" t="s">
        <v>965</v>
      </c>
      <c r="D230" s="113">
        <f t="shared" ref="D230:D236" si="32">D206</f>
        <v>8.1</v>
      </c>
      <c r="E230" s="113">
        <v>0</v>
      </c>
      <c r="F230" s="113">
        <f t="shared" ref="F230:F236" si="33">D230*E230</f>
        <v>0</v>
      </c>
    </row>
    <row r="231" ht="14.45" customHeight="1" spans="1:6">
      <c r="A231" s="57"/>
      <c r="B231" s="57" t="s">
        <v>968</v>
      </c>
      <c r="C231" s="57" t="s">
        <v>965</v>
      </c>
      <c r="D231" s="113">
        <f t="shared" si="32"/>
        <v>5.77</v>
      </c>
      <c r="E231" s="113">
        <f>5.2*0.91</f>
        <v>4.732</v>
      </c>
      <c r="F231" s="113">
        <f t="shared" si="33"/>
        <v>27.30364</v>
      </c>
    </row>
    <row r="232" ht="14.45" customHeight="1" spans="1:6">
      <c r="A232" s="57">
        <v>2</v>
      </c>
      <c r="B232" s="57" t="s">
        <v>969</v>
      </c>
      <c r="C232" s="59" t="s">
        <v>423</v>
      </c>
      <c r="D232" s="84">
        <f>F229+F233</f>
        <v>460.665865259992</v>
      </c>
      <c r="E232" s="57">
        <f>5*0.91</f>
        <v>4.55</v>
      </c>
      <c r="F232" s="113">
        <f>D232*E232/100</f>
        <v>20.9602968693296</v>
      </c>
    </row>
    <row r="233" ht="14.45" customHeight="1" spans="1:6">
      <c r="A233" s="57">
        <v>3</v>
      </c>
      <c r="B233" s="57" t="s">
        <v>1171</v>
      </c>
      <c r="C233" s="57"/>
      <c r="D233" s="57"/>
      <c r="E233" s="57"/>
      <c r="F233" s="113">
        <f>SUM(F234:F236)</f>
        <v>433.362225259992</v>
      </c>
    </row>
    <row r="234" ht="14.45" customHeight="1" spans="1:6">
      <c r="A234" s="57"/>
      <c r="B234" s="57" t="s">
        <v>1208</v>
      </c>
      <c r="C234" s="57" t="s">
        <v>988</v>
      </c>
      <c r="D234" s="113">
        <f t="shared" si="32"/>
        <v>118.94887754288</v>
      </c>
      <c r="E234" s="88">
        <f>1.04*0.91</f>
        <v>0.9464</v>
      </c>
      <c r="F234" s="113">
        <f t="shared" si="33"/>
        <v>112.573217706582</v>
      </c>
    </row>
    <row r="235" ht="14.45" customHeight="1" spans="1:6">
      <c r="A235" s="57"/>
      <c r="B235" s="57" t="s">
        <v>1209</v>
      </c>
      <c r="C235" s="57" t="s">
        <v>988</v>
      </c>
      <c r="D235" s="113">
        <f t="shared" si="32"/>
        <v>66.3822584762664</v>
      </c>
      <c r="E235" s="113">
        <f>0.52*0.91</f>
        <v>0.4732</v>
      </c>
      <c r="F235" s="113">
        <f t="shared" si="33"/>
        <v>31.4120847109693</v>
      </c>
    </row>
    <row r="236" ht="14.45" customHeight="1" spans="1:6">
      <c r="A236" s="57"/>
      <c r="B236" s="57" t="s">
        <v>1210</v>
      </c>
      <c r="C236" s="57" t="s">
        <v>988</v>
      </c>
      <c r="D236" s="113">
        <f t="shared" si="32"/>
        <v>73.10267092142</v>
      </c>
      <c r="E236" s="113">
        <f>4.35*0.91</f>
        <v>3.9585</v>
      </c>
      <c r="F236" s="113">
        <f t="shared" si="33"/>
        <v>289.376922842441</v>
      </c>
    </row>
    <row r="237" ht="14.45" customHeight="1" spans="1:6">
      <c r="A237" s="57" t="s">
        <v>70</v>
      </c>
      <c r="B237" s="57" t="s">
        <v>977</v>
      </c>
      <c r="C237" s="194">
        <f>取费表!$C$4</f>
        <v>0.048</v>
      </c>
      <c r="D237" s="84"/>
      <c r="E237" s="84">
        <f>F228</f>
        <v>481.626162129322</v>
      </c>
      <c r="F237" s="113">
        <f t="shared" ref="F237:F240" si="34">E237*C237</f>
        <v>23.1180557822074</v>
      </c>
    </row>
    <row r="238" ht="14.45" customHeight="1" spans="1:6">
      <c r="A238" s="57"/>
      <c r="B238" s="57"/>
      <c r="C238" s="194"/>
      <c r="D238" s="84"/>
      <c r="E238" s="88"/>
      <c r="F238" s="113"/>
    </row>
    <row r="239" ht="14.45" customHeight="1" spans="1:6">
      <c r="A239" s="57" t="s">
        <v>979</v>
      </c>
      <c r="B239" s="57" t="s">
        <v>973</v>
      </c>
      <c r="C239" s="194">
        <f>取费表!$E$4</f>
        <v>0.04</v>
      </c>
      <c r="D239" s="57"/>
      <c r="E239" s="84">
        <f>F227</f>
        <v>504.744217911529</v>
      </c>
      <c r="F239" s="113">
        <f t="shared" si="34"/>
        <v>20.1897687164612</v>
      </c>
    </row>
    <row r="240" ht="14.45" customHeight="1" spans="1:6">
      <c r="A240" s="57" t="s">
        <v>162</v>
      </c>
      <c r="B240" s="57" t="s">
        <v>980</v>
      </c>
      <c r="C240" s="194">
        <f>取费表!$F$4</f>
        <v>0.05</v>
      </c>
      <c r="D240" s="57"/>
      <c r="E240" s="84">
        <f>F239+F227</f>
        <v>524.93398662799</v>
      </c>
      <c r="F240" s="113">
        <f t="shared" si="34"/>
        <v>26.2466993313995</v>
      </c>
    </row>
    <row r="241" ht="14.45" customHeight="1" spans="1:6">
      <c r="A241" s="57" t="s">
        <v>214</v>
      </c>
      <c r="B241" s="57" t="s">
        <v>1173</v>
      </c>
      <c r="C241" s="59"/>
      <c r="D241" s="57"/>
      <c r="E241" s="57"/>
      <c r="F241" s="113">
        <f>F242</f>
        <v>280.8616356</v>
      </c>
    </row>
    <row r="242" ht="14.45" customHeight="1" spans="1:6">
      <c r="A242" s="57"/>
      <c r="B242" s="57" t="s">
        <v>1174</v>
      </c>
      <c r="C242" s="59" t="s">
        <v>184</v>
      </c>
      <c r="D242" s="84">
        <f>D218</f>
        <v>4.86</v>
      </c>
      <c r="E242" s="88">
        <f>E234*台时!C14+新定额单价!E235*台时!D14+新定额单价!E236*台时!G182</f>
        <v>57.79046</v>
      </c>
      <c r="F242" s="113">
        <f>E242*D242</f>
        <v>280.8616356</v>
      </c>
    </row>
    <row r="243" ht="14.45" customHeight="1" spans="1:6">
      <c r="A243" s="57" t="s">
        <v>327</v>
      </c>
      <c r="B243" s="57" t="s">
        <v>976</v>
      </c>
      <c r="C243" s="195">
        <f>C219</f>
        <v>0.09</v>
      </c>
      <c r="D243" s="57"/>
      <c r="E243" s="84">
        <f>F241+F240+F227+F239</f>
        <v>832.04232155939</v>
      </c>
      <c r="F243" s="113">
        <f>E243*C243</f>
        <v>74.8838089403451</v>
      </c>
    </row>
    <row r="244" ht="14.45" customHeight="1" spans="1:6">
      <c r="A244" s="57"/>
      <c r="B244" s="57" t="s">
        <v>984</v>
      </c>
      <c r="C244" s="195"/>
      <c r="D244" s="57"/>
      <c r="E244" s="84"/>
      <c r="F244" s="113">
        <f>(F227+F239+F240+F241+F243)*取费表!H4</f>
        <v>27.207783914992</v>
      </c>
    </row>
    <row r="245" ht="14.45" customHeight="1" spans="1:6">
      <c r="A245" s="57"/>
      <c r="B245" s="57" t="s">
        <v>278</v>
      </c>
      <c r="C245" s="57"/>
      <c r="D245" s="57"/>
      <c r="E245" s="57"/>
      <c r="F245" s="113">
        <f>F243+F241+F240+F239+F227+F244</f>
        <v>934.133914414727</v>
      </c>
    </row>
    <row r="246" ht="14.45" customHeight="1" spans="1:6">
      <c r="A246"/>
      <c r="B246"/>
      <c r="C246"/>
      <c r="D246"/>
      <c r="E246"/>
      <c r="F246"/>
    </row>
    <row r="247" ht="14.45" customHeight="1" spans="1:6">
      <c r="A247"/>
      <c r="B247"/>
      <c r="C247"/>
      <c r="D247"/>
      <c r="E247"/>
      <c r="F247"/>
    </row>
    <row r="248" ht="14.45" customHeight="1" spans="1:6">
      <c r="A248"/>
      <c r="B248"/>
      <c r="C248"/>
      <c r="D248"/>
      <c r="E248"/>
      <c r="F248"/>
    </row>
    <row r="249" ht="14.45" customHeight="1" spans="1:6">
      <c r="A249"/>
      <c r="B249"/>
      <c r="C249"/>
      <c r="D249"/>
      <c r="E249"/>
      <c r="F249"/>
    </row>
    <row r="250" ht="14.45" customHeight="1" spans="1:6">
      <c r="A250"/>
      <c r="B250"/>
      <c r="C250"/>
      <c r="D250"/>
      <c r="E250"/>
      <c r="F250"/>
    </row>
    <row r="251" ht="14.45" customHeight="1" spans="1:6">
      <c r="A251"/>
      <c r="B251"/>
      <c r="C251"/>
      <c r="D251"/>
      <c r="E251"/>
      <c r="F251"/>
    </row>
    <row r="252" ht="14.45" customHeight="1" spans="1:6">
      <c r="A252"/>
      <c r="B252"/>
      <c r="C252"/>
      <c r="D252"/>
      <c r="E252"/>
      <c r="F252"/>
    </row>
    <row r="253" s="307" customFormat="1" ht="14.45" customHeight="1" spans="1:6">
      <c r="A253"/>
      <c r="B253"/>
      <c r="C253"/>
      <c r="D253"/>
      <c r="E253"/>
      <c r="F253"/>
    </row>
    <row r="254" s="307" customFormat="1" ht="14.45" customHeight="1" spans="1:6">
      <c r="A254"/>
      <c r="B254"/>
      <c r="C254"/>
      <c r="D254"/>
      <c r="E254"/>
      <c r="F254"/>
    </row>
    <row r="255" ht="14.45" customHeight="1" spans="1:6">
      <c r="A255"/>
      <c r="B255"/>
      <c r="C255"/>
      <c r="D255"/>
      <c r="E255"/>
      <c r="F255"/>
    </row>
    <row r="256" ht="14.45" customHeight="1" spans="1:6">
      <c r="A256"/>
      <c r="B256"/>
      <c r="C256"/>
      <c r="D256"/>
      <c r="E256"/>
      <c r="F256"/>
    </row>
    <row r="257" ht="14.45" customHeight="1" spans="1:6">
      <c r="A257"/>
      <c r="B257"/>
      <c r="C257"/>
      <c r="D257"/>
      <c r="E257"/>
      <c r="F257"/>
    </row>
    <row r="258" ht="14.45" customHeight="1" spans="1:6">
      <c r="A258"/>
      <c r="B258"/>
      <c r="C258"/>
      <c r="D258"/>
      <c r="E258"/>
      <c r="F258"/>
    </row>
    <row r="259" ht="14.45" customHeight="1" spans="1:6">
      <c r="A259"/>
      <c r="B259"/>
      <c r="C259"/>
      <c r="D259"/>
      <c r="E259"/>
      <c r="F259"/>
    </row>
    <row r="260" ht="14.45" customHeight="1" spans="1:6">
      <c r="A260"/>
      <c r="B260"/>
      <c r="C260"/>
      <c r="D260"/>
      <c r="E260"/>
      <c r="F260"/>
    </row>
    <row r="261" ht="14.45" customHeight="1" spans="1:6">
      <c r="A261"/>
      <c r="B261"/>
      <c r="C261"/>
      <c r="D261"/>
      <c r="E261"/>
      <c r="F261"/>
    </row>
    <row r="262" ht="14.45" customHeight="1" spans="1:6">
      <c r="A262"/>
      <c r="B262"/>
      <c r="C262"/>
      <c r="D262"/>
      <c r="E262"/>
      <c r="F262"/>
    </row>
    <row r="263" ht="14.45" customHeight="1" spans="1:6">
      <c r="A263"/>
      <c r="B263"/>
      <c r="C263"/>
      <c r="D263"/>
      <c r="E263"/>
      <c r="F263"/>
    </row>
    <row r="264" ht="14.45" customHeight="1" spans="1:6">
      <c r="A264"/>
      <c r="B264"/>
      <c r="C264"/>
      <c r="D264"/>
      <c r="E264"/>
      <c r="F264"/>
    </row>
    <row r="265" ht="14.45" customHeight="1" spans="1:6">
      <c r="A265"/>
      <c r="B265"/>
      <c r="C265"/>
      <c r="D265"/>
      <c r="E265"/>
      <c r="F265"/>
    </row>
    <row r="266" ht="14.45" customHeight="1" spans="1:6">
      <c r="A266"/>
      <c r="B266"/>
      <c r="C266"/>
      <c r="D266"/>
      <c r="E266"/>
      <c r="F266"/>
    </row>
    <row r="267" ht="14.45" customHeight="1" spans="1:6">
      <c r="A267"/>
      <c r="B267"/>
      <c r="C267"/>
      <c r="D267"/>
      <c r="E267"/>
      <c r="F267"/>
    </row>
    <row r="268" ht="14.45" customHeight="1" spans="1:6">
      <c r="A268"/>
      <c r="B268"/>
      <c r="C268"/>
      <c r="D268"/>
      <c r="E268"/>
      <c r="F268"/>
    </row>
    <row r="269" ht="14.45" customHeight="1" spans="1:6">
      <c r="A269"/>
      <c r="B269"/>
      <c r="C269"/>
      <c r="D269"/>
      <c r="E269"/>
      <c r="F269"/>
    </row>
    <row r="270" ht="14.1" customHeight="1" spans="1:12">
      <c r="A270"/>
      <c r="B270"/>
      <c r="C270"/>
      <c r="D270"/>
      <c r="E270"/>
      <c r="F270"/>
      <c r="G270" s="311" t="s">
        <v>1155</v>
      </c>
      <c r="H270" s="175"/>
      <c r="I270" s="175"/>
      <c r="J270" s="175"/>
      <c r="K270" s="175"/>
      <c r="L270" s="175"/>
    </row>
    <row r="271" ht="14.1" customHeight="1" spans="1:12">
      <c r="A271"/>
      <c r="B271"/>
      <c r="C271"/>
      <c r="D271"/>
      <c r="E271"/>
      <c r="F271"/>
      <c r="G271" s="189" t="s">
        <v>1213</v>
      </c>
      <c r="H271" s="189"/>
      <c r="I271" s="189"/>
      <c r="J271" s="189"/>
      <c r="K271" s="189"/>
      <c r="L271" s="189"/>
    </row>
    <row r="272" ht="14.1" customHeight="1" spans="1:12">
      <c r="A272"/>
      <c r="B272"/>
      <c r="C272"/>
      <c r="D272"/>
      <c r="E272"/>
      <c r="F272"/>
      <c r="G272" s="324" t="s">
        <v>1214</v>
      </c>
      <c r="H272" s="191"/>
      <c r="I272" s="168"/>
      <c r="J272" s="168"/>
      <c r="K272" s="191" t="s">
        <v>1159</v>
      </c>
      <c r="L272" s="191"/>
    </row>
    <row r="273" ht="14.1" customHeight="1" spans="1:12">
      <c r="A273"/>
      <c r="B273"/>
      <c r="C273"/>
      <c r="D273"/>
      <c r="E273"/>
      <c r="F273"/>
      <c r="G273" s="197" t="s">
        <v>1215</v>
      </c>
      <c r="H273" s="192"/>
      <c r="I273" s="201"/>
      <c r="J273" s="201"/>
      <c r="K273" s="201"/>
      <c r="L273" s="202"/>
    </row>
    <row r="274" ht="14.1" customHeight="1" spans="1:12">
      <c r="A274"/>
      <c r="B274"/>
      <c r="C274"/>
      <c r="D274"/>
      <c r="E274"/>
      <c r="F274"/>
      <c r="G274" s="57" t="s">
        <v>354</v>
      </c>
      <c r="H274" s="57" t="s">
        <v>956</v>
      </c>
      <c r="I274" s="57" t="s">
        <v>52</v>
      </c>
      <c r="J274" s="57" t="s">
        <v>855</v>
      </c>
      <c r="K274" s="57" t="s">
        <v>53</v>
      </c>
      <c r="L274" s="57" t="s">
        <v>306</v>
      </c>
    </row>
    <row r="275" ht="14.1" customHeight="1" spans="1:12">
      <c r="A275"/>
      <c r="B275"/>
      <c r="C275"/>
      <c r="D275"/>
      <c r="E275"/>
      <c r="F275"/>
      <c r="G275" s="57" t="s">
        <v>959</v>
      </c>
      <c r="H275" s="57" t="s">
        <v>960</v>
      </c>
      <c r="I275" s="57"/>
      <c r="J275" s="57"/>
      <c r="K275" s="57"/>
      <c r="L275" s="84">
        <f>L276+L285</f>
        <v>1610.03023461751</v>
      </c>
    </row>
    <row r="276" ht="14.1" customHeight="1" spans="1:12">
      <c r="A276"/>
      <c r="B276"/>
      <c r="C276"/>
      <c r="D276"/>
      <c r="E276"/>
      <c r="F276"/>
      <c r="G276" s="57" t="s">
        <v>59</v>
      </c>
      <c r="H276" s="57" t="s">
        <v>957</v>
      </c>
      <c r="I276" s="57"/>
      <c r="J276" s="57"/>
      <c r="K276" s="57"/>
      <c r="L276" s="84">
        <f>L277+L280+L281</f>
        <v>1536.2883918106</v>
      </c>
    </row>
    <row r="277" ht="14.1" customHeight="1" spans="1:12">
      <c r="A277"/>
      <c r="B277"/>
      <c r="C277"/>
      <c r="D277"/>
      <c r="E277"/>
      <c r="F277"/>
      <c r="G277" s="57">
        <v>1</v>
      </c>
      <c r="H277" s="57" t="s">
        <v>964</v>
      </c>
      <c r="I277" s="57" t="s">
        <v>965</v>
      </c>
      <c r="J277" s="113"/>
      <c r="K277" s="113">
        <f>SUM(K278:K279)</f>
        <v>4.732</v>
      </c>
      <c r="L277" s="113">
        <f>SUM(L278:L279)</f>
        <v>27.30364</v>
      </c>
    </row>
    <row r="278" s="307" customFormat="1" ht="14.1" customHeight="1" spans="1:12">
      <c r="A278"/>
      <c r="B278"/>
      <c r="C278"/>
      <c r="D278"/>
      <c r="E278"/>
      <c r="F278"/>
      <c r="G278" s="57"/>
      <c r="H278" s="57" t="s">
        <v>966</v>
      </c>
      <c r="I278" s="57" t="s">
        <v>965</v>
      </c>
      <c r="J278" s="113">
        <f>建筑工程单价分析表!D115</f>
        <v>8.1</v>
      </c>
      <c r="K278" s="113">
        <v>0</v>
      </c>
      <c r="L278" s="113">
        <f t="shared" ref="L278:L279" si="35">J278*K278</f>
        <v>0</v>
      </c>
    </row>
    <row r="279" s="307" customFormat="1" ht="14.1" customHeight="1" spans="1:12">
      <c r="A279"/>
      <c r="B279"/>
      <c r="C279"/>
      <c r="D279"/>
      <c r="E279"/>
      <c r="F279"/>
      <c r="G279" s="57"/>
      <c r="H279" s="57" t="s">
        <v>968</v>
      </c>
      <c r="I279" s="57" t="s">
        <v>965</v>
      </c>
      <c r="J279" s="113">
        <f>建筑工程单价分析表!D116</f>
        <v>5.77</v>
      </c>
      <c r="K279" s="113">
        <f>5.2*0.91</f>
        <v>4.732</v>
      </c>
      <c r="L279" s="113">
        <f t="shared" si="35"/>
        <v>27.30364</v>
      </c>
    </row>
    <row r="280" ht="14.1" customHeight="1" spans="1:12">
      <c r="A280"/>
      <c r="B280"/>
      <c r="C280"/>
      <c r="D280"/>
      <c r="E280"/>
      <c r="F280"/>
      <c r="G280" s="57">
        <v>2</v>
      </c>
      <c r="H280" s="57" t="s">
        <v>969</v>
      </c>
      <c r="I280" s="59" t="s">
        <v>423</v>
      </c>
      <c r="J280" s="84">
        <f>L277+L281</f>
        <v>1469.4293561077</v>
      </c>
      <c r="K280" s="57">
        <f>5*0.91</f>
        <v>4.55</v>
      </c>
      <c r="L280" s="113">
        <f>J280*K280/100</f>
        <v>66.8590357029003</v>
      </c>
    </row>
    <row r="281" ht="14.1" customHeight="1" spans="1:12">
      <c r="A281"/>
      <c r="B281"/>
      <c r="C281"/>
      <c r="D281"/>
      <c r="E281"/>
      <c r="F281"/>
      <c r="G281" s="57">
        <v>3</v>
      </c>
      <c r="H281" s="57" t="s">
        <v>1171</v>
      </c>
      <c r="I281" s="57"/>
      <c r="J281" s="57"/>
      <c r="K281" s="57"/>
      <c r="L281" s="203">
        <f>SUM(L282:L284)</f>
        <v>1442.1257161077</v>
      </c>
    </row>
    <row r="282" ht="14.1" customHeight="1" spans="1:12">
      <c r="A282"/>
      <c r="B282"/>
      <c r="C282"/>
      <c r="D282"/>
      <c r="E282"/>
      <c r="F282"/>
      <c r="G282" s="57"/>
      <c r="H282" s="57" t="s">
        <v>1208</v>
      </c>
      <c r="I282" s="57" t="s">
        <v>988</v>
      </c>
      <c r="J282" s="113">
        <f>建筑工程单价分析表!D119</f>
        <v>118.94887754288</v>
      </c>
      <c r="K282" s="88">
        <f>1.04*0.91</f>
        <v>0.9464</v>
      </c>
      <c r="L282" s="113">
        <f t="shared" ref="L282:L284" si="36">J282*K282</f>
        <v>112.573217706582</v>
      </c>
    </row>
    <row r="283" ht="14.1" customHeight="1" spans="1:12">
      <c r="A283"/>
      <c r="B283"/>
      <c r="C283"/>
      <c r="D283"/>
      <c r="E283"/>
      <c r="F283"/>
      <c r="G283" s="57"/>
      <c r="H283" s="57" t="s">
        <v>1209</v>
      </c>
      <c r="I283" s="57" t="s">
        <v>988</v>
      </c>
      <c r="J283" s="113">
        <f>建筑工程单价分析表!D120</f>
        <v>89.4423446350219</v>
      </c>
      <c r="K283" s="88">
        <f>0.52*0.91</f>
        <v>0.4732</v>
      </c>
      <c r="L283" s="113">
        <f t="shared" si="36"/>
        <v>42.3241174812924</v>
      </c>
    </row>
    <row r="284" ht="14.1" customHeight="1" spans="1:12">
      <c r="A284"/>
      <c r="B284"/>
      <c r="C284"/>
      <c r="D284"/>
      <c r="E284"/>
      <c r="F284"/>
      <c r="G284" s="57"/>
      <c r="H284" s="57" t="s">
        <v>1210</v>
      </c>
      <c r="I284" s="57" t="s">
        <v>988</v>
      </c>
      <c r="J284" s="113">
        <f>建筑工程单价分析表!D121</f>
        <v>73.10267092142</v>
      </c>
      <c r="K284" s="88">
        <f>(12.3+1.41*5)*0.91</f>
        <v>17.6085</v>
      </c>
      <c r="L284" s="113">
        <f t="shared" si="36"/>
        <v>1287.22838091982</v>
      </c>
    </row>
    <row r="285" ht="14.1" customHeight="1" spans="1:12">
      <c r="A285"/>
      <c r="B285"/>
      <c r="C285"/>
      <c r="D285"/>
      <c r="E285"/>
      <c r="F285"/>
      <c r="G285" s="57" t="s">
        <v>70</v>
      </c>
      <c r="H285" s="57" t="s">
        <v>977</v>
      </c>
      <c r="I285" s="194">
        <f>取费表!$C$4</f>
        <v>0.048</v>
      </c>
      <c r="J285" s="84"/>
      <c r="K285" s="84">
        <f>L276</f>
        <v>1536.2883918106</v>
      </c>
      <c r="L285" s="113">
        <f t="shared" ref="L285:L287" si="37">K285*I285</f>
        <v>73.7418428069087</v>
      </c>
    </row>
    <row r="286" ht="14.1" customHeight="1" spans="1:12">
      <c r="A286"/>
      <c r="B286"/>
      <c r="C286"/>
      <c r="D286"/>
      <c r="E286"/>
      <c r="F286"/>
      <c r="G286" s="57" t="s">
        <v>979</v>
      </c>
      <c r="H286" s="57" t="s">
        <v>973</v>
      </c>
      <c r="I286" s="194">
        <f>取费表!$E$4</f>
        <v>0.04</v>
      </c>
      <c r="J286" s="84"/>
      <c r="K286" s="88">
        <f>L275</f>
        <v>1610.03023461751</v>
      </c>
      <c r="L286" s="113">
        <f t="shared" si="37"/>
        <v>64.4012093847003</v>
      </c>
    </row>
    <row r="287" ht="14.1" customHeight="1" spans="1:12">
      <c r="A287"/>
      <c r="B287"/>
      <c r="C287"/>
      <c r="D287"/>
      <c r="E287"/>
      <c r="F287"/>
      <c r="G287" s="57" t="s">
        <v>162</v>
      </c>
      <c r="H287" s="57" t="s">
        <v>980</v>
      </c>
      <c r="I287" s="194">
        <f>取费表!$F$4</f>
        <v>0.05</v>
      </c>
      <c r="J287" s="84"/>
      <c r="K287" s="88">
        <f>L286+L275</f>
        <v>1674.43144400221</v>
      </c>
      <c r="L287" s="113">
        <f t="shared" si="37"/>
        <v>83.7215722001104</v>
      </c>
    </row>
    <row r="288" ht="14.1" customHeight="1" spans="1:12">
      <c r="A288"/>
      <c r="B288"/>
      <c r="C288"/>
      <c r="D288"/>
      <c r="E288"/>
      <c r="F288"/>
      <c r="G288" s="57" t="s">
        <v>214</v>
      </c>
      <c r="H288" s="57" t="s">
        <v>1173</v>
      </c>
      <c r="I288" s="59"/>
      <c r="J288" s="84"/>
      <c r="K288" s="88"/>
      <c r="L288" s="113">
        <f>L289</f>
        <v>957.5194356</v>
      </c>
    </row>
    <row r="289" ht="14.1" customHeight="1" spans="1:12">
      <c r="A289"/>
      <c r="B289"/>
      <c r="C289"/>
      <c r="D289"/>
      <c r="E289"/>
      <c r="F289"/>
      <c r="G289" s="57"/>
      <c r="H289" s="57" t="s">
        <v>1174</v>
      </c>
      <c r="I289" s="59" t="s">
        <v>184</v>
      </c>
      <c r="J289" s="84">
        <f>建筑工程单价分析表!D126</f>
        <v>4.86</v>
      </c>
      <c r="K289" s="88">
        <f>K284*台时!$G$182+新定额单价!K283*台时!$D$14+新定额单价!K282*台时!$C$14</f>
        <v>197.02046</v>
      </c>
      <c r="L289" s="113">
        <f>K289*J289</f>
        <v>957.5194356</v>
      </c>
    </row>
    <row r="290" ht="14.1" customHeight="1" spans="1:12">
      <c r="A290"/>
      <c r="B290"/>
      <c r="C290"/>
      <c r="D290"/>
      <c r="E290"/>
      <c r="F290"/>
      <c r="G290" s="57" t="s">
        <v>327</v>
      </c>
      <c r="H290" s="57" t="s">
        <v>976</v>
      </c>
      <c r="I290" s="195">
        <f>建筑工程单价分析表!C127</f>
        <v>0.09</v>
      </c>
      <c r="J290" s="57"/>
      <c r="K290" s="204">
        <f>L288+L287+L286+L275</f>
        <v>2715.67245180232</v>
      </c>
      <c r="L290" s="113">
        <f>K290*I290</f>
        <v>244.410520662209</v>
      </c>
    </row>
    <row r="291" ht="14.1" customHeight="1" spans="1:12">
      <c r="A291"/>
      <c r="B291"/>
      <c r="C291"/>
      <c r="D291"/>
      <c r="E291"/>
      <c r="F291"/>
      <c r="G291" s="57"/>
      <c r="H291" s="57" t="s">
        <v>984</v>
      </c>
      <c r="I291" s="195"/>
      <c r="J291" s="57"/>
      <c r="K291" s="204"/>
      <c r="L291" s="113">
        <f>(L275+L286+L287+L288+L290)*取费表!H4</f>
        <v>88.8024891739358</v>
      </c>
    </row>
    <row r="292" ht="14.1" customHeight="1" spans="1:12">
      <c r="A292"/>
      <c r="B292"/>
      <c r="C292"/>
      <c r="D292"/>
      <c r="E292"/>
      <c r="F292"/>
      <c r="G292" s="57"/>
      <c r="H292" s="57" t="s">
        <v>278</v>
      </c>
      <c r="I292" s="57"/>
      <c r="J292" s="57"/>
      <c r="K292" s="117"/>
      <c r="L292" s="113">
        <f>L290+L288+L287+L286+L275+L291</f>
        <v>3048.88546163846</v>
      </c>
    </row>
    <row r="293" s="307" customFormat="1" ht="13.5" customHeight="1" spans="1:6">
      <c r="A293"/>
      <c r="B293"/>
      <c r="C293"/>
      <c r="D293"/>
      <c r="E293"/>
      <c r="F293"/>
    </row>
    <row r="294" s="307" customFormat="1" ht="13.5" customHeight="1" spans="1:6">
      <c r="A294"/>
      <c r="B294"/>
      <c r="C294"/>
      <c r="D294"/>
      <c r="E294"/>
      <c r="F294"/>
    </row>
    <row r="295" s="307" customFormat="1" ht="13.5" customHeight="1" spans="1:14">
      <c r="A295"/>
      <c r="B295"/>
      <c r="C295"/>
      <c r="D295"/>
      <c r="E295"/>
      <c r="F295"/>
      <c r="H295"/>
      <c r="I295"/>
      <c r="J295"/>
      <c r="K295"/>
      <c r="L295"/>
      <c r="M295"/>
      <c r="N295"/>
    </row>
    <row r="296" s="307" customFormat="1" ht="13.5" customHeight="1" spans="1:14">
      <c r="A296"/>
      <c r="B296"/>
      <c r="C296"/>
      <c r="D296"/>
      <c r="E296"/>
      <c r="F296"/>
      <c r="H296"/>
      <c r="I296"/>
      <c r="J296"/>
      <c r="K296"/>
      <c r="L296"/>
      <c r="M296"/>
      <c r="N296"/>
    </row>
    <row r="297" s="307" customFormat="1" ht="13.5" customHeight="1" spans="1:14">
      <c r="A297"/>
      <c r="B297"/>
      <c r="C297"/>
      <c r="D297"/>
      <c r="E297"/>
      <c r="F297"/>
      <c r="H297"/>
      <c r="I297"/>
      <c r="J297"/>
      <c r="K297"/>
      <c r="L297"/>
      <c r="M297"/>
      <c r="N297"/>
    </row>
    <row r="298" s="307" customFormat="1" ht="13.5" customHeight="1" spans="1:14">
      <c r="A298"/>
      <c r="B298"/>
      <c r="C298"/>
      <c r="D298"/>
      <c r="E298"/>
      <c r="F298"/>
      <c r="H298"/>
      <c r="I298"/>
      <c r="J298"/>
      <c r="K298"/>
      <c r="L298"/>
      <c r="M298"/>
      <c r="N298"/>
    </row>
    <row r="299" s="307" customFormat="1" ht="13.5" customHeight="1" spans="1:14">
      <c r="A299"/>
      <c r="B299"/>
      <c r="C299"/>
      <c r="D299"/>
      <c r="E299"/>
      <c r="F299"/>
      <c r="H299"/>
      <c r="I299"/>
      <c r="J299"/>
      <c r="K299"/>
      <c r="L299"/>
      <c r="M299"/>
      <c r="N299"/>
    </row>
    <row r="300" s="307" customFormat="1" ht="13.5" customHeight="1" spans="1:14">
      <c r="A300"/>
      <c r="B300"/>
      <c r="C300"/>
      <c r="D300"/>
      <c r="E300"/>
      <c r="F300"/>
      <c r="H300"/>
      <c r="I300"/>
      <c r="J300"/>
      <c r="K300"/>
      <c r="L300"/>
      <c r="M300"/>
      <c r="N300"/>
    </row>
    <row r="301" s="307" customFormat="1" ht="13.5" customHeight="1" spans="1:14">
      <c r="A301"/>
      <c r="B301"/>
      <c r="C301"/>
      <c r="D301"/>
      <c r="E301"/>
      <c r="F301"/>
      <c r="H301"/>
      <c r="I301"/>
      <c r="J301"/>
      <c r="K301"/>
      <c r="L301"/>
      <c r="M301"/>
      <c r="N301"/>
    </row>
    <row r="302" s="307" customFormat="1" ht="13.5" customHeight="1" spans="1:14">
      <c r="A302"/>
      <c r="B302"/>
      <c r="C302"/>
      <c r="D302"/>
      <c r="E302"/>
      <c r="F302"/>
      <c r="H302"/>
      <c r="I302"/>
      <c r="J302"/>
      <c r="K302"/>
      <c r="L302"/>
      <c r="M302"/>
      <c r="N302"/>
    </row>
    <row r="303" s="307" customFormat="1" ht="13.5" customHeight="1" spans="1:14">
      <c r="A303"/>
      <c r="B303"/>
      <c r="C303"/>
      <c r="D303"/>
      <c r="E303"/>
      <c r="F303"/>
      <c r="H303"/>
      <c r="I303"/>
      <c r="J303"/>
      <c r="K303"/>
      <c r="L303"/>
      <c r="M303"/>
      <c r="N303"/>
    </row>
    <row r="304" s="307" customFormat="1" ht="13.5" customHeight="1" spans="1:14">
      <c r="A304"/>
      <c r="B304"/>
      <c r="C304"/>
      <c r="D304"/>
      <c r="E304"/>
      <c r="F304"/>
      <c r="H304"/>
      <c r="I304"/>
      <c r="J304"/>
      <c r="K304"/>
      <c r="L304"/>
      <c r="M304"/>
      <c r="N304"/>
    </row>
    <row r="305" s="307" customFormat="1" ht="13.5" customHeight="1" spans="1:14">
      <c r="A305"/>
      <c r="B305"/>
      <c r="C305"/>
      <c r="D305"/>
      <c r="E305"/>
      <c r="F305"/>
      <c r="H305"/>
      <c r="I305"/>
      <c r="J305"/>
      <c r="K305"/>
      <c r="L305"/>
      <c r="M305"/>
      <c r="N305"/>
    </row>
    <row r="306" s="307" customFormat="1" ht="13.5" customHeight="1" spans="1:14">
      <c r="A306"/>
      <c r="B306"/>
      <c r="C306"/>
      <c r="D306"/>
      <c r="E306"/>
      <c r="F306"/>
      <c r="H306"/>
      <c r="I306"/>
      <c r="J306"/>
      <c r="K306"/>
      <c r="L306"/>
      <c r="M306"/>
      <c r="N306"/>
    </row>
    <row r="307" s="307" customFormat="1" ht="13.5" customHeight="1" spans="1:14">
      <c r="A307"/>
      <c r="B307"/>
      <c r="C307"/>
      <c r="D307"/>
      <c r="E307"/>
      <c r="F307"/>
      <c r="H307"/>
      <c r="I307"/>
      <c r="J307"/>
      <c r="K307"/>
      <c r="L307"/>
      <c r="M307"/>
      <c r="N307"/>
    </row>
    <row r="308" s="307" customFormat="1" ht="13.5" customHeight="1" spans="1:14">
      <c r="A308"/>
      <c r="B308"/>
      <c r="C308"/>
      <c r="D308"/>
      <c r="E308"/>
      <c r="F308"/>
      <c r="H308"/>
      <c r="I308"/>
      <c r="J308"/>
      <c r="K308"/>
      <c r="L308"/>
      <c r="M308"/>
      <c r="N308"/>
    </row>
    <row r="309" s="307" customFormat="1" ht="13.5" customHeight="1" spans="1:14">
      <c r="A309"/>
      <c r="B309"/>
      <c r="C309"/>
      <c r="D309"/>
      <c r="E309"/>
      <c r="F309"/>
      <c r="H309"/>
      <c r="I309"/>
      <c r="J309"/>
      <c r="K309"/>
      <c r="L309"/>
      <c r="M309"/>
      <c r="N309"/>
    </row>
    <row r="310" s="307" customFormat="1" ht="13.5" customHeight="1" spans="1:14">
      <c r="A310"/>
      <c r="B310"/>
      <c r="C310"/>
      <c r="D310"/>
      <c r="E310"/>
      <c r="F310"/>
      <c r="H310"/>
      <c r="I310"/>
      <c r="J310"/>
      <c r="K310"/>
      <c r="L310"/>
      <c r="M310"/>
      <c r="N310"/>
    </row>
    <row r="311" s="307" customFormat="1" ht="13.5" customHeight="1" spans="1:14">
      <c r="A311"/>
      <c r="B311"/>
      <c r="C311"/>
      <c r="D311"/>
      <c r="E311"/>
      <c r="F311"/>
      <c r="H311"/>
      <c r="I311"/>
      <c r="J311"/>
      <c r="K311"/>
      <c r="L311"/>
      <c r="M311"/>
      <c r="N311"/>
    </row>
    <row r="312" s="307" customFormat="1" ht="13.5" customHeight="1" spans="1:14">
      <c r="A312"/>
      <c r="B312"/>
      <c r="C312"/>
      <c r="D312"/>
      <c r="E312"/>
      <c r="F312"/>
      <c r="H312"/>
      <c r="I312"/>
      <c r="J312"/>
      <c r="K312"/>
      <c r="L312"/>
      <c r="M312"/>
      <c r="N312"/>
    </row>
    <row r="313" s="307" customFormat="1" ht="13.5" customHeight="1" spans="1:14">
      <c r="A313"/>
      <c r="B313"/>
      <c r="C313"/>
      <c r="D313"/>
      <c r="E313"/>
      <c r="F313"/>
      <c r="H313"/>
      <c r="I313"/>
      <c r="J313"/>
      <c r="K313"/>
      <c r="L313"/>
      <c r="M313"/>
      <c r="N313"/>
    </row>
    <row r="314" s="307" customFormat="1" ht="13.5" customHeight="1" spans="1:14">
      <c r="A314"/>
      <c r="B314"/>
      <c r="C314"/>
      <c r="D314"/>
      <c r="E314"/>
      <c r="F314"/>
      <c r="H314"/>
      <c r="I314"/>
      <c r="J314"/>
      <c r="K314"/>
      <c r="L314"/>
      <c r="M314"/>
      <c r="N314"/>
    </row>
    <row r="315" s="307" customFormat="1" ht="13.5" customHeight="1" spans="1:14">
      <c r="A315"/>
      <c r="B315"/>
      <c r="C315"/>
      <c r="D315"/>
      <c r="E315"/>
      <c r="F315"/>
      <c r="H315"/>
      <c r="I315"/>
      <c r="J315"/>
      <c r="K315"/>
      <c r="L315"/>
      <c r="M315"/>
      <c r="N315"/>
    </row>
    <row r="316" ht="13.5" customHeight="1" spans="1:14">
      <c r="A316"/>
      <c r="B316"/>
      <c r="C316"/>
      <c r="D316"/>
      <c r="E316"/>
      <c r="F316"/>
      <c r="H316"/>
      <c r="I316"/>
      <c r="J316"/>
      <c r="K316"/>
      <c r="L316"/>
      <c r="M316"/>
      <c r="N316"/>
    </row>
    <row r="317" ht="13.5" customHeight="1" spans="1:14">
      <c r="A317"/>
      <c r="B317"/>
      <c r="C317"/>
      <c r="D317"/>
      <c r="E317"/>
      <c r="F317"/>
      <c r="H317"/>
      <c r="I317"/>
      <c r="J317"/>
      <c r="K317"/>
      <c r="L317"/>
      <c r="M317"/>
      <c r="N317"/>
    </row>
    <row r="318" ht="13.5" customHeight="1" spans="1:14">
      <c r="A318"/>
      <c r="B318"/>
      <c r="C318"/>
      <c r="D318"/>
      <c r="E318"/>
      <c r="F318"/>
      <c r="H318"/>
      <c r="I318"/>
      <c r="J318"/>
      <c r="K318"/>
      <c r="L318"/>
      <c r="M318"/>
      <c r="N318"/>
    </row>
    <row r="319" s="307" customFormat="1" ht="13.5" customHeight="1" spans="1:14">
      <c r="A319"/>
      <c r="B319"/>
      <c r="C319"/>
      <c r="D319"/>
      <c r="E319"/>
      <c r="F319"/>
      <c r="H319"/>
      <c r="I319"/>
      <c r="J319"/>
      <c r="K319"/>
      <c r="L319"/>
      <c r="M319"/>
      <c r="N319"/>
    </row>
    <row r="320" s="307" customFormat="1" customHeight="1" spans="1:14">
      <c r="A320" s="311" t="s">
        <v>1155</v>
      </c>
      <c r="B320" s="175"/>
      <c r="C320" s="175"/>
      <c r="D320" s="175"/>
      <c r="E320" s="175"/>
      <c r="F320" s="175"/>
      <c r="H320"/>
      <c r="I320"/>
      <c r="J320"/>
      <c r="K320"/>
      <c r="L320"/>
      <c r="M320"/>
      <c r="N320"/>
    </row>
    <row r="321" s="307" customFormat="1" customHeight="1" spans="1:14">
      <c r="A321" s="205" t="s">
        <v>1216</v>
      </c>
      <c r="B321" s="205"/>
      <c r="C321" s="205"/>
      <c r="D321" s="205"/>
      <c r="E321" s="205"/>
      <c r="F321" s="205"/>
      <c r="H321"/>
      <c r="I321"/>
      <c r="J321"/>
      <c r="K321"/>
      <c r="L321"/>
      <c r="M321"/>
      <c r="N321"/>
    </row>
    <row r="322" s="307" customFormat="1" customHeight="1" spans="1:14">
      <c r="A322" s="190" t="s">
        <v>1217</v>
      </c>
      <c r="B322" s="191"/>
      <c r="C322" s="168"/>
      <c r="D322" s="168"/>
      <c r="E322" s="191" t="s">
        <v>1159</v>
      </c>
      <c r="F322" s="191"/>
      <c r="H322"/>
      <c r="I322"/>
      <c r="J322"/>
      <c r="K322"/>
      <c r="L322"/>
      <c r="M322"/>
      <c r="N322"/>
    </row>
    <row r="323" s="307" customFormat="1" customHeight="1" spans="1:14">
      <c r="A323" s="197" t="s">
        <v>1218</v>
      </c>
      <c r="B323" s="192"/>
      <c r="C323" s="201"/>
      <c r="D323" s="201"/>
      <c r="E323" s="201"/>
      <c r="F323" s="202"/>
      <c r="H323"/>
      <c r="I323"/>
      <c r="J323"/>
      <c r="K323"/>
      <c r="L323"/>
      <c r="M323"/>
      <c r="N323"/>
    </row>
    <row r="324" s="307" customFormat="1" customHeight="1" spans="1:14">
      <c r="A324" s="57" t="s">
        <v>354</v>
      </c>
      <c r="B324" s="57" t="s">
        <v>956</v>
      </c>
      <c r="C324" s="57" t="s">
        <v>52</v>
      </c>
      <c r="D324" s="57" t="s">
        <v>855</v>
      </c>
      <c r="E324" s="57" t="s">
        <v>53</v>
      </c>
      <c r="F324" s="57" t="s">
        <v>306</v>
      </c>
      <c r="H324"/>
      <c r="I324"/>
      <c r="J324"/>
      <c r="K324"/>
      <c r="L324"/>
      <c r="M324"/>
      <c r="N324"/>
    </row>
    <row r="325" s="307" customFormat="1" customHeight="1" spans="1:14">
      <c r="A325" s="57" t="s">
        <v>959</v>
      </c>
      <c r="B325" s="57" t="s">
        <v>960</v>
      </c>
      <c r="C325" s="57"/>
      <c r="D325" s="57"/>
      <c r="E325" s="57"/>
      <c r="F325" s="84">
        <f>F326+F339+F340</f>
        <v>254.994495638912</v>
      </c>
      <c r="H325"/>
      <c r="I325"/>
      <c r="J325"/>
      <c r="K325"/>
      <c r="L325"/>
      <c r="M325"/>
      <c r="N325"/>
    </row>
    <row r="326" s="307" customFormat="1" customHeight="1" spans="1:14">
      <c r="A326" s="57" t="s">
        <v>59</v>
      </c>
      <c r="B326" s="57" t="s">
        <v>957</v>
      </c>
      <c r="C326" s="57"/>
      <c r="D326" s="57"/>
      <c r="E326" s="57"/>
      <c r="F326" s="84">
        <f>F327+F330+F333</f>
        <v>243.315358434077</v>
      </c>
      <c r="H326"/>
      <c r="I326"/>
      <c r="J326"/>
      <c r="K326"/>
      <c r="L326"/>
      <c r="M326"/>
      <c r="N326"/>
    </row>
    <row r="327" s="307" customFormat="1" customHeight="1" spans="1:14">
      <c r="A327" s="57">
        <v>1</v>
      </c>
      <c r="B327" s="57" t="s">
        <v>964</v>
      </c>
      <c r="C327" s="57" t="s">
        <v>965</v>
      </c>
      <c r="D327" s="113"/>
      <c r="E327" s="113">
        <f>SUM(E328:E329)</f>
        <v>17.8</v>
      </c>
      <c r="F327" s="84">
        <f>SUM(F328:F329)</f>
        <v>102.706</v>
      </c>
      <c r="H327"/>
      <c r="I327"/>
      <c r="J327"/>
      <c r="K327"/>
      <c r="L327"/>
      <c r="M327"/>
      <c r="N327"/>
    </row>
    <row r="328" s="307" customFormat="1" customHeight="1" spans="1:14">
      <c r="A328" s="57"/>
      <c r="B328" s="57" t="s">
        <v>966</v>
      </c>
      <c r="C328" s="57" t="s">
        <v>965</v>
      </c>
      <c r="D328" s="113">
        <f>建筑工程单价分析表!D139</f>
        <v>8.1</v>
      </c>
      <c r="E328" s="113">
        <v>0</v>
      </c>
      <c r="F328" s="84">
        <f>D328*E328</f>
        <v>0</v>
      </c>
      <c r="H328"/>
      <c r="I328"/>
      <c r="J328"/>
      <c r="K328"/>
      <c r="L328"/>
      <c r="M328"/>
      <c r="N328"/>
    </row>
    <row r="329" s="307" customFormat="1" customHeight="1" spans="1:14">
      <c r="A329" s="57"/>
      <c r="B329" s="57" t="s">
        <v>968</v>
      </c>
      <c r="C329" s="57" t="s">
        <v>965</v>
      </c>
      <c r="D329" s="113">
        <f>建筑工程单价分析表!D140</f>
        <v>5.77</v>
      </c>
      <c r="E329" s="113">
        <v>17.8</v>
      </c>
      <c r="F329" s="84">
        <f>D329*E329</f>
        <v>102.706</v>
      </c>
      <c r="H329"/>
      <c r="I329"/>
      <c r="J329"/>
      <c r="K329"/>
      <c r="L329"/>
      <c r="M329"/>
      <c r="N329"/>
    </row>
    <row r="330" s="307" customFormat="1" customHeight="1" spans="1:14">
      <c r="A330" s="57">
        <v>2</v>
      </c>
      <c r="B330" s="57" t="s">
        <v>1219</v>
      </c>
      <c r="C330" s="59"/>
      <c r="D330" s="57"/>
      <c r="E330" s="57"/>
      <c r="F330" s="84">
        <f>F331+F332</f>
        <v>22.1195780394615</v>
      </c>
      <c r="H330"/>
      <c r="I330"/>
      <c r="J330"/>
      <c r="K330"/>
      <c r="L330"/>
      <c r="M330"/>
      <c r="N330"/>
    </row>
    <row r="331" s="307" customFormat="1" customHeight="1" spans="1:14">
      <c r="A331" s="57"/>
      <c r="B331" s="57"/>
      <c r="C331" s="59"/>
      <c r="D331" s="113"/>
      <c r="E331" s="113"/>
      <c r="F331" s="84"/>
      <c r="H331"/>
      <c r="I331"/>
      <c r="J331"/>
      <c r="K331"/>
      <c r="L331"/>
      <c r="M331"/>
      <c r="N331"/>
    </row>
    <row r="332" s="307" customFormat="1" customHeight="1" spans="1:14">
      <c r="A332" s="57"/>
      <c r="B332" s="57" t="s">
        <v>969</v>
      </c>
      <c r="C332" s="59" t="s">
        <v>423</v>
      </c>
      <c r="D332" s="92">
        <f>F327+F333</f>
        <v>221.195780394615</v>
      </c>
      <c r="E332" s="57">
        <v>10</v>
      </c>
      <c r="F332" s="84">
        <f>E332*D332/100</f>
        <v>22.1195780394615</v>
      </c>
      <c r="H332"/>
      <c r="I332"/>
      <c r="J332"/>
      <c r="K332"/>
      <c r="L332"/>
      <c r="M332"/>
      <c r="N332"/>
    </row>
    <row r="333" s="307" customFormat="1" customHeight="1" spans="1:14">
      <c r="A333" s="57">
        <v>3</v>
      </c>
      <c r="B333" s="57" t="s">
        <v>1171</v>
      </c>
      <c r="C333" s="57"/>
      <c r="D333" s="57"/>
      <c r="E333" s="57"/>
      <c r="F333" s="252">
        <f>SUM(F334:F338)</f>
        <v>118.489780394615</v>
      </c>
      <c r="H333"/>
      <c r="I333"/>
      <c r="J333"/>
      <c r="K333"/>
      <c r="L333"/>
      <c r="M333"/>
      <c r="N333"/>
    </row>
    <row r="334" s="307" customFormat="1" customHeight="1" spans="1:14">
      <c r="A334" s="57"/>
      <c r="B334" s="57" t="s">
        <v>1220</v>
      </c>
      <c r="C334" s="57" t="s">
        <v>988</v>
      </c>
      <c r="D334" s="84">
        <f>建筑工程单价分析表!D145</f>
        <v>68.4126713203031</v>
      </c>
      <c r="E334" s="57">
        <v>0.79</v>
      </c>
      <c r="F334" s="113">
        <f t="shared" ref="F334:F336" si="38">D334*E334</f>
        <v>54.0460103430395</v>
      </c>
      <c r="H334"/>
      <c r="I334"/>
      <c r="J334"/>
      <c r="K334"/>
      <c r="L334"/>
      <c r="M334"/>
      <c r="N334"/>
    </row>
    <row r="335" s="307" customFormat="1" customHeight="1" spans="1:14">
      <c r="A335" s="57"/>
      <c r="B335" s="57" t="s">
        <v>1221</v>
      </c>
      <c r="C335" s="57" t="s">
        <v>988</v>
      </c>
      <c r="D335" s="84">
        <f>建筑工程单价分析表!D146</f>
        <v>89.4423446350219</v>
      </c>
      <c r="E335" s="57">
        <v>0.5</v>
      </c>
      <c r="F335" s="113">
        <f t="shared" si="38"/>
        <v>44.7211723175109</v>
      </c>
      <c r="H335"/>
      <c r="I335"/>
      <c r="J335"/>
      <c r="K335"/>
      <c r="L335"/>
      <c r="M335"/>
      <c r="N335"/>
    </row>
    <row r="336" s="307" customFormat="1" customHeight="1" spans="1:14">
      <c r="A336" s="57"/>
      <c r="B336" s="57" t="s">
        <v>1222</v>
      </c>
      <c r="C336" s="57" t="s">
        <v>988</v>
      </c>
      <c r="D336" s="84">
        <f>建筑工程单价分析表!D147</f>
        <v>18.5494315915437</v>
      </c>
      <c r="E336" s="57">
        <v>1</v>
      </c>
      <c r="F336" s="113">
        <f t="shared" si="38"/>
        <v>18.5494315915437</v>
      </c>
      <c r="H336"/>
      <c r="I336"/>
      <c r="J336"/>
      <c r="K336"/>
      <c r="L336"/>
      <c r="M336"/>
      <c r="N336"/>
    </row>
    <row r="337" s="307" customFormat="1" customHeight="1" spans="1:14">
      <c r="A337" s="57"/>
      <c r="B337" s="57"/>
      <c r="C337" s="57"/>
      <c r="D337" s="84"/>
      <c r="E337" s="57"/>
      <c r="F337" s="113"/>
      <c r="H337"/>
      <c r="I337"/>
      <c r="J337"/>
      <c r="K337"/>
      <c r="L337"/>
      <c r="M337"/>
      <c r="N337"/>
    </row>
    <row r="338" s="307" customFormat="1" customHeight="1" spans="1:14">
      <c r="A338" s="57"/>
      <c r="B338" s="57" t="s">
        <v>1223</v>
      </c>
      <c r="C338" s="59" t="s">
        <v>423</v>
      </c>
      <c r="D338" s="203">
        <f>SUM(F334:F337)</f>
        <v>117.316614252094</v>
      </c>
      <c r="E338" s="57">
        <v>1</v>
      </c>
      <c r="F338" s="113">
        <f>D338*E338/100</f>
        <v>1.17316614252094</v>
      </c>
      <c r="H338"/>
      <c r="I338"/>
      <c r="J338"/>
      <c r="K338"/>
      <c r="L338"/>
      <c r="M338"/>
      <c r="N338"/>
    </row>
    <row r="339" s="307" customFormat="1" customHeight="1" spans="1:14">
      <c r="A339" s="57" t="s">
        <v>70</v>
      </c>
      <c r="B339" s="57" t="s">
        <v>977</v>
      </c>
      <c r="C339" s="194">
        <f>取费表!$C$4</f>
        <v>0.048</v>
      </c>
      <c r="D339" s="203"/>
      <c r="E339" s="84">
        <f>F326</f>
        <v>243.315358434077</v>
      </c>
      <c r="F339" s="113">
        <f t="shared" ref="F339:F342" si="39">E339*C339</f>
        <v>11.6791372048357</v>
      </c>
      <c r="H339"/>
      <c r="I339"/>
      <c r="J339"/>
      <c r="K339"/>
      <c r="L339"/>
      <c r="M339"/>
      <c r="N339"/>
    </row>
    <row r="340" s="307" customFormat="1" customHeight="1" spans="1:14">
      <c r="A340" s="57"/>
      <c r="B340" s="57"/>
      <c r="C340" s="194"/>
      <c r="D340" s="203"/>
      <c r="E340" s="84"/>
      <c r="F340" s="113"/>
      <c r="H340"/>
      <c r="I340"/>
      <c r="J340"/>
      <c r="K340"/>
      <c r="L340"/>
      <c r="M340"/>
      <c r="N340"/>
    </row>
    <row r="341" s="307" customFormat="1" customHeight="1" spans="1:14">
      <c r="A341" s="57" t="s">
        <v>979</v>
      </c>
      <c r="B341" s="57" t="s">
        <v>973</v>
      </c>
      <c r="C341" s="194">
        <f>取费表!$E$4</f>
        <v>0.04</v>
      </c>
      <c r="D341" s="203"/>
      <c r="E341" s="84">
        <f>F325</f>
        <v>254.994495638912</v>
      </c>
      <c r="F341" s="113">
        <f t="shared" si="39"/>
        <v>10.1997798255565</v>
      </c>
      <c r="H341"/>
      <c r="I341"/>
      <c r="J341"/>
      <c r="K341"/>
      <c r="L341"/>
      <c r="M341"/>
      <c r="N341"/>
    </row>
    <row r="342" s="307" customFormat="1" customHeight="1" spans="1:14">
      <c r="A342" s="57" t="s">
        <v>162</v>
      </c>
      <c r="B342" s="57" t="s">
        <v>980</v>
      </c>
      <c r="C342" s="194">
        <f>取费表!$F$4</f>
        <v>0.05</v>
      </c>
      <c r="D342" s="203"/>
      <c r="E342" s="84">
        <f>F341+F325</f>
        <v>265.194275464469</v>
      </c>
      <c r="F342" s="113">
        <f t="shared" si="39"/>
        <v>13.2597137732234</v>
      </c>
      <c r="H342"/>
      <c r="I342"/>
      <c r="J342"/>
      <c r="K342"/>
      <c r="L342"/>
      <c r="M342"/>
      <c r="N342"/>
    </row>
    <row r="343" s="307" customFormat="1" customHeight="1" spans="1:14">
      <c r="A343" s="57" t="s">
        <v>214</v>
      </c>
      <c r="B343" s="57" t="s">
        <v>1173</v>
      </c>
      <c r="C343" s="59"/>
      <c r="D343" s="203"/>
      <c r="E343" s="84"/>
      <c r="F343" s="113">
        <f>F344</f>
        <v>63.76806</v>
      </c>
      <c r="H343"/>
      <c r="I343"/>
      <c r="J343"/>
      <c r="K343"/>
      <c r="L343"/>
      <c r="M343"/>
      <c r="N343"/>
    </row>
    <row r="344" s="307" customFormat="1" customHeight="1" spans="1:14">
      <c r="A344" s="57"/>
      <c r="B344" s="57" t="s">
        <v>1174</v>
      </c>
      <c r="C344" s="59" t="s">
        <v>184</v>
      </c>
      <c r="D344" s="84">
        <f>建筑工程单价分析表!D154</f>
        <v>4.86</v>
      </c>
      <c r="E344" s="84">
        <f>E334*台时!G14+新定额单价!E335*台时!E14</f>
        <v>13.121</v>
      </c>
      <c r="F344" s="113">
        <f>E344*D344</f>
        <v>63.76806</v>
      </c>
      <c r="H344"/>
      <c r="I344"/>
      <c r="J344"/>
      <c r="K344"/>
      <c r="L344"/>
      <c r="M344"/>
      <c r="N344"/>
    </row>
    <row r="345" s="307" customFormat="1" customHeight="1" spans="1:14">
      <c r="A345" s="57" t="s">
        <v>327</v>
      </c>
      <c r="B345" s="57" t="s">
        <v>976</v>
      </c>
      <c r="C345" s="195">
        <f>建筑工程单价分析表!C155</f>
        <v>0.09</v>
      </c>
      <c r="D345" s="84"/>
      <c r="E345" s="88">
        <f>F343+F342+F341+F325</f>
        <v>342.222049237692</v>
      </c>
      <c r="F345" s="113">
        <f>E345*C345</f>
        <v>30.7999844313923</v>
      </c>
      <c r="H345"/>
      <c r="I345"/>
      <c r="J345"/>
      <c r="K345"/>
      <c r="L345"/>
      <c r="M345"/>
      <c r="N345"/>
    </row>
    <row r="346" s="307" customFormat="1" customHeight="1" spans="1:14">
      <c r="A346" s="57"/>
      <c r="B346" s="57" t="s">
        <v>984</v>
      </c>
      <c r="C346" s="195"/>
      <c r="D346" s="84"/>
      <c r="E346" s="88"/>
      <c r="F346" s="113">
        <f>(F325+F341+F342+F343+F345)*取费表!H4</f>
        <v>11.1906610100725</v>
      </c>
      <c r="H346"/>
      <c r="I346"/>
      <c r="J346"/>
      <c r="K346"/>
      <c r="L346"/>
      <c r="M346"/>
      <c r="N346"/>
    </row>
    <row r="347" s="307" customFormat="1" customHeight="1" spans="1:14">
      <c r="A347" s="57"/>
      <c r="B347" s="57" t="s">
        <v>278</v>
      </c>
      <c r="C347" s="57"/>
      <c r="D347" s="57"/>
      <c r="E347" s="57"/>
      <c r="F347" s="113">
        <f>F345+F343+F342+F341+F325+F346</f>
        <v>384.212694679157</v>
      </c>
      <c r="H347"/>
      <c r="I347"/>
      <c r="J347"/>
      <c r="K347"/>
      <c r="L347"/>
      <c r="M347"/>
      <c r="N347"/>
    </row>
    <row r="348" s="307" customFormat="1" customHeight="1" spans="1:14">
      <c r="A348" s="58"/>
      <c r="B348" s="57"/>
      <c r="C348" s="59"/>
      <c r="D348" s="58"/>
      <c r="E348" s="57"/>
      <c r="F348" s="113"/>
      <c r="H348"/>
      <c r="I348"/>
      <c r="J348"/>
      <c r="K348"/>
      <c r="L348"/>
      <c r="M348"/>
      <c r="N348"/>
    </row>
    <row r="349" s="307" customFormat="1" customHeight="1" spans="1:14">
      <c r="A349" s="58"/>
      <c r="B349" s="57"/>
      <c r="C349" s="59"/>
      <c r="D349" s="58"/>
      <c r="E349" s="57"/>
      <c r="F349" s="113"/>
      <c r="H349"/>
      <c r="I349"/>
      <c r="J349"/>
      <c r="K349"/>
      <c r="L349"/>
      <c r="M349"/>
      <c r="N349"/>
    </row>
    <row r="350" s="307" customFormat="1" customHeight="1" spans="1:14">
      <c r="A350" s="58"/>
      <c r="B350" s="57"/>
      <c r="C350" s="59"/>
      <c r="D350" s="58"/>
      <c r="E350" s="57"/>
      <c r="F350" s="113"/>
      <c r="H350"/>
      <c r="I350"/>
      <c r="J350"/>
      <c r="K350"/>
      <c r="L350"/>
      <c r="M350"/>
      <c r="N350"/>
    </row>
    <row r="351" s="307" customFormat="1" customHeight="1" spans="1:14">
      <c r="A351" s="58"/>
      <c r="B351" s="57"/>
      <c r="C351" s="59"/>
      <c r="D351" s="58"/>
      <c r="E351" s="57"/>
      <c r="F351" s="113"/>
      <c r="H351"/>
      <c r="I351"/>
      <c r="J351"/>
      <c r="K351"/>
      <c r="L351"/>
      <c r="M351"/>
      <c r="N351"/>
    </row>
    <row r="352" s="307" customFormat="1" customHeight="1" spans="1:14">
      <c r="A352" s="58"/>
      <c r="B352" s="57"/>
      <c r="C352" s="59"/>
      <c r="D352" s="58"/>
      <c r="E352" s="57"/>
      <c r="F352" s="113"/>
      <c r="H352"/>
      <c r="I352"/>
      <c r="J352"/>
      <c r="K352"/>
      <c r="L352"/>
      <c r="M352"/>
      <c r="N352"/>
    </row>
    <row r="353" s="307" customFormat="1" customHeight="1" spans="1:14">
      <c r="A353" s="58"/>
      <c r="B353" s="57"/>
      <c r="C353" s="59"/>
      <c r="D353" s="58"/>
      <c r="E353" s="57"/>
      <c r="F353" s="113"/>
      <c r="H353"/>
      <c r="I353"/>
      <c r="J353"/>
      <c r="K353"/>
      <c r="L353"/>
      <c r="M353"/>
      <c r="N353"/>
    </row>
    <row r="354" s="307" customFormat="1" customHeight="1" spans="1:14">
      <c r="A354" s="58"/>
      <c r="B354" s="57"/>
      <c r="C354" s="59"/>
      <c r="D354" s="58"/>
      <c r="E354" s="57"/>
      <c r="F354" s="113"/>
      <c r="H354"/>
      <c r="I354"/>
      <c r="J354"/>
      <c r="K354"/>
      <c r="L354"/>
      <c r="M354"/>
      <c r="N354"/>
    </row>
    <row r="355" s="307" customFormat="1" customHeight="1" spans="1:14">
      <c r="A355" s="58"/>
      <c r="B355" s="57"/>
      <c r="C355" s="59"/>
      <c r="D355" s="58"/>
      <c r="E355" s="57"/>
      <c r="F355" s="113"/>
      <c r="H355"/>
      <c r="I355"/>
      <c r="J355"/>
      <c r="K355"/>
      <c r="L355"/>
      <c r="M355"/>
      <c r="N355"/>
    </row>
    <row r="356" s="307" customFormat="1" customHeight="1" spans="1:14">
      <c r="A356" s="58"/>
      <c r="B356" s="57"/>
      <c r="C356" s="59"/>
      <c r="D356" s="58"/>
      <c r="E356" s="57"/>
      <c r="F356" s="113"/>
      <c r="H356"/>
      <c r="I356"/>
      <c r="J356"/>
      <c r="K356"/>
      <c r="L356"/>
      <c r="M356"/>
      <c r="N356"/>
    </row>
    <row r="357" s="307" customFormat="1" customHeight="1" spans="1:14">
      <c r="A357" s="58"/>
      <c r="B357" s="57"/>
      <c r="C357" s="59"/>
      <c r="D357" s="58"/>
      <c r="E357" s="57"/>
      <c r="F357" s="113"/>
      <c r="H357"/>
      <c r="I357"/>
      <c r="J357"/>
      <c r="K357"/>
      <c r="L357"/>
      <c r="M357"/>
      <c r="N357"/>
    </row>
    <row r="358" s="307" customFormat="1" customHeight="1" spans="1:14">
      <c r="A358" s="311" t="s">
        <v>1155</v>
      </c>
      <c r="B358" s="175"/>
      <c r="C358" s="175"/>
      <c r="D358" s="175"/>
      <c r="E358" s="175"/>
      <c r="F358" s="175"/>
      <c r="H358"/>
      <c r="I358"/>
      <c r="J358"/>
      <c r="K358"/>
      <c r="L358"/>
      <c r="M358"/>
      <c r="N358"/>
    </row>
    <row r="359" s="307" customFormat="1" customHeight="1" spans="1:6">
      <c r="A359" s="205" t="s">
        <v>1224</v>
      </c>
      <c r="B359" s="205"/>
      <c r="C359" s="205"/>
      <c r="D359" s="205"/>
      <c r="E359" s="205"/>
      <c r="F359" s="205"/>
    </row>
    <row r="360" s="307" customFormat="1" customHeight="1" spans="1:6">
      <c r="A360" s="190" t="s">
        <v>1225</v>
      </c>
      <c r="B360" s="191"/>
      <c r="C360" s="168"/>
      <c r="D360" s="168"/>
      <c r="E360" s="191" t="s">
        <v>1159</v>
      </c>
      <c r="F360" s="191"/>
    </row>
    <row r="361" s="307" customFormat="1" customHeight="1" spans="1:6">
      <c r="A361" s="197" t="s">
        <v>1218</v>
      </c>
      <c r="B361" s="192"/>
      <c r="C361" s="201"/>
      <c r="D361" s="201"/>
      <c r="E361" s="201"/>
      <c r="F361" s="202"/>
    </row>
    <row r="362" s="307" customFormat="1" customHeight="1" spans="1:6">
      <c r="A362" s="57" t="s">
        <v>354</v>
      </c>
      <c r="B362" s="57" t="s">
        <v>956</v>
      </c>
      <c r="C362" s="57" t="s">
        <v>52</v>
      </c>
      <c r="D362" s="57" t="s">
        <v>855</v>
      </c>
      <c r="E362" s="57" t="s">
        <v>53</v>
      </c>
      <c r="F362" s="57" t="s">
        <v>306</v>
      </c>
    </row>
    <row r="363" s="307" customFormat="1" customHeight="1" spans="1:6">
      <c r="A363" s="57" t="s">
        <v>959</v>
      </c>
      <c r="B363" s="57" t="s">
        <v>960</v>
      </c>
      <c r="C363" s="57"/>
      <c r="D363" s="57"/>
      <c r="E363" s="57"/>
      <c r="F363" s="84">
        <f>F364+F377+F378</f>
        <v>439.213541937418</v>
      </c>
    </row>
    <row r="364" s="307" customFormat="1" customHeight="1" spans="1:6">
      <c r="A364" s="57" t="s">
        <v>59</v>
      </c>
      <c r="B364" s="57" t="s">
        <v>957</v>
      </c>
      <c r="C364" s="57"/>
      <c r="D364" s="57"/>
      <c r="E364" s="57"/>
      <c r="F364" s="84">
        <f>F365+F368+F371</f>
        <v>419.096891161659</v>
      </c>
    </row>
    <row r="365" s="307" customFormat="1" customHeight="1" spans="1:6">
      <c r="A365" s="57">
        <v>1</v>
      </c>
      <c r="B365" s="57" t="s">
        <v>964</v>
      </c>
      <c r="C365" s="57" t="s">
        <v>965</v>
      </c>
      <c r="D365" s="113"/>
      <c r="E365" s="113">
        <f>SUM(E366:E367)</f>
        <v>20</v>
      </c>
      <c r="F365" s="84">
        <f>SUM(F366:F367)</f>
        <v>115.4</v>
      </c>
    </row>
    <row r="366" s="307" customFormat="1" customHeight="1" spans="1:6">
      <c r="A366" s="57"/>
      <c r="B366" s="57" t="s">
        <v>966</v>
      </c>
      <c r="C366" s="57" t="s">
        <v>965</v>
      </c>
      <c r="D366" s="113">
        <f>D328</f>
        <v>8.1</v>
      </c>
      <c r="E366" s="113">
        <v>0</v>
      </c>
      <c r="F366" s="84">
        <f t="shared" ref="F366:F369" si="40">D366*E366</f>
        <v>0</v>
      </c>
    </row>
    <row r="367" s="307" customFormat="1" customHeight="1" spans="1:6">
      <c r="A367" s="57"/>
      <c r="B367" s="57" t="s">
        <v>968</v>
      </c>
      <c r="C367" s="57" t="s">
        <v>965</v>
      </c>
      <c r="D367" s="113">
        <f>D329</f>
        <v>5.77</v>
      </c>
      <c r="E367" s="113">
        <f>20</f>
        <v>20</v>
      </c>
      <c r="F367" s="84">
        <f t="shared" si="40"/>
        <v>115.4</v>
      </c>
    </row>
    <row r="368" s="307" customFormat="1" customHeight="1" spans="1:6">
      <c r="A368" s="57">
        <v>2</v>
      </c>
      <c r="B368" s="57" t="s">
        <v>1219</v>
      </c>
      <c r="C368" s="59"/>
      <c r="D368" s="57"/>
      <c r="E368" s="57"/>
      <c r="F368" s="84">
        <f>F369+F370</f>
        <v>38.0997173783326</v>
      </c>
    </row>
    <row r="369" s="307" customFormat="1" customHeight="1" spans="1:6">
      <c r="A369" s="57"/>
      <c r="B369" s="57" t="s">
        <v>1022</v>
      </c>
      <c r="C369" s="59" t="s">
        <v>1226</v>
      </c>
      <c r="D369" s="113"/>
      <c r="E369" s="113"/>
      <c r="F369" s="84">
        <f t="shared" si="40"/>
        <v>0</v>
      </c>
    </row>
    <row r="370" s="307" customFormat="1" customHeight="1" spans="1:6">
      <c r="A370" s="57"/>
      <c r="B370" s="57" t="s">
        <v>969</v>
      </c>
      <c r="C370" s="59" t="s">
        <v>423</v>
      </c>
      <c r="D370" s="92">
        <f>F365+F371</f>
        <v>380.997173783326</v>
      </c>
      <c r="E370" s="57">
        <v>10</v>
      </c>
      <c r="F370" s="84">
        <f>E370*D370/100</f>
        <v>38.0997173783326</v>
      </c>
    </row>
    <row r="371" s="307" customFormat="1" customHeight="1" spans="1:6">
      <c r="A371" s="57">
        <v>3</v>
      </c>
      <c r="B371" s="57" t="s">
        <v>1171</v>
      </c>
      <c r="C371" s="57"/>
      <c r="D371" s="57"/>
      <c r="E371" s="57"/>
      <c r="F371" s="252">
        <f>SUM(F372:F376)</f>
        <v>265.597173783326</v>
      </c>
    </row>
    <row r="372" s="307" customFormat="1" customHeight="1" spans="1:6">
      <c r="A372" s="57"/>
      <c r="B372" s="57" t="s">
        <v>1227</v>
      </c>
      <c r="C372" s="57" t="s">
        <v>988</v>
      </c>
      <c r="D372" s="84">
        <f>台时!C21</f>
        <v>118.94887754288</v>
      </c>
      <c r="E372" s="57">
        <v>1.43</v>
      </c>
      <c r="F372" s="113">
        <f t="shared" ref="F372:F375" si="41">D372*E372</f>
        <v>170.096894886318</v>
      </c>
    </row>
    <row r="373" s="307" customFormat="1" customHeight="1" spans="1:6">
      <c r="A373" s="57"/>
      <c r="B373" s="57" t="s">
        <v>1221</v>
      </c>
      <c r="C373" s="57" t="s">
        <v>988</v>
      </c>
      <c r="D373" s="113">
        <f>台时!E21</f>
        <v>89.4423446350219</v>
      </c>
      <c r="E373" s="57">
        <v>0.5</v>
      </c>
      <c r="F373" s="113">
        <f t="shared" si="41"/>
        <v>44.721172317511</v>
      </c>
    </row>
    <row r="374" s="307" customFormat="1" customHeight="1" spans="1:6">
      <c r="A374" s="57"/>
      <c r="B374" s="57" t="s">
        <v>1222</v>
      </c>
      <c r="C374" s="57" t="s">
        <v>988</v>
      </c>
      <c r="D374" s="113">
        <f>台时!H21</f>
        <v>18.5494315915437</v>
      </c>
      <c r="E374" s="57">
        <v>1</v>
      </c>
      <c r="F374" s="113">
        <f t="shared" si="41"/>
        <v>18.5494315915437</v>
      </c>
    </row>
    <row r="375" s="307" customFormat="1" customHeight="1" spans="1:6">
      <c r="A375" s="57"/>
      <c r="B375" s="57" t="s">
        <v>1228</v>
      </c>
      <c r="C375" s="57" t="s">
        <v>988</v>
      </c>
      <c r="D375" s="113">
        <f>建筑工程单价分析表!D148</f>
        <v>59.2</v>
      </c>
      <c r="E375" s="57">
        <v>0.5</v>
      </c>
      <c r="F375" s="113">
        <f t="shared" si="41"/>
        <v>29.6</v>
      </c>
    </row>
    <row r="376" s="307" customFormat="1" customHeight="1" spans="1:6">
      <c r="A376" s="57"/>
      <c r="B376" s="57" t="s">
        <v>1223</v>
      </c>
      <c r="C376" s="59" t="s">
        <v>423</v>
      </c>
      <c r="D376" s="203">
        <f>SUM(F372:F375)</f>
        <v>262.967498795373</v>
      </c>
      <c r="E376" s="57">
        <v>1</v>
      </c>
      <c r="F376" s="113">
        <f>D376*E376/100</f>
        <v>2.62967498795373</v>
      </c>
    </row>
    <row r="377" s="307" customFormat="1" customHeight="1" spans="1:6">
      <c r="A377" s="57" t="s">
        <v>70</v>
      </c>
      <c r="B377" s="57" t="s">
        <v>977</v>
      </c>
      <c r="C377" s="194">
        <f>取费表!$C$4</f>
        <v>0.048</v>
      </c>
      <c r="D377" s="203"/>
      <c r="E377" s="84">
        <f>F364</f>
        <v>419.096891161659</v>
      </c>
      <c r="F377" s="113">
        <f t="shared" ref="F377:F380" si="42">E377*C377</f>
        <v>20.1166507757596</v>
      </c>
    </row>
    <row r="378" s="307" customFormat="1" customHeight="1" spans="1:6">
      <c r="A378" s="57"/>
      <c r="B378" s="57"/>
      <c r="C378" s="194"/>
      <c r="D378" s="203"/>
      <c r="E378" s="84"/>
      <c r="F378" s="113"/>
    </row>
    <row r="379" s="307" customFormat="1" customHeight="1" spans="1:6">
      <c r="A379" s="57" t="s">
        <v>979</v>
      </c>
      <c r="B379" s="57" t="s">
        <v>973</v>
      </c>
      <c r="C379" s="194">
        <f>C341</f>
        <v>0.04</v>
      </c>
      <c r="D379" s="203"/>
      <c r="E379" s="84">
        <f>F363</f>
        <v>439.213541937418</v>
      </c>
      <c r="F379" s="113">
        <f t="shared" si="42"/>
        <v>17.5685416774967</v>
      </c>
    </row>
    <row r="380" s="307" customFormat="1" customHeight="1" spans="1:6">
      <c r="A380" s="57" t="s">
        <v>162</v>
      </c>
      <c r="B380" s="57" t="s">
        <v>980</v>
      </c>
      <c r="C380" s="194">
        <f>取费表!$F$4</f>
        <v>0.05</v>
      </c>
      <c r="D380" s="203"/>
      <c r="E380" s="84">
        <f>F379+F363</f>
        <v>456.782083614915</v>
      </c>
      <c r="F380" s="113">
        <f t="shared" si="42"/>
        <v>22.8391041807457</v>
      </c>
    </row>
    <row r="381" s="307" customFormat="1" customHeight="1" spans="1:6">
      <c r="A381" s="57" t="s">
        <v>214</v>
      </c>
      <c r="B381" s="57" t="s">
        <v>1173</v>
      </c>
      <c r="C381" s="59"/>
      <c r="D381" s="203"/>
      <c r="E381" s="84"/>
      <c r="F381" s="113">
        <f>F382</f>
        <v>124.44516</v>
      </c>
    </row>
    <row r="382" s="307" customFormat="1" customHeight="1" spans="1:6">
      <c r="A382" s="57"/>
      <c r="B382" s="57" t="s">
        <v>1174</v>
      </c>
      <c r="C382" s="59" t="s">
        <v>184</v>
      </c>
      <c r="D382" s="84">
        <f>D344</f>
        <v>4.86</v>
      </c>
      <c r="E382" s="84">
        <f>E372*台时!C14+新定额单价!E373*台时!E14</f>
        <v>25.606</v>
      </c>
      <c r="F382" s="113">
        <f>E382*D382</f>
        <v>124.44516</v>
      </c>
    </row>
    <row r="383" s="307" customFormat="1" customHeight="1" spans="1:6">
      <c r="A383" s="57" t="s">
        <v>327</v>
      </c>
      <c r="B383" s="57" t="s">
        <v>976</v>
      </c>
      <c r="C383" s="195">
        <f>C345</f>
        <v>0.09</v>
      </c>
      <c r="D383" s="84"/>
      <c r="E383" s="88">
        <f>F381+F380+F379+F363</f>
        <v>604.066347795661</v>
      </c>
      <c r="F383" s="113">
        <f>E383*C383</f>
        <v>54.3659713016095</v>
      </c>
    </row>
    <row r="384" s="307" customFormat="1" customHeight="1" spans="1:6">
      <c r="A384" s="57"/>
      <c r="B384" s="57" t="s">
        <v>984</v>
      </c>
      <c r="C384" s="195"/>
      <c r="D384" s="84"/>
      <c r="E384" s="88"/>
      <c r="F384" s="113">
        <f>(F363+F379+F380+F381+F383)*取费表!H4</f>
        <v>19.7529695729181</v>
      </c>
    </row>
    <row r="385" s="307" customFormat="1" customHeight="1" spans="1:6">
      <c r="A385" s="57"/>
      <c r="B385" s="57" t="s">
        <v>278</v>
      </c>
      <c r="C385" s="57"/>
      <c r="D385" s="57"/>
      <c r="E385" s="57"/>
      <c r="F385" s="113">
        <f>F383+F381+F380+F379+F363+F384</f>
        <v>678.185288670188</v>
      </c>
    </row>
    <row r="386" s="307" customFormat="1" customHeight="1" spans="1:6">
      <c r="A386" s="58"/>
      <c r="B386" s="57"/>
      <c r="C386" s="59"/>
      <c r="D386" s="58"/>
      <c r="E386" s="57"/>
      <c r="F386" s="113"/>
    </row>
    <row r="387" s="307" customFormat="1" customHeight="1" spans="1:6">
      <c r="A387" s="58"/>
      <c r="B387" s="57"/>
      <c r="C387" s="59"/>
      <c r="D387" s="58"/>
      <c r="E387" s="57"/>
      <c r="F387" s="113"/>
    </row>
    <row r="388" s="307" customFormat="1" customHeight="1" spans="1:6">
      <c r="A388" s="58"/>
      <c r="B388" s="57"/>
      <c r="C388" s="59"/>
      <c r="D388" s="58"/>
      <c r="E388" s="57"/>
      <c r="F388" s="113"/>
    </row>
    <row r="389" s="307" customFormat="1" customHeight="1" spans="1:6">
      <c r="A389" s="58"/>
      <c r="B389" s="57"/>
      <c r="C389" s="59"/>
      <c r="D389" s="58"/>
      <c r="E389" s="57"/>
      <c r="F389" s="113"/>
    </row>
    <row r="390" s="307" customFormat="1" customHeight="1" spans="1:6">
      <c r="A390" s="58"/>
      <c r="B390" s="57"/>
      <c r="C390" s="59"/>
      <c r="D390" s="58"/>
      <c r="E390" s="57"/>
      <c r="F390" s="113"/>
    </row>
    <row r="391" s="307" customFormat="1" customHeight="1" spans="1:6">
      <c r="A391" s="58"/>
      <c r="B391" s="57"/>
      <c r="C391" s="59"/>
      <c r="D391" s="58"/>
      <c r="E391" s="57"/>
      <c r="F391" s="113"/>
    </row>
    <row r="392" s="307" customFormat="1" customHeight="1" spans="1:6">
      <c r="A392" s="58"/>
      <c r="B392" s="57"/>
      <c r="C392" s="59"/>
      <c r="D392" s="58"/>
      <c r="E392" s="57"/>
      <c r="F392" s="113"/>
    </row>
    <row r="393" s="307" customFormat="1" customHeight="1" spans="1:6">
      <c r="A393" s="58"/>
      <c r="B393" s="57"/>
      <c r="C393" s="59"/>
      <c r="D393" s="58"/>
      <c r="E393" s="57"/>
      <c r="F393" s="113"/>
    </row>
    <row r="394" s="307" customFormat="1" customHeight="1" spans="1:6">
      <c r="A394" s="58"/>
      <c r="B394" s="57"/>
      <c r="C394" s="59"/>
      <c r="D394" s="58"/>
      <c r="E394" s="57"/>
      <c r="F394" s="113"/>
    </row>
    <row r="395" s="307" customFormat="1" customHeight="1" spans="1:6">
      <c r="A395" s="58"/>
      <c r="B395" s="57"/>
      <c r="C395" s="59"/>
      <c r="D395" s="58"/>
      <c r="E395" s="57"/>
      <c r="F395" s="113"/>
    </row>
    <row r="396" s="307" customFormat="1" customHeight="1" spans="1:6">
      <c r="A396"/>
      <c r="B396"/>
      <c r="C396"/>
      <c r="D396"/>
      <c r="E396"/>
      <c r="F396"/>
    </row>
    <row r="397" s="307" customFormat="1" customHeight="1" spans="1:6">
      <c r="A397"/>
      <c r="B397"/>
      <c r="C397"/>
      <c r="D397"/>
      <c r="E397"/>
      <c r="F397"/>
    </row>
    <row r="398" s="307" customFormat="1" customHeight="1" spans="1:6">
      <c r="A398"/>
      <c r="B398"/>
      <c r="C398"/>
      <c r="D398"/>
      <c r="E398"/>
      <c r="F398"/>
    </row>
    <row r="399" s="307" customFormat="1" customHeight="1" spans="1:6">
      <c r="A399"/>
      <c r="B399"/>
      <c r="C399"/>
      <c r="D399"/>
      <c r="E399"/>
      <c r="F399"/>
    </row>
    <row r="400" s="307" customFormat="1" customHeight="1" spans="1:6">
      <c r="A400"/>
      <c r="B400"/>
      <c r="C400"/>
      <c r="D400"/>
      <c r="E400"/>
      <c r="F400"/>
    </row>
    <row r="401" s="307" customFormat="1" customHeight="1" spans="1:6">
      <c r="A401"/>
      <c r="B401"/>
      <c r="C401"/>
      <c r="D401"/>
      <c r="E401"/>
      <c r="F401"/>
    </row>
    <row r="402" s="307" customFormat="1" customHeight="1" spans="1:6">
      <c r="A402"/>
      <c r="B402"/>
      <c r="C402"/>
      <c r="D402"/>
      <c r="E402"/>
      <c r="F402"/>
    </row>
    <row r="403" s="307" customFormat="1" customHeight="1" spans="1:6">
      <c r="A403"/>
      <c r="B403"/>
      <c r="C403"/>
      <c r="D403"/>
      <c r="E403"/>
      <c r="F403"/>
    </row>
    <row r="404" s="307" customFormat="1" customHeight="1" spans="1:6">
      <c r="A404"/>
      <c r="B404"/>
      <c r="C404"/>
      <c r="D404"/>
      <c r="E404"/>
      <c r="F404"/>
    </row>
    <row r="405" s="307" customFormat="1" customHeight="1" spans="1:6">
      <c r="A405"/>
      <c r="B405"/>
      <c r="C405"/>
      <c r="D405"/>
      <c r="E405"/>
      <c r="F405"/>
    </row>
    <row r="406" s="307" customFormat="1" customHeight="1" spans="1:6">
      <c r="A406"/>
      <c r="B406"/>
      <c r="C406"/>
      <c r="D406"/>
      <c r="E406"/>
      <c r="F406"/>
    </row>
    <row r="407" s="307" customFormat="1" customHeight="1" spans="1:6">
      <c r="A407"/>
      <c r="B407"/>
      <c r="C407"/>
      <c r="D407"/>
      <c r="E407"/>
      <c r="F407"/>
    </row>
    <row r="408" s="307" customFormat="1" customHeight="1" spans="1:6">
      <c r="A408"/>
      <c r="B408"/>
      <c r="C408"/>
      <c r="D408"/>
      <c r="E408"/>
      <c r="F408"/>
    </row>
    <row r="409" s="307" customFormat="1" customHeight="1" spans="1:6">
      <c r="A409"/>
      <c r="B409"/>
      <c r="C409"/>
      <c r="D409"/>
      <c r="E409"/>
      <c r="F409"/>
    </row>
    <row r="410" s="307" customFormat="1" customHeight="1" spans="1:6">
      <c r="A410"/>
      <c r="B410"/>
      <c r="C410"/>
      <c r="D410"/>
      <c r="E410"/>
      <c r="F410"/>
    </row>
    <row r="411" s="307" customFormat="1" customHeight="1" spans="1:6">
      <c r="A411"/>
      <c r="B411"/>
      <c r="C411"/>
      <c r="D411"/>
      <c r="E411"/>
      <c r="F411"/>
    </row>
    <row r="412" s="307" customFormat="1" customHeight="1" spans="1:6">
      <c r="A412"/>
      <c r="B412"/>
      <c r="C412"/>
      <c r="D412"/>
      <c r="E412"/>
      <c r="F412"/>
    </row>
    <row r="413" s="307" customFormat="1" customHeight="1" spans="1:6">
      <c r="A413"/>
      <c r="B413"/>
      <c r="C413"/>
      <c r="D413"/>
      <c r="E413"/>
      <c r="F413"/>
    </row>
    <row r="414" s="307" customFormat="1" customHeight="1" spans="1:6">
      <c r="A414"/>
      <c r="B414"/>
      <c r="C414"/>
      <c r="D414"/>
      <c r="E414"/>
      <c r="F414"/>
    </row>
    <row r="415" s="307" customFormat="1" customHeight="1" spans="1:6">
      <c r="A415"/>
      <c r="B415"/>
      <c r="C415"/>
      <c r="D415"/>
      <c r="E415"/>
      <c r="F415"/>
    </row>
    <row r="416" s="307" customFormat="1" customHeight="1" spans="1:6">
      <c r="A416"/>
      <c r="B416"/>
      <c r="C416"/>
      <c r="D416"/>
      <c r="E416"/>
      <c r="F416"/>
    </row>
    <row r="417" s="307" customFormat="1" customHeight="1" spans="1:6">
      <c r="A417" s="57"/>
      <c r="B417" s="57"/>
      <c r="C417" s="57"/>
      <c r="D417" s="57"/>
      <c r="E417" s="57"/>
      <c r="F417" s="113"/>
    </row>
    <row r="418" s="307" customFormat="1" customHeight="1" spans="1:6">
      <c r="A418" s="57"/>
      <c r="B418" s="57"/>
      <c r="C418" s="57"/>
      <c r="D418" s="57"/>
      <c r="E418" s="57"/>
      <c r="F418" s="113"/>
    </row>
    <row r="419" s="307" customFormat="1" customHeight="1" spans="1:6">
      <c r="A419" s="57"/>
      <c r="B419" s="57"/>
      <c r="C419" s="57"/>
      <c r="D419" s="57"/>
      <c r="E419" s="57"/>
      <c r="F419" s="113"/>
    </row>
    <row r="420" s="307" customFormat="1" customHeight="1" spans="1:6">
      <c r="A420" s="57"/>
      <c r="B420" s="57"/>
      <c r="C420" s="57"/>
      <c r="D420" s="57"/>
      <c r="E420" s="57"/>
      <c r="F420" s="113"/>
    </row>
    <row r="421" s="307" customFormat="1" customHeight="1" spans="1:6">
      <c r="A421" s="57"/>
      <c r="B421" s="57"/>
      <c r="C421" s="57"/>
      <c r="D421" s="57"/>
      <c r="E421" s="57"/>
      <c r="F421" s="113"/>
    </row>
    <row r="422" s="307" customFormat="1" customHeight="1" spans="1:6">
      <c r="A422" s="57"/>
      <c r="B422" s="57"/>
      <c r="C422" s="57"/>
      <c r="D422" s="57"/>
      <c r="E422" s="57"/>
      <c r="F422" s="113"/>
    </row>
    <row r="423" s="307" customFormat="1" customHeight="1" spans="1:6">
      <c r="A423" s="57"/>
      <c r="B423" s="57"/>
      <c r="C423" s="57"/>
      <c r="D423" s="57"/>
      <c r="E423" s="57"/>
      <c r="F423" s="113"/>
    </row>
    <row r="424" s="307" customFormat="1" customHeight="1" spans="1:6">
      <c r="A424" s="57"/>
      <c r="B424" s="57"/>
      <c r="C424" s="57"/>
      <c r="D424" s="57"/>
      <c r="E424" s="57"/>
      <c r="F424" s="113"/>
    </row>
    <row r="425" s="307" customFormat="1" customHeight="1" spans="1:6">
      <c r="A425" s="57"/>
      <c r="B425" s="57"/>
      <c r="C425" s="57"/>
      <c r="D425" s="57"/>
      <c r="E425" s="57"/>
      <c r="F425" s="113"/>
    </row>
    <row r="426" s="307" customFormat="1" customHeight="1" spans="1:6">
      <c r="A426" s="57"/>
      <c r="B426" s="57"/>
      <c r="C426" s="57"/>
      <c r="D426" s="57"/>
      <c r="E426" s="57"/>
      <c r="F426" s="113"/>
    </row>
    <row r="427" s="307" customFormat="1" customHeight="1" spans="1:6">
      <c r="A427" s="57"/>
      <c r="B427" s="57"/>
      <c r="C427" s="57"/>
      <c r="D427" s="57"/>
      <c r="E427" s="57"/>
      <c r="F427" s="113"/>
    </row>
    <row r="428" s="307" customFormat="1" customHeight="1" spans="1:6">
      <c r="A428" s="57"/>
      <c r="B428" s="57"/>
      <c r="C428" s="57"/>
      <c r="D428" s="57"/>
      <c r="E428" s="57"/>
      <c r="F428" s="113"/>
    </row>
    <row r="429" s="307" customFormat="1" customHeight="1" spans="1:6">
      <c r="A429" s="57"/>
      <c r="B429" s="57"/>
      <c r="C429" s="57"/>
      <c r="D429" s="57"/>
      <c r="E429" s="57"/>
      <c r="F429" s="113"/>
    </row>
    <row r="430" s="307" customFormat="1" customHeight="1" spans="1:6">
      <c r="A430" s="57"/>
      <c r="B430" s="57"/>
      <c r="C430" s="57"/>
      <c r="D430" s="57"/>
      <c r="E430" s="57"/>
      <c r="F430" s="113"/>
    </row>
    <row r="431" s="307" customFormat="1" customHeight="1" spans="1:6">
      <c r="A431" s="57"/>
      <c r="B431" s="57"/>
      <c r="C431" s="57"/>
      <c r="D431" s="57"/>
      <c r="E431" s="57"/>
      <c r="F431" s="113"/>
    </row>
    <row r="432" s="307" customFormat="1" customHeight="1" spans="1:6">
      <c r="A432" s="57"/>
      <c r="B432" s="57"/>
      <c r="C432" s="57"/>
      <c r="D432" s="57"/>
      <c r="E432" s="57"/>
      <c r="F432" s="113"/>
    </row>
    <row r="433" s="307" customFormat="1" customHeight="1" spans="1:6">
      <c r="A433" s="57"/>
      <c r="B433" s="57"/>
      <c r="C433" s="57"/>
      <c r="D433" s="57"/>
      <c r="E433" s="57"/>
      <c r="F433" s="113"/>
    </row>
    <row r="434" ht="15.95" customHeight="1" spans="1:11">
      <c r="A434" s="312" t="s">
        <v>1155</v>
      </c>
      <c r="B434" s="312"/>
      <c r="C434" s="312"/>
      <c r="D434" s="312"/>
      <c r="E434" s="312"/>
      <c r="F434" s="312"/>
      <c r="G434" s="312"/>
      <c r="H434" s="312"/>
      <c r="I434" s="312"/>
      <c r="J434" s="312"/>
      <c r="K434" s="312"/>
    </row>
    <row r="435" ht="15.95" customHeight="1" spans="1:11">
      <c r="A435" s="205" t="s">
        <v>1229</v>
      </c>
      <c r="B435" s="205"/>
      <c r="C435" s="205"/>
      <c r="D435" s="205"/>
      <c r="E435" s="205"/>
      <c r="F435" s="205"/>
      <c r="G435" s="205"/>
      <c r="H435" s="205"/>
      <c r="I435" s="205"/>
      <c r="J435" s="205"/>
      <c r="K435" s="205"/>
    </row>
    <row r="436" ht="15.95" customHeight="1" spans="1:11">
      <c r="A436" s="190" t="s">
        <v>1230</v>
      </c>
      <c r="B436" s="191"/>
      <c r="C436" s="168"/>
      <c r="D436" s="168"/>
      <c r="E436" s="191" t="s">
        <v>1159</v>
      </c>
      <c r="F436" s="191"/>
      <c r="G436" s="191"/>
      <c r="H436" s="168"/>
      <c r="I436" s="168"/>
      <c r="J436" s="191" t="s">
        <v>1159</v>
      </c>
      <c r="K436" s="191"/>
    </row>
    <row r="437" ht="15.95" customHeight="1" spans="1:11">
      <c r="A437" s="117" t="s">
        <v>1218</v>
      </c>
      <c r="B437" s="192"/>
      <c r="C437" s="192"/>
      <c r="D437" s="192"/>
      <c r="E437" s="192"/>
      <c r="F437" s="118"/>
      <c r="G437" s="192"/>
      <c r="H437" s="192"/>
      <c r="I437" s="192"/>
      <c r="J437" s="192"/>
      <c r="K437" s="118"/>
    </row>
    <row r="438" ht="15.95" customHeight="1" spans="1:11">
      <c r="A438" s="57" t="s">
        <v>354</v>
      </c>
      <c r="B438" s="57" t="s">
        <v>956</v>
      </c>
      <c r="C438" s="57" t="s">
        <v>52</v>
      </c>
      <c r="D438" s="57" t="s">
        <v>855</v>
      </c>
      <c r="E438" s="57" t="s">
        <v>53</v>
      </c>
      <c r="F438" s="57" t="s">
        <v>306</v>
      </c>
      <c r="G438" s="57" t="s">
        <v>956</v>
      </c>
      <c r="H438" s="57" t="s">
        <v>52</v>
      </c>
      <c r="I438" s="57" t="s">
        <v>855</v>
      </c>
      <c r="J438" s="57" t="s">
        <v>53</v>
      </c>
      <c r="K438" s="57" t="s">
        <v>306</v>
      </c>
    </row>
    <row r="439" ht="15.95" customHeight="1" spans="1:11">
      <c r="A439" s="57" t="s">
        <v>959</v>
      </c>
      <c r="B439" s="57" t="s">
        <v>960</v>
      </c>
      <c r="C439" s="57"/>
      <c r="D439" s="57"/>
      <c r="E439" s="57"/>
      <c r="F439" s="84">
        <f>F440+F450+F451</f>
        <v>15.7367111281293</v>
      </c>
      <c r="G439" s="57" t="s">
        <v>960</v>
      </c>
      <c r="H439" s="57"/>
      <c r="I439" s="57"/>
      <c r="J439" s="57"/>
      <c r="K439" s="84">
        <f>K440+K450+K451</f>
        <v>653.329970275429</v>
      </c>
    </row>
    <row r="440" ht="15.95" customHeight="1" spans="1:11">
      <c r="A440" s="57" t="s">
        <v>59</v>
      </c>
      <c r="B440" s="57" t="s">
        <v>957</v>
      </c>
      <c r="C440" s="57"/>
      <c r="D440" s="57"/>
      <c r="E440" s="57"/>
      <c r="F440" s="84">
        <f>F441+F444+F445</f>
        <v>15.0159457329478</v>
      </c>
      <c r="G440" s="57" t="s">
        <v>957</v>
      </c>
      <c r="H440" s="57"/>
      <c r="I440" s="57"/>
      <c r="J440" s="57"/>
      <c r="K440" s="84">
        <f>K441+K444+K445</f>
        <v>623.406460186478</v>
      </c>
    </row>
    <row r="441" ht="15.95" customHeight="1" spans="1:11">
      <c r="A441" s="57">
        <v>1</v>
      </c>
      <c r="B441" s="57" t="s">
        <v>964</v>
      </c>
      <c r="C441" s="57" t="s">
        <v>965</v>
      </c>
      <c r="D441" s="113"/>
      <c r="E441" s="113">
        <f>SUM(E442:E443)</f>
        <v>0.7</v>
      </c>
      <c r="F441" s="113">
        <f>SUM(F442:F443)</f>
        <v>4.039</v>
      </c>
      <c r="G441" s="57" t="s">
        <v>964</v>
      </c>
      <c r="H441" s="57" t="s">
        <v>965</v>
      </c>
      <c r="I441" s="113"/>
      <c r="J441" s="113">
        <f>SUM(J442:J443)</f>
        <v>22</v>
      </c>
      <c r="K441" s="113">
        <f>SUM(K442:K443)</f>
        <v>126.94</v>
      </c>
    </row>
    <row r="442" s="307" customFormat="1" ht="15.95" customHeight="1" spans="1:11">
      <c r="A442" s="57"/>
      <c r="B442" s="57" t="s">
        <v>966</v>
      </c>
      <c r="C442" s="57" t="s">
        <v>965</v>
      </c>
      <c r="D442" s="113">
        <f>建筑工程单价分析表!D166</f>
        <v>8.1</v>
      </c>
      <c r="E442" s="113">
        <v>0</v>
      </c>
      <c r="F442" s="113">
        <f t="shared" ref="F442:F449" si="43">D442*E442</f>
        <v>0</v>
      </c>
      <c r="G442" s="57" t="s">
        <v>966</v>
      </c>
      <c r="H442" s="57" t="s">
        <v>965</v>
      </c>
      <c r="I442" s="113">
        <f t="shared" ref="I442:I449" si="44">D442</f>
        <v>8.1</v>
      </c>
      <c r="J442" s="113">
        <v>0</v>
      </c>
      <c r="K442" s="113">
        <f t="shared" ref="K442:K449" si="45">I442*J442</f>
        <v>0</v>
      </c>
    </row>
    <row r="443" s="307" customFormat="1" ht="15.95" customHeight="1" spans="1:11">
      <c r="A443" s="57"/>
      <c r="B443" s="57" t="s">
        <v>968</v>
      </c>
      <c r="C443" s="57" t="s">
        <v>965</v>
      </c>
      <c r="D443" s="113">
        <f>建筑工程单价分析表!D167</f>
        <v>5.77</v>
      </c>
      <c r="E443" s="113">
        <v>0.7</v>
      </c>
      <c r="F443" s="113">
        <f t="shared" si="43"/>
        <v>4.039</v>
      </c>
      <c r="G443" s="57" t="s">
        <v>968</v>
      </c>
      <c r="H443" s="57" t="s">
        <v>965</v>
      </c>
      <c r="I443" s="113">
        <f t="shared" si="44"/>
        <v>5.77</v>
      </c>
      <c r="J443" s="113">
        <v>22</v>
      </c>
      <c r="K443" s="113">
        <f t="shared" si="45"/>
        <v>126.94</v>
      </c>
    </row>
    <row r="444" ht="15.95" customHeight="1" spans="1:11">
      <c r="A444" s="57">
        <v>2</v>
      </c>
      <c r="B444" s="57" t="s">
        <v>969</v>
      </c>
      <c r="C444" s="59" t="s">
        <v>423</v>
      </c>
      <c r="D444" s="84">
        <f>F441+F445</f>
        <v>14.3009006980455</v>
      </c>
      <c r="E444" s="57">
        <v>5</v>
      </c>
      <c r="F444" s="113">
        <f>D444*E444/100</f>
        <v>0.715045034902275</v>
      </c>
      <c r="G444" s="57" t="s">
        <v>969</v>
      </c>
      <c r="H444" s="59" t="s">
        <v>423</v>
      </c>
      <c r="I444" s="84">
        <f>K441+K445</f>
        <v>593.720438272836</v>
      </c>
      <c r="J444" s="57">
        <v>5</v>
      </c>
      <c r="K444" s="113">
        <f>I444*J444/100</f>
        <v>29.6860219136418</v>
      </c>
    </row>
    <row r="445" ht="15.95" customHeight="1" spans="1:11">
      <c r="A445" s="57">
        <v>3</v>
      </c>
      <c r="B445" s="57" t="s">
        <v>1171</v>
      </c>
      <c r="C445" s="57"/>
      <c r="D445" s="57"/>
      <c r="E445" s="57"/>
      <c r="F445" s="113">
        <f>SUM(F446:F449)</f>
        <v>10.2619006980455</v>
      </c>
      <c r="G445" s="57" t="s">
        <v>1171</v>
      </c>
      <c r="H445" s="57"/>
      <c r="I445" s="57"/>
      <c r="J445" s="57"/>
      <c r="K445" s="113">
        <f>SUM(K446:K449)</f>
        <v>466.780438272836</v>
      </c>
    </row>
    <row r="446" ht="15.95" customHeight="1" spans="1:11">
      <c r="A446" s="57"/>
      <c r="B446" s="57" t="s">
        <v>1231</v>
      </c>
      <c r="C446" s="57" t="s">
        <v>988</v>
      </c>
      <c r="D446" s="113">
        <f>台时!C21</f>
        <v>118.94887754288</v>
      </c>
      <c r="E446" s="57"/>
      <c r="F446" s="113">
        <f t="shared" si="43"/>
        <v>0</v>
      </c>
      <c r="G446" s="57" t="s">
        <v>1231</v>
      </c>
      <c r="H446" s="57" t="s">
        <v>988</v>
      </c>
      <c r="I446" s="113">
        <f t="shared" si="44"/>
        <v>118.94887754288</v>
      </c>
      <c r="J446" s="57">
        <v>0.26</v>
      </c>
      <c r="K446" s="113">
        <f t="shared" si="45"/>
        <v>30.9267081611488</v>
      </c>
    </row>
    <row r="447" ht="15.95" customHeight="1" spans="1:11">
      <c r="A447" s="57"/>
      <c r="B447" s="57" t="s">
        <v>1172</v>
      </c>
      <c r="C447" s="57" t="s">
        <v>988</v>
      </c>
      <c r="D447" s="113">
        <f>台时!E21</f>
        <v>89.4423446350219</v>
      </c>
      <c r="E447" s="113"/>
      <c r="F447" s="113">
        <f t="shared" si="43"/>
        <v>0</v>
      </c>
      <c r="G447" s="57" t="s">
        <v>1172</v>
      </c>
      <c r="H447" s="57" t="s">
        <v>988</v>
      </c>
      <c r="I447" s="113">
        <f t="shared" si="44"/>
        <v>89.4423446350219</v>
      </c>
      <c r="J447" s="113">
        <v>3.22</v>
      </c>
      <c r="K447" s="113">
        <f t="shared" si="45"/>
        <v>288.004349724771</v>
      </c>
    </row>
    <row r="448" ht="15.95" customHeight="1" spans="1:11">
      <c r="A448" s="57"/>
      <c r="B448" s="57" t="s">
        <v>1232</v>
      </c>
      <c r="C448" s="57" t="s">
        <v>988</v>
      </c>
      <c r="D448" s="113">
        <f>台时!G21</f>
        <v>68.4126713203031</v>
      </c>
      <c r="E448" s="57">
        <v>0.15</v>
      </c>
      <c r="F448" s="113">
        <f t="shared" si="43"/>
        <v>10.2619006980455</v>
      </c>
      <c r="G448" s="57" t="s">
        <v>1232</v>
      </c>
      <c r="H448" s="57" t="s">
        <v>988</v>
      </c>
      <c r="I448" s="113">
        <f t="shared" si="44"/>
        <v>68.4126713203031</v>
      </c>
      <c r="J448" s="57">
        <v>1.89</v>
      </c>
      <c r="K448" s="113">
        <f t="shared" si="45"/>
        <v>129.299948795373</v>
      </c>
    </row>
    <row r="449" ht="15.95" customHeight="1" spans="1:11">
      <c r="A449" s="57"/>
      <c r="B449" s="57" t="s">
        <v>1222</v>
      </c>
      <c r="C449" s="57" t="s">
        <v>988</v>
      </c>
      <c r="D449" s="113">
        <f>建筑工程单价分析表!D169</f>
        <v>18.5494315915437</v>
      </c>
      <c r="E449" s="57"/>
      <c r="F449" s="113">
        <f t="shared" si="43"/>
        <v>0</v>
      </c>
      <c r="G449" s="57" t="s">
        <v>1222</v>
      </c>
      <c r="H449" s="57" t="s">
        <v>988</v>
      </c>
      <c r="I449" s="113">
        <f t="shared" si="44"/>
        <v>18.5494315915437</v>
      </c>
      <c r="J449" s="57">
        <v>1</v>
      </c>
      <c r="K449" s="113">
        <f t="shared" si="45"/>
        <v>18.5494315915437</v>
      </c>
    </row>
    <row r="450" ht="15.95" customHeight="1" spans="1:11">
      <c r="A450" s="57" t="s">
        <v>70</v>
      </c>
      <c r="B450" s="57" t="s">
        <v>977</v>
      </c>
      <c r="C450" s="194">
        <f>取费表!$C$4</f>
        <v>0.048</v>
      </c>
      <c r="D450" s="113"/>
      <c r="E450" s="84">
        <f>F440</f>
        <v>15.0159457329478</v>
      </c>
      <c r="F450" s="113">
        <f t="shared" ref="F450:F453" si="46">E450*C450</f>
        <v>0.720765395181493</v>
      </c>
      <c r="G450" s="57" t="s">
        <v>977</v>
      </c>
      <c r="H450" s="194">
        <f>取费表!$C$4</f>
        <v>0.048</v>
      </c>
      <c r="I450" s="113"/>
      <c r="J450" s="84">
        <f>K440</f>
        <v>623.406460186478</v>
      </c>
      <c r="K450" s="113">
        <f t="shared" ref="K450:K453" si="47">J450*H450</f>
        <v>29.923510088951</v>
      </c>
    </row>
    <row r="451" ht="15.95" customHeight="1" spans="1:11">
      <c r="A451" s="57"/>
      <c r="B451" s="57"/>
      <c r="C451" s="194"/>
      <c r="D451" s="113"/>
      <c r="E451" s="84"/>
      <c r="F451" s="113"/>
      <c r="G451" s="57"/>
      <c r="H451" s="194"/>
      <c r="I451" s="113"/>
      <c r="J451" s="84"/>
      <c r="K451" s="113"/>
    </row>
    <row r="452" ht="15.95" customHeight="1" spans="1:11">
      <c r="A452" s="57" t="s">
        <v>979</v>
      </c>
      <c r="B452" s="57" t="s">
        <v>973</v>
      </c>
      <c r="C452" s="194">
        <f>取费表!$E$4</f>
        <v>0.04</v>
      </c>
      <c r="D452" s="113"/>
      <c r="E452" s="84">
        <f>F439</f>
        <v>15.7367111281293</v>
      </c>
      <c r="F452" s="113">
        <f t="shared" si="46"/>
        <v>0.629468445125171</v>
      </c>
      <c r="G452" s="57" t="s">
        <v>973</v>
      </c>
      <c r="H452" s="194">
        <f>取费表!$E$4</f>
        <v>0.04</v>
      </c>
      <c r="I452" s="113"/>
      <c r="J452" s="84">
        <f>K439</f>
        <v>653.329970275429</v>
      </c>
      <c r="K452" s="113">
        <f t="shared" si="47"/>
        <v>26.1331988110172</v>
      </c>
    </row>
    <row r="453" ht="15.95" customHeight="1" spans="1:11">
      <c r="A453" s="57" t="s">
        <v>162</v>
      </c>
      <c r="B453" s="57" t="s">
        <v>980</v>
      </c>
      <c r="C453" s="194">
        <f>取费表!$F$4</f>
        <v>0.05</v>
      </c>
      <c r="D453" s="113"/>
      <c r="E453" s="84">
        <f>F452+F439</f>
        <v>16.3661795732544</v>
      </c>
      <c r="F453" s="113">
        <f t="shared" si="46"/>
        <v>0.818308978662722</v>
      </c>
      <c r="G453" s="57" t="s">
        <v>980</v>
      </c>
      <c r="H453" s="194">
        <f>取费表!$F$4</f>
        <v>0.05</v>
      </c>
      <c r="I453" s="113"/>
      <c r="J453" s="84">
        <f>K452+K439</f>
        <v>679.463169086446</v>
      </c>
      <c r="K453" s="113">
        <f t="shared" si="47"/>
        <v>33.9731584543223</v>
      </c>
    </row>
    <row r="454" ht="15.95" customHeight="1" spans="1:11">
      <c r="A454" s="57" t="s">
        <v>214</v>
      </c>
      <c r="B454" s="57" t="s">
        <v>1173</v>
      </c>
      <c r="C454" s="59"/>
      <c r="D454" s="113"/>
      <c r="E454" s="57"/>
      <c r="F454" s="113">
        <f>F455</f>
        <v>7.2171</v>
      </c>
      <c r="G454" s="57" t="s">
        <v>1173</v>
      </c>
      <c r="H454" s="59"/>
      <c r="I454" s="113"/>
      <c r="J454" s="57"/>
      <c r="K454" s="113">
        <f>K455</f>
        <v>274.7601</v>
      </c>
    </row>
    <row r="455" ht="15.95" customHeight="1" spans="1:11">
      <c r="A455" s="57"/>
      <c r="B455" s="57" t="s">
        <v>1174</v>
      </c>
      <c r="C455" s="59" t="s">
        <v>184</v>
      </c>
      <c r="D455" s="113">
        <f>材料预算价!K12-材料预算价!L12</f>
        <v>4.86</v>
      </c>
      <c r="E455" s="88">
        <f>E446*台时!C14+新定额单价!E447*台时!E14+新定额单价!E448*台时!G14</f>
        <v>1.485</v>
      </c>
      <c r="F455" s="113">
        <f>E455*D455</f>
        <v>7.2171</v>
      </c>
      <c r="G455" s="57" t="s">
        <v>1174</v>
      </c>
      <c r="H455" s="59" t="s">
        <v>184</v>
      </c>
      <c r="I455" s="113">
        <f>D455</f>
        <v>4.86</v>
      </c>
      <c r="J455" s="88">
        <f>J446*台时!C14+新定额单价!J447*台时!E14+新定额单价!J448*台时!G14</f>
        <v>56.535</v>
      </c>
      <c r="K455" s="113">
        <f>J455*I455</f>
        <v>274.7601</v>
      </c>
    </row>
    <row r="456" ht="15.95" customHeight="1" spans="1:11">
      <c r="A456" s="57" t="s">
        <v>327</v>
      </c>
      <c r="B456" s="57" t="s">
        <v>976</v>
      </c>
      <c r="C456" s="195">
        <f>建筑工程单价分析表!C175</f>
        <v>0.09</v>
      </c>
      <c r="D456" s="113"/>
      <c r="E456" s="84">
        <f>F454+F453+F452+F439</f>
        <v>24.4015885519172</v>
      </c>
      <c r="F456" s="113">
        <f>E456*C456</f>
        <v>2.19614296967254</v>
      </c>
      <c r="G456" s="57" t="s">
        <v>976</v>
      </c>
      <c r="H456" s="195">
        <f>C456</f>
        <v>0.09</v>
      </c>
      <c r="I456" s="113"/>
      <c r="J456" s="84">
        <f>K454+K453+K452+K439</f>
        <v>988.196427540769</v>
      </c>
      <c r="K456" s="113">
        <f>J456*H456</f>
        <v>88.9376784786692</v>
      </c>
    </row>
    <row r="457" ht="15.95" customHeight="1" spans="1:11">
      <c r="A457" s="57"/>
      <c r="B457" s="57" t="s">
        <v>984</v>
      </c>
      <c r="C457" s="195"/>
      <c r="D457" s="113"/>
      <c r="E457" s="84"/>
      <c r="F457" s="113">
        <f>(F439+F452+F453+F454+F456)*取费表!H4</f>
        <v>0.797931945647691</v>
      </c>
      <c r="G457" s="57" t="s">
        <v>984</v>
      </c>
      <c r="H457" s="195"/>
      <c r="I457" s="113"/>
      <c r="J457" s="84"/>
      <c r="K457" s="113">
        <f>(K439+K452+K453+K454+K456)*取费表!H4</f>
        <v>32.3140231805831</v>
      </c>
    </row>
    <row r="458" ht="15.95" customHeight="1" spans="1:11">
      <c r="A458" s="57"/>
      <c r="B458" s="57" t="s">
        <v>278</v>
      </c>
      <c r="C458" s="57"/>
      <c r="D458" s="113"/>
      <c r="E458" s="57"/>
      <c r="F458" s="113">
        <f>F456+F454+F453+F452+F439+F457</f>
        <v>27.3956634672374</v>
      </c>
      <c r="G458" s="57" t="s">
        <v>278</v>
      </c>
      <c r="H458" s="57"/>
      <c r="I458" s="113"/>
      <c r="J458" s="57"/>
      <c r="K458" s="113">
        <f>K456+K454+K453+K452+K439+K457</f>
        <v>1109.44812920002</v>
      </c>
    </row>
    <row r="459" ht="15.95" customHeight="1" spans="1:6">
      <c r="A459" s="313" t="s">
        <v>1155</v>
      </c>
      <c r="B459" s="313"/>
      <c r="C459" s="313"/>
      <c r="D459" s="313"/>
      <c r="E459" s="313"/>
      <c r="F459" s="313"/>
    </row>
    <row r="460" ht="15.95" customHeight="1" spans="1:6">
      <c r="A460" s="205" t="s">
        <v>1233</v>
      </c>
      <c r="B460" s="205"/>
      <c r="C460" s="205"/>
      <c r="D460" s="205"/>
      <c r="E460" s="205"/>
      <c r="F460" s="205"/>
    </row>
    <row r="461" ht="15.95" customHeight="1" spans="1:6">
      <c r="A461" s="190" t="s">
        <v>1234</v>
      </c>
      <c r="B461" s="190"/>
      <c r="C461" s="168"/>
      <c r="D461" s="168"/>
      <c r="E461" s="191" t="s">
        <v>1159</v>
      </c>
      <c r="F461" s="191"/>
    </row>
    <row r="462" ht="15.95" customHeight="1" spans="1:6">
      <c r="A462" s="197" t="s">
        <v>1235</v>
      </c>
      <c r="B462" s="201"/>
      <c r="C462" s="201"/>
      <c r="D462" s="201"/>
      <c r="E462" s="201"/>
      <c r="F462" s="202"/>
    </row>
    <row r="463" ht="15.95" customHeight="1" spans="1:6">
      <c r="A463" s="57" t="s">
        <v>354</v>
      </c>
      <c r="B463" s="57" t="s">
        <v>956</v>
      </c>
      <c r="C463" s="57" t="s">
        <v>52</v>
      </c>
      <c r="D463" s="57" t="s">
        <v>855</v>
      </c>
      <c r="E463" s="57" t="s">
        <v>53</v>
      </c>
      <c r="F463" s="57" t="s">
        <v>306</v>
      </c>
    </row>
    <row r="464" ht="15.95" customHeight="1" spans="1:6">
      <c r="A464" s="57" t="s">
        <v>959</v>
      </c>
      <c r="B464" s="57" t="s">
        <v>960</v>
      </c>
      <c r="C464" s="57"/>
      <c r="D464" s="57"/>
      <c r="E464" s="57"/>
      <c r="F464" s="84">
        <f>F465+F470+F471</f>
        <v>110.4779592</v>
      </c>
    </row>
    <row r="465" ht="15.95" customHeight="1" spans="1:6">
      <c r="A465" s="57" t="s">
        <v>59</v>
      </c>
      <c r="B465" s="57" t="s">
        <v>957</v>
      </c>
      <c r="C465" s="57"/>
      <c r="D465" s="57"/>
      <c r="E465" s="57"/>
      <c r="F465" s="84">
        <f>F466+F469</f>
        <v>105.4179</v>
      </c>
    </row>
    <row r="466" ht="15.95" customHeight="1" spans="1:6">
      <c r="A466" s="57">
        <v>1</v>
      </c>
      <c r="B466" s="57" t="s">
        <v>964</v>
      </c>
      <c r="C466" s="57" t="s">
        <v>965</v>
      </c>
      <c r="D466" s="113"/>
      <c r="E466" s="113">
        <f>SUM(E467:E468)</f>
        <v>17.4</v>
      </c>
      <c r="F466" s="113">
        <f>SUM(F467:F468)</f>
        <v>100.398</v>
      </c>
    </row>
    <row r="467" ht="15.95" customHeight="1" spans="1:6">
      <c r="A467" s="57"/>
      <c r="B467" s="57" t="s">
        <v>966</v>
      </c>
      <c r="C467" s="57" t="s">
        <v>965</v>
      </c>
      <c r="D467" s="113">
        <f>D442</f>
        <v>8.1</v>
      </c>
      <c r="E467" s="113"/>
      <c r="F467" s="113">
        <f>D467*E467</f>
        <v>0</v>
      </c>
    </row>
    <row r="468" ht="15.95" customHeight="1" spans="1:6">
      <c r="A468" s="57"/>
      <c r="B468" s="57" t="s">
        <v>968</v>
      </c>
      <c r="C468" s="57" t="s">
        <v>965</v>
      </c>
      <c r="D468" s="113">
        <f>D443</f>
        <v>5.77</v>
      </c>
      <c r="E468" s="113">
        <v>17.4</v>
      </c>
      <c r="F468" s="113">
        <f>D468*E468</f>
        <v>100.398</v>
      </c>
    </row>
    <row r="469" ht="15.95" customHeight="1" spans="1:6">
      <c r="A469" s="57">
        <v>3</v>
      </c>
      <c r="B469" s="57" t="s">
        <v>969</v>
      </c>
      <c r="C469" s="59" t="s">
        <v>423</v>
      </c>
      <c r="D469" s="84">
        <f>F466</f>
        <v>100.398</v>
      </c>
      <c r="E469" s="57">
        <v>5</v>
      </c>
      <c r="F469" s="113">
        <f>D469*E469/100</f>
        <v>5.0199</v>
      </c>
    </row>
    <row r="470" ht="15.95" customHeight="1" spans="1:6">
      <c r="A470" s="57" t="s">
        <v>70</v>
      </c>
      <c r="B470" s="57" t="s">
        <v>977</v>
      </c>
      <c r="C470" s="195">
        <f t="shared" ref="C470:C473" si="48">C450</f>
        <v>0.048</v>
      </c>
      <c r="D470" s="84"/>
      <c r="E470" s="84">
        <f>F465</f>
        <v>105.4179</v>
      </c>
      <c r="F470" s="113">
        <f t="shared" ref="F470:F474" si="49">E470*C470</f>
        <v>5.0600592</v>
      </c>
    </row>
    <row r="471" ht="15.95" customHeight="1" spans="1:6">
      <c r="A471" s="57"/>
      <c r="B471" s="57"/>
      <c r="C471" s="269"/>
      <c r="D471" s="84"/>
      <c r="E471" s="84"/>
      <c r="F471" s="113"/>
    </row>
    <row r="472" ht="15.95" customHeight="1" spans="1:6">
      <c r="A472" s="57" t="s">
        <v>979</v>
      </c>
      <c r="B472" s="57" t="s">
        <v>973</v>
      </c>
      <c r="C472" s="195">
        <f t="shared" si="48"/>
        <v>0.04</v>
      </c>
      <c r="D472" s="84"/>
      <c r="E472" s="84">
        <f>F464</f>
        <v>110.4779592</v>
      </c>
      <c r="F472" s="113">
        <f t="shared" si="49"/>
        <v>4.419118368</v>
      </c>
    </row>
    <row r="473" ht="15.95" customHeight="1" spans="1:6">
      <c r="A473" s="57" t="s">
        <v>162</v>
      </c>
      <c r="B473" s="57" t="s">
        <v>980</v>
      </c>
      <c r="C473" s="195">
        <f t="shared" si="48"/>
        <v>0.05</v>
      </c>
      <c r="D473" s="84"/>
      <c r="E473" s="84">
        <f>F472+F464</f>
        <v>114.897077568</v>
      </c>
      <c r="F473" s="113">
        <f t="shared" si="49"/>
        <v>5.7448538784</v>
      </c>
    </row>
    <row r="474" ht="15.95" customHeight="1" spans="1:6">
      <c r="A474" s="57" t="s">
        <v>214</v>
      </c>
      <c r="B474" s="57" t="s">
        <v>976</v>
      </c>
      <c r="C474" s="195">
        <f>C456</f>
        <v>0.09</v>
      </c>
      <c r="D474" s="57"/>
      <c r="E474" s="84">
        <f>F473+F472+F464</f>
        <v>120.6419314464</v>
      </c>
      <c r="F474" s="113">
        <f t="shared" si="49"/>
        <v>10.857773830176</v>
      </c>
    </row>
    <row r="475" ht="15.95" customHeight="1" spans="1:6">
      <c r="A475" s="57"/>
      <c r="B475" s="57" t="s">
        <v>984</v>
      </c>
      <c r="C475" s="195"/>
      <c r="D475" s="57"/>
      <c r="E475" s="84"/>
      <c r="F475" s="113">
        <f>(F464+F472+F473+F474)*取费表!H4</f>
        <v>3.94499115829728</v>
      </c>
    </row>
    <row r="476" ht="15.95" customHeight="1" spans="1:6">
      <c r="A476" s="57"/>
      <c r="B476" s="57" t="s">
        <v>278</v>
      </c>
      <c r="C476" s="57"/>
      <c r="D476" s="57"/>
      <c r="E476" s="57"/>
      <c r="F476" s="113">
        <f>F474+F473+F472+F464+F475</f>
        <v>135.444696434873</v>
      </c>
    </row>
    <row r="477" ht="15.95" customHeight="1" spans="1:6">
      <c r="A477" s="312" t="s">
        <v>1155</v>
      </c>
      <c r="B477" s="312"/>
      <c r="C477" s="312"/>
      <c r="D477" s="312"/>
      <c r="E477" s="312"/>
      <c r="F477" s="312"/>
    </row>
    <row r="478" ht="15.95" customHeight="1" spans="1:6">
      <c r="A478" s="205" t="s">
        <v>1236</v>
      </c>
      <c r="B478" s="205"/>
      <c r="C478" s="205"/>
      <c r="D478" s="205"/>
      <c r="E478" s="205"/>
      <c r="F478" s="205"/>
    </row>
    <row r="479" ht="15.95" customHeight="1" spans="1:6">
      <c r="A479" s="190" t="s">
        <v>1237</v>
      </c>
      <c r="B479" s="191"/>
      <c r="C479" s="168"/>
      <c r="D479" s="168"/>
      <c r="E479" s="191" t="s">
        <v>1159</v>
      </c>
      <c r="F479" s="191"/>
    </row>
    <row r="480" ht="15.95" customHeight="1" spans="1:6">
      <c r="A480" s="117" t="s">
        <v>1218</v>
      </c>
      <c r="B480" s="192"/>
      <c r="C480" s="192"/>
      <c r="D480" s="192"/>
      <c r="E480" s="192"/>
      <c r="F480" s="118"/>
    </row>
    <row r="481" ht="15.95" customHeight="1" spans="1:6">
      <c r="A481" s="57" t="s">
        <v>354</v>
      </c>
      <c r="B481" s="57" t="s">
        <v>956</v>
      </c>
      <c r="C481" s="57" t="s">
        <v>52</v>
      </c>
      <c r="D481" s="57" t="s">
        <v>855</v>
      </c>
      <c r="E481" s="57" t="s">
        <v>53</v>
      </c>
      <c r="F481" s="57" t="s">
        <v>306</v>
      </c>
    </row>
    <row r="482" ht="15.95" customHeight="1" spans="1:6">
      <c r="A482" s="57" t="s">
        <v>959</v>
      </c>
      <c r="B482" s="57" t="s">
        <v>960</v>
      </c>
      <c r="C482" s="57"/>
      <c r="D482" s="57"/>
      <c r="E482" s="57"/>
      <c r="F482" s="84">
        <f>F483+F494+F495</f>
        <v>930.101009184914</v>
      </c>
    </row>
    <row r="483" ht="15.95" customHeight="1" spans="1:6">
      <c r="A483" s="57" t="s">
        <v>59</v>
      </c>
      <c r="B483" s="57" t="s">
        <v>957</v>
      </c>
      <c r="C483" s="57"/>
      <c r="D483" s="57"/>
      <c r="E483" s="57"/>
      <c r="F483" s="84">
        <f>F484+F487+F488</f>
        <v>887.500962962704</v>
      </c>
    </row>
    <row r="484" ht="15.95" customHeight="1" spans="1:6">
      <c r="A484" s="57">
        <v>1</v>
      </c>
      <c r="B484" s="57" t="s">
        <v>964</v>
      </c>
      <c r="C484" s="57" t="s">
        <v>965</v>
      </c>
      <c r="D484" s="113"/>
      <c r="E484" s="113">
        <f>SUM(E485:E486)</f>
        <v>22</v>
      </c>
      <c r="F484" s="113">
        <f>SUM(F485:F486)</f>
        <v>126.94</v>
      </c>
    </row>
    <row r="485" ht="15.95" customHeight="1" spans="1:6">
      <c r="A485" s="57"/>
      <c r="B485" s="57" t="s">
        <v>966</v>
      </c>
      <c r="C485" s="57" t="s">
        <v>965</v>
      </c>
      <c r="D485" s="113">
        <f t="shared" ref="D485:D491" si="50">D442</f>
        <v>8.1</v>
      </c>
      <c r="E485" s="113">
        <v>0</v>
      </c>
      <c r="F485" s="113">
        <f t="shared" ref="F485:F493" si="51">D485*E485</f>
        <v>0</v>
      </c>
    </row>
    <row r="486" ht="15.95" customHeight="1" spans="1:6">
      <c r="A486" s="57"/>
      <c r="B486" s="57" t="s">
        <v>968</v>
      </c>
      <c r="C486" s="57" t="s">
        <v>965</v>
      </c>
      <c r="D486" s="113">
        <f t="shared" si="50"/>
        <v>5.77</v>
      </c>
      <c r="E486" s="113">
        <v>22</v>
      </c>
      <c r="F486" s="113">
        <f t="shared" si="51"/>
        <v>126.94</v>
      </c>
    </row>
    <row r="487" ht="15.95" customHeight="1" spans="1:6">
      <c r="A487" s="57">
        <v>2</v>
      </c>
      <c r="B487" s="57" t="s">
        <v>969</v>
      </c>
      <c r="C487" s="59" t="s">
        <v>423</v>
      </c>
      <c r="D487" s="84">
        <f>F484+F488</f>
        <v>845.239012345433</v>
      </c>
      <c r="E487" s="57">
        <v>5</v>
      </c>
      <c r="F487" s="113">
        <f>D487*E487/100</f>
        <v>42.2619506172716</v>
      </c>
    </row>
    <row r="488" ht="15.95" customHeight="1" spans="1:6">
      <c r="A488" s="57">
        <v>3</v>
      </c>
      <c r="B488" s="57" t="s">
        <v>1171</v>
      </c>
      <c r="C488" s="57"/>
      <c r="D488" s="57"/>
      <c r="E488" s="57"/>
      <c r="F488" s="113">
        <f>SUM(F489:F493)</f>
        <v>718.299012345433</v>
      </c>
    </row>
    <row r="489" ht="15.95" customHeight="1" spans="1:6">
      <c r="A489" s="57"/>
      <c r="B489" s="57" t="s">
        <v>1231</v>
      </c>
      <c r="C489" s="57" t="s">
        <v>988</v>
      </c>
      <c r="D489" s="113">
        <f t="shared" si="50"/>
        <v>118.94887754288</v>
      </c>
      <c r="E489" s="57">
        <v>1.69</v>
      </c>
      <c r="F489" s="113">
        <f t="shared" si="51"/>
        <v>201.023603047467</v>
      </c>
    </row>
    <row r="490" ht="15.95" customHeight="1" spans="1:6">
      <c r="A490" s="57"/>
      <c r="B490" s="57" t="s">
        <v>1172</v>
      </c>
      <c r="C490" s="57" t="s">
        <v>988</v>
      </c>
      <c r="D490" s="113">
        <f t="shared" si="50"/>
        <v>89.4423446350219</v>
      </c>
      <c r="E490" s="113">
        <v>2.77</v>
      </c>
      <c r="F490" s="113">
        <f t="shared" si="51"/>
        <v>247.755294639011</v>
      </c>
    </row>
    <row r="491" ht="15.95" customHeight="1" spans="1:6">
      <c r="A491" s="57"/>
      <c r="B491" s="57" t="s">
        <v>1232</v>
      </c>
      <c r="C491" s="57" t="s">
        <v>988</v>
      </c>
      <c r="D491" s="113">
        <f t="shared" si="50"/>
        <v>68.4126713203031</v>
      </c>
      <c r="E491" s="57">
        <v>1.89</v>
      </c>
      <c r="F491" s="113">
        <f t="shared" si="51"/>
        <v>129.299948795373</v>
      </c>
    </row>
    <row r="492" ht="15.95" customHeight="1" spans="1:6">
      <c r="A492" s="57"/>
      <c r="B492" s="57" t="s">
        <v>1238</v>
      </c>
      <c r="C492" s="57" t="s">
        <v>988</v>
      </c>
      <c r="D492" s="113">
        <f>台时!D63</f>
        <v>51.9960402871959</v>
      </c>
      <c r="E492" s="57">
        <v>2.34</v>
      </c>
      <c r="F492" s="113">
        <f t="shared" si="51"/>
        <v>121.670734272038</v>
      </c>
    </row>
    <row r="493" ht="15.95" customHeight="1" spans="1:6">
      <c r="A493" s="57"/>
      <c r="B493" s="57" t="s">
        <v>1222</v>
      </c>
      <c r="C493" s="57" t="s">
        <v>988</v>
      </c>
      <c r="D493" s="113">
        <f>D449</f>
        <v>18.5494315915437</v>
      </c>
      <c r="E493" s="57">
        <v>1</v>
      </c>
      <c r="F493" s="113">
        <f t="shared" si="51"/>
        <v>18.5494315915437</v>
      </c>
    </row>
    <row r="494" ht="15.95" customHeight="1" spans="1:6">
      <c r="A494" s="57" t="s">
        <v>70</v>
      </c>
      <c r="B494" s="57" t="s">
        <v>977</v>
      </c>
      <c r="C494" s="194">
        <f>取费表!$C$4</f>
        <v>0.048</v>
      </c>
      <c r="D494" s="113"/>
      <c r="E494" s="84">
        <f>F483</f>
        <v>887.500962962704</v>
      </c>
      <c r="F494" s="113">
        <f t="shared" ref="F494:F497" si="52">E494*C494</f>
        <v>42.6000462222098</v>
      </c>
    </row>
    <row r="495" ht="15.95" customHeight="1" spans="1:6">
      <c r="A495" s="57"/>
      <c r="B495" s="57"/>
      <c r="C495" s="194"/>
      <c r="D495" s="113"/>
      <c r="E495" s="84"/>
      <c r="F495" s="113"/>
    </row>
    <row r="496" ht="15.95" customHeight="1" spans="1:6">
      <c r="A496" s="57" t="s">
        <v>979</v>
      </c>
      <c r="B496" s="57" t="s">
        <v>973</v>
      </c>
      <c r="C496" s="194">
        <f>取费表!$E$4</f>
        <v>0.04</v>
      </c>
      <c r="D496" s="113"/>
      <c r="E496" s="84">
        <f>F482</f>
        <v>930.101009184914</v>
      </c>
      <c r="F496" s="113">
        <f t="shared" si="52"/>
        <v>37.2040403673966</v>
      </c>
    </row>
    <row r="497" ht="15.95" customHeight="1" spans="1:6">
      <c r="A497" s="57" t="s">
        <v>162</v>
      </c>
      <c r="B497" s="57" t="s">
        <v>980</v>
      </c>
      <c r="C497" s="194">
        <f>取费表!$F$4</f>
        <v>0.05</v>
      </c>
      <c r="D497" s="113"/>
      <c r="E497" s="84">
        <f>F496+F482</f>
        <v>967.305049552311</v>
      </c>
      <c r="F497" s="113">
        <f t="shared" si="52"/>
        <v>48.3652524776155</v>
      </c>
    </row>
    <row r="498" ht="15.95" customHeight="1" spans="1:6">
      <c r="A498" s="57" t="s">
        <v>214</v>
      </c>
      <c r="B498" s="57" t="s">
        <v>1173</v>
      </c>
      <c r="C498" s="59"/>
      <c r="D498" s="113"/>
      <c r="E498" s="57"/>
      <c r="F498" s="113">
        <f>F499</f>
        <v>453.7539</v>
      </c>
    </row>
    <row r="499" ht="15.95" customHeight="1" spans="1:6">
      <c r="A499" s="57"/>
      <c r="B499" s="57" t="s">
        <v>1174</v>
      </c>
      <c r="C499" s="59" t="s">
        <v>184</v>
      </c>
      <c r="D499" s="113">
        <f>D455</f>
        <v>4.86</v>
      </c>
      <c r="E499" s="88">
        <f>E489*台时!C14+新定额单价!E490*台时!E14+新定额单价!E491*台时!G14+新定额单价!E492*台时!D56</f>
        <v>93.365</v>
      </c>
      <c r="F499" s="113">
        <f>E499*D499</f>
        <v>453.7539</v>
      </c>
    </row>
    <row r="500" ht="15.95" customHeight="1" spans="1:6">
      <c r="A500" s="57" t="s">
        <v>327</v>
      </c>
      <c r="B500" s="57" t="s">
        <v>976</v>
      </c>
      <c r="C500" s="195">
        <f>C456</f>
        <v>0.09</v>
      </c>
      <c r="D500" s="113"/>
      <c r="E500" s="84">
        <f>F498+F497+F496+F482</f>
        <v>1469.42420202993</v>
      </c>
      <c r="F500" s="113">
        <f>E500*C500</f>
        <v>132.248178182693</v>
      </c>
    </row>
    <row r="501" ht="15.95" customHeight="1" spans="1:6">
      <c r="A501" s="57"/>
      <c r="B501" s="57" t="s">
        <v>984</v>
      </c>
      <c r="C501" s="195"/>
      <c r="D501" s="113"/>
      <c r="E501" s="84"/>
      <c r="F501" s="113">
        <f>(F482+F496+F497+F498+F500)*取费表!H4</f>
        <v>48.0501714063786</v>
      </c>
    </row>
    <row r="502" ht="15.95" customHeight="1" spans="1:6">
      <c r="A502" s="57"/>
      <c r="B502" s="57" t="s">
        <v>278</v>
      </c>
      <c r="C502" s="57"/>
      <c r="D502" s="113"/>
      <c r="E502" s="57"/>
      <c r="F502" s="113">
        <f>F500+F498+F497+F496+F482+F501</f>
        <v>1649.722551619</v>
      </c>
    </row>
    <row r="503" ht="15.95" customHeight="1" spans="1:6">
      <c r="A503" s="57"/>
      <c r="B503" s="57"/>
      <c r="C503" s="57"/>
      <c r="D503" s="57"/>
      <c r="E503" s="57"/>
      <c r="F503" s="113"/>
    </row>
    <row r="504" ht="15.95" customHeight="1" spans="1:6">
      <c r="A504" s="57"/>
      <c r="B504" s="57"/>
      <c r="C504" s="57"/>
      <c r="D504" s="57"/>
      <c r="E504" s="57"/>
      <c r="F504" s="113"/>
    </row>
    <row r="505" ht="15.95" customHeight="1" spans="1:6">
      <c r="A505" s="57"/>
      <c r="B505" s="57"/>
      <c r="C505" s="57"/>
      <c r="D505" s="57"/>
      <c r="E505" s="57"/>
      <c r="F505" s="113"/>
    </row>
    <row r="506" ht="15.95" customHeight="1" spans="1:6">
      <c r="A506" s="57"/>
      <c r="B506" s="57"/>
      <c r="C506" s="57"/>
      <c r="D506" s="57"/>
      <c r="E506" s="57"/>
      <c r="F506" s="113"/>
    </row>
    <row r="507" ht="15.95" customHeight="1" spans="1:6">
      <c r="A507" s="57"/>
      <c r="B507" s="57"/>
      <c r="C507" s="57"/>
      <c r="D507" s="57"/>
      <c r="E507" s="57"/>
      <c r="F507" s="113"/>
    </row>
    <row r="508" ht="15.95" customHeight="1" spans="1:6">
      <c r="A508" s="57"/>
      <c r="B508" s="57"/>
      <c r="C508" s="57"/>
      <c r="D508" s="57"/>
      <c r="E508" s="57"/>
      <c r="F508" s="113"/>
    </row>
    <row r="509" ht="15.95" customHeight="1" spans="1:6">
      <c r="A509" s="57"/>
      <c r="B509" s="57"/>
      <c r="C509" s="57"/>
      <c r="D509" s="57"/>
      <c r="E509" s="57"/>
      <c r="F509" s="113"/>
    </row>
    <row r="510" ht="15.95" customHeight="1" spans="1:6">
      <c r="A510" s="57"/>
      <c r="B510" s="57"/>
      <c r="C510" s="57"/>
      <c r="D510" s="57"/>
      <c r="E510" s="57"/>
      <c r="F510" s="113"/>
    </row>
    <row r="511" ht="15.95" customHeight="1" spans="1:6">
      <c r="A511" s="57"/>
      <c r="B511" s="57"/>
      <c r="C511" s="57"/>
      <c r="D511" s="57"/>
      <c r="E511" s="57"/>
      <c r="F511" s="113"/>
    </row>
    <row r="512" ht="15.95" customHeight="1" spans="1:6">
      <c r="A512" s="57"/>
      <c r="B512" s="57"/>
      <c r="C512" s="57"/>
      <c r="D512" s="57"/>
      <c r="E512" s="57"/>
      <c r="F512" s="113"/>
    </row>
    <row r="513" ht="15.95" customHeight="1" spans="1:6">
      <c r="A513" s="57"/>
      <c r="B513" s="57"/>
      <c r="C513" s="57"/>
      <c r="D513" s="57"/>
      <c r="E513" s="57"/>
      <c r="F513" s="113"/>
    </row>
    <row r="514" ht="15.95" customHeight="1" spans="1:6">
      <c r="A514" s="57"/>
      <c r="B514" s="57"/>
      <c r="C514" s="57"/>
      <c r="D514" s="57"/>
      <c r="E514" s="57"/>
      <c r="F514" s="113"/>
    </row>
    <row r="515" ht="15.95" customHeight="1" spans="1:6">
      <c r="A515" s="57"/>
      <c r="B515" s="57"/>
      <c r="C515" s="57"/>
      <c r="D515" s="57"/>
      <c r="E515" s="57"/>
      <c r="F515" s="113"/>
    </row>
    <row r="516" ht="15.95" customHeight="1" spans="1:6">
      <c r="A516" s="57"/>
      <c r="B516" s="57"/>
      <c r="C516" s="57"/>
      <c r="D516" s="57"/>
      <c r="E516" s="57"/>
      <c r="F516" s="113"/>
    </row>
    <row r="517" ht="15.95" customHeight="1" spans="1:6">
      <c r="A517" s="57"/>
      <c r="B517" s="57"/>
      <c r="C517" s="57"/>
      <c r="D517" s="57"/>
      <c r="E517" s="57"/>
      <c r="F517" s="113"/>
    </row>
    <row r="518" ht="15.95" customHeight="1" spans="1:6">
      <c r="A518" s="57"/>
      <c r="B518" s="57"/>
      <c r="C518" s="57"/>
      <c r="D518" s="57"/>
      <c r="E518" s="57"/>
      <c r="F518" s="113"/>
    </row>
    <row r="519" ht="15.95" customHeight="1" spans="1:6">
      <c r="A519" s="57"/>
      <c r="B519" s="57"/>
      <c r="C519" s="57"/>
      <c r="D519" s="57"/>
      <c r="E519" s="57"/>
      <c r="F519" s="113"/>
    </row>
    <row r="520" customHeight="1" spans="1:11">
      <c r="A520" s="312" t="s">
        <v>1239</v>
      </c>
      <c r="B520" s="312"/>
      <c r="C520" s="312"/>
      <c r="D520" s="312"/>
      <c r="E520" s="312"/>
      <c r="F520" s="312"/>
      <c r="G520" s="312"/>
      <c r="H520" s="312"/>
      <c r="I520" s="312"/>
      <c r="J520" s="312"/>
      <c r="K520" s="312"/>
    </row>
    <row r="521" customHeight="1" spans="1:11">
      <c r="A521" s="325" t="s">
        <v>1240</v>
      </c>
      <c r="B521" s="325"/>
      <c r="C521" s="325"/>
      <c r="D521" s="325"/>
      <c r="E521" s="325"/>
      <c r="F521" s="325"/>
      <c r="G521" s="325"/>
      <c r="H521" s="325"/>
      <c r="I521" s="325"/>
      <c r="J521" s="325"/>
      <c r="K521" s="325"/>
    </row>
    <row r="522" customHeight="1" spans="1:11">
      <c r="A522" s="326" t="s">
        <v>1241</v>
      </c>
      <c r="B522" s="326"/>
      <c r="C522" s="327"/>
      <c r="D522" s="327"/>
      <c r="E522" s="327" t="s">
        <v>1242</v>
      </c>
      <c r="F522" s="327"/>
      <c r="G522" s="326"/>
      <c r="H522" s="327"/>
      <c r="I522" s="327"/>
      <c r="J522" s="327" t="s">
        <v>1242</v>
      </c>
      <c r="K522" s="327"/>
    </row>
    <row r="523" customHeight="1" spans="1:11">
      <c r="A523" s="328" t="s">
        <v>1243</v>
      </c>
      <c r="B523" s="329"/>
      <c r="C523" s="329"/>
      <c r="D523" s="329"/>
      <c r="E523" s="329"/>
      <c r="F523" s="330"/>
      <c r="G523" s="329"/>
      <c r="H523" s="329"/>
      <c r="I523" s="329"/>
      <c r="J523" s="329"/>
      <c r="K523" s="330"/>
    </row>
    <row r="524" customHeight="1" spans="1:11">
      <c r="A524" s="84" t="s">
        <v>354</v>
      </c>
      <c r="B524" s="84" t="s">
        <v>956</v>
      </c>
      <c r="C524" s="84" t="s">
        <v>52</v>
      </c>
      <c r="D524" s="84" t="s">
        <v>855</v>
      </c>
      <c r="E524" s="84" t="s">
        <v>53</v>
      </c>
      <c r="F524" s="84" t="s">
        <v>306</v>
      </c>
      <c r="G524" s="84" t="s">
        <v>956</v>
      </c>
      <c r="H524" s="84" t="s">
        <v>52</v>
      </c>
      <c r="I524" s="84" t="s">
        <v>855</v>
      </c>
      <c r="J524" s="84" t="s">
        <v>53</v>
      </c>
      <c r="K524" s="84" t="s">
        <v>306</v>
      </c>
    </row>
    <row r="525" customHeight="1" spans="1:11">
      <c r="A525" s="84" t="s">
        <v>57</v>
      </c>
      <c r="B525" s="84" t="s">
        <v>960</v>
      </c>
      <c r="C525" s="84"/>
      <c r="D525" s="84"/>
      <c r="E525" s="84"/>
      <c r="F525" s="84">
        <f>F526+F539+F540</f>
        <v>1615.85306679791</v>
      </c>
      <c r="G525" s="84" t="s">
        <v>960</v>
      </c>
      <c r="H525" s="84"/>
      <c r="I525" s="84"/>
      <c r="J525" s="84"/>
      <c r="K525" s="84">
        <f>K526+K539+K540</f>
        <v>6362.52471769966</v>
      </c>
    </row>
    <row r="526" customHeight="1" spans="1:11">
      <c r="A526" s="84" t="s">
        <v>59</v>
      </c>
      <c r="B526" s="84" t="s">
        <v>957</v>
      </c>
      <c r="C526" s="84"/>
      <c r="D526" s="84"/>
      <c r="E526" s="84"/>
      <c r="F526" s="84">
        <f>F527+F530+F536</f>
        <v>1541.84452938732</v>
      </c>
      <c r="G526" s="84" t="s">
        <v>957</v>
      </c>
      <c r="H526" s="84"/>
      <c r="I526" s="84"/>
      <c r="J526" s="84"/>
      <c r="K526" s="84">
        <f>K527+K530+K536</f>
        <v>6071.11137185082</v>
      </c>
    </row>
    <row r="527" customHeight="1" spans="1:11">
      <c r="A527" s="57">
        <v>1</v>
      </c>
      <c r="B527" s="57" t="s">
        <v>964</v>
      </c>
      <c r="C527" s="57" t="s">
        <v>965</v>
      </c>
      <c r="D527" s="113"/>
      <c r="E527" s="113">
        <f>SUM(E528:E529)</f>
        <v>69.9</v>
      </c>
      <c r="F527" s="113">
        <f>SUM(F528:F529)</f>
        <v>431.749</v>
      </c>
      <c r="G527" s="57" t="s">
        <v>964</v>
      </c>
      <c r="H527" s="57" t="s">
        <v>965</v>
      </c>
      <c r="I527" s="113"/>
      <c r="J527" s="113">
        <f>SUM(J528:J529)</f>
        <v>399.6</v>
      </c>
      <c r="K527" s="113">
        <f>SUM(K528:K529)</f>
        <v>2537.294</v>
      </c>
    </row>
    <row r="528" customHeight="1" spans="1:11">
      <c r="A528" s="57"/>
      <c r="B528" s="57" t="s">
        <v>966</v>
      </c>
      <c r="C528" s="57" t="s">
        <v>965</v>
      </c>
      <c r="D528" s="113">
        <f>D485</f>
        <v>8.1</v>
      </c>
      <c r="E528" s="113">
        <v>12.2</v>
      </c>
      <c r="F528" s="113">
        <f t="shared" ref="F528:F535" si="53">D528*E528</f>
        <v>98.82</v>
      </c>
      <c r="G528" s="57" t="s">
        <v>966</v>
      </c>
      <c r="H528" s="57" t="s">
        <v>965</v>
      </c>
      <c r="I528" s="113">
        <f>D528</f>
        <v>8.1</v>
      </c>
      <c r="J528" s="113">
        <v>99.4</v>
      </c>
      <c r="K528" s="113">
        <f t="shared" ref="K528:K535" si="54">I528*J528</f>
        <v>805.14</v>
      </c>
    </row>
    <row r="529" customHeight="1" spans="1:11">
      <c r="A529" s="57"/>
      <c r="B529" s="57" t="s">
        <v>968</v>
      </c>
      <c r="C529" s="57" t="s">
        <v>965</v>
      </c>
      <c r="D529" s="113">
        <f>D486</f>
        <v>5.77</v>
      </c>
      <c r="E529" s="113">
        <v>57.7</v>
      </c>
      <c r="F529" s="113">
        <f t="shared" si="53"/>
        <v>332.929</v>
      </c>
      <c r="G529" s="57" t="s">
        <v>968</v>
      </c>
      <c r="H529" s="57" t="s">
        <v>965</v>
      </c>
      <c r="I529" s="113">
        <f>D529</f>
        <v>5.77</v>
      </c>
      <c r="J529" s="113">
        <v>300.2</v>
      </c>
      <c r="K529" s="113">
        <f t="shared" si="54"/>
        <v>1732.154</v>
      </c>
    </row>
    <row r="530" customHeight="1" spans="1:11">
      <c r="A530" s="331">
        <v>2</v>
      </c>
      <c r="B530" s="84" t="s">
        <v>1219</v>
      </c>
      <c r="C530" s="252"/>
      <c r="D530" s="84"/>
      <c r="E530" s="102"/>
      <c r="F530" s="84">
        <f>SUM(F531:F535)</f>
        <v>963.588</v>
      </c>
      <c r="G530" s="84" t="s">
        <v>1219</v>
      </c>
      <c r="H530" s="252"/>
      <c r="I530" s="84"/>
      <c r="J530" s="102"/>
      <c r="K530" s="84">
        <f>SUM(K531:K535)</f>
        <v>3105.32775</v>
      </c>
    </row>
    <row r="531" customHeight="1" spans="1:11">
      <c r="A531" s="331"/>
      <c r="B531" s="84" t="s">
        <v>1244</v>
      </c>
      <c r="C531" s="84" t="s">
        <v>267</v>
      </c>
      <c r="D531" s="84">
        <v>260</v>
      </c>
      <c r="E531" s="84">
        <v>1.29</v>
      </c>
      <c r="F531" s="84">
        <f t="shared" si="53"/>
        <v>335.4</v>
      </c>
      <c r="G531" s="84" t="s">
        <v>1244</v>
      </c>
      <c r="H531" s="84" t="s">
        <v>267</v>
      </c>
      <c r="I531" s="84">
        <v>260</v>
      </c>
      <c r="J531" s="84">
        <v>3.89</v>
      </c>
      <c r="K531" s="84">
        <f t="shared" si="54"/>
        <v>1011.4</v>
      </c>
    </row>
    <row r="532" customHeight="1" spans="1:11">
      <c r="A532" s="331"/>
      <c r="B532" s="84" t="s">
        <v>1245</v>
      </c>
      <c r="C532" s="84" t="s">
        <v>184</v>
      </c>
      <c r="D532" s="84">
        <v>12</v>
      </c>
      <c r="E532" s="84">
        <v>28.3</v>
      </c>
      <c r="F532" s="84">
        <f t="shared" si="53"/>
        <v>339.6</v>
      </c>
      <c r="G532" s="84" t="s">
        <v>1245</v>
      </c>
      <c r="H532" s="84" t="s">
        <v>184</v>
      </c>
      <c r="I532" s="84">
        <v>12</v>
      </c>
      <c r="J532" s="84">
        <v>90.26</v>
      </c>
      <c r="K532" s="84">
        <f t="shared" si="54"/>
        <v>1083.12</v>
      </c>
    </row>
    <row r="533" customHeight="1" spans="1:11">
      <c r="A533" s="331"/>
      <c r="B533" s="84" t="s">
        <v>1246</v>
      </c>
      <c r="C533" s="84" t="s">
        <v>267</v>
      </c>
      <c r="D533" s="84">
        <v>1.5</v>
      </c>
      <c r="E533" s="84">
        <v>25.5</v>
      </c>
      <c r="F533" s="84">
        <f t="shared" si="53"/>
        <v>38.25</v>
      </c>
      <c r="G533" s="84" t="s">
        <v>1246</v>
      </c>
      <c r="H533" s="84" t="s">
        <v>267</v>
      </c>
      <c r="I533" s="84">
        <v>1.5</v>
      </c>
      <c r="J533" s="84">
        <v>227.94</v>
      </c>
      <c r="K533" s="84">
        <f t="shared" si="54"/>
        <v>341.91</v>
      </c>
    </row>
    <row r="534" customHeight="1" spans="1:11">
      <c r="A534" s="331"/>
      <c r="B534" s="84" t="s">
        <v>1247</v>
      </c>
      <c r="C534" s="84" t="s">
        <v>90</v>
      </c>
      <c r="D534" s="84">
        <v>1.5</v>
      </c>
      <c r="E534" s="84">
        <v>68.9</v>
      </c>
      <c r="F534" s="84">
        <f t="shared" si="53"/>
        <v>103.35</v>
      </c>
      <c r="G534" s="84" t="s">
        <v>1247</v>
      </c>
      <c r="H534" s="84" t="s">
        <v>90</v>
      </c>
      <c r="I534" s="84">
        <v>1.5</v>
      </c>
      <c r="J534" s="84">
        <v>347.35</v>
      </c>
      <c r="K534" s="84">
        <f t="shared" si="54"/>
        <v>521.025</v>
      </c>
    </row>
    <row r="535" customHeight="1" spans="1:11">
      <c r="A535" s="331"/>
      <c r="B535" s="84" t="s">
        <v>1248</v>
      </c>
      <c r="C535" s="252" t="s">
        <v>423</v>
      </c>
      <c r="D535" s="84">
        <f>SUM(F531:F534)</f>
        <v>816.6</v>
      </c>
      <c r="E535" s="102">
        <v>0.18</v>
      </c>
      <c r="F535" s="84">
        <f t="shared" si="53"/>
        <v>146.988</v>
      </c>
      <c r="G535" s="84" t="s">
        <v>1248</v>
      </c>
      <c r="H535" s="252" t="s">
        <v>423</v>
      </c>
      <c r="I535" s="84">
        <f>SUM(K531:K534)</f>
        <v>2957.455</v>
      </c>
      <c r="J535" s="102">
        <v>0.05</v>
      </c>
      <c r="K535" s="84">
        <f t="shared" si="54"/>
        <v>147.87275</v>
      </c>
    </row>
    <row r="536" customHeight="1" spans="1:11">
      <c r="A536" s="331">
        <v>3</v>
      </c>
      <c r="B536" s="84" t="s">
        <v>1171</v>
      </c>
      <c r="C536" s="84"/>
      <c r="D536" s="84"/>
      <c r="E536" s="84"/>
      <c r="F536" s="84">
        <f>F537+F538</f>
        <v>146.507529387315</v>
      </c>
      <c r="G536" s="84" t="s">
        <v>1171</v>
      </c>
      <c r="H536" s="84"/>
      <c r="I536" s="84"/>
      <c r="J536" s="84"/>
      <c r="K536" s="84">
        <f>K537+K538</f>
        <v>428.489621850818</v>
      </c>
    </row>
    <row r="537" customHeight="1" spans="1:11">
      <c r="A537" s="331"/>
      <c r="B537" s="84" t="s">
        <v>1249</v>
      </c>
      <c r="C537" s="84" t="s">
        <v>988</v>
      </c>
      <c r="D537" s="84">
        <f>台时!D126</f>
        <v>23.3255101715197</v>
      </c>
      <c r="E537" s="84">
        <v>5.71</v>
      </c>
      <c r="F537" s="84">
        <f>D537*E537</f>
        <v>133.188663079378</v>
      </c>
      <c r="G537" s="84" t="s">
        <v>1249</v>
      </c>
      <c r="H537" s="84" t="s">
        <v>988</v>
      </c>
      <c r="I537" s="84">
        <f>D537</f>
        <v>23.3255101715197</v>
      </c>
      <c r="J537" s="84">
        <v>16.7</v>
      </c>
      <c r="K537" s="84">
        <f>I537*J537</f>
        <v>389.53601986438</v>
      </c>
    </row>
    <row r="538" customHeight="1" spans="1:11">
      <c r="A538" s="331"/>
      <c r="B538" s="84" t="s">
        <v>1248</v>
      </c>
      <c r="C538" s="252" t="s">
        <v>423</v>
      </c>
      <c r="D538" s="84">
        <f>F537</f>
        <v>133.188663079378</v>
      </c>
      <c r="E538" s="102">
        <v>0.1</v>
      </c>
      <c r="F538" s="84">
        <f>D538*E538</f>
        <v>13.3188663079378</v>
      </c>
      <c r="G538" s="84" t="s">
        <v>1248</v>
      </c>
      <c r="H538" s="252" t="s">
        <v>423</v>
      </c>
      <c r="I538" s="84">
        <f>K537</f>
        <v>389.53601986438</v>
      </c>
      <c r="J538" s="102">
        <v>0.1</v>
      </c>
      <c r="K538" s="84">
        <f>I538*J538</f>
        <v>38.953601986438</v>
      </c>
    </row>
    <row r="539" customHeight="1" spans="1:11">
      <c r="A539" s="84" t="s">
        <v>70</v>
      </c>
      <c r="B539" s="84" t="s">
        <v>977</v>
      </c>
      <c r="C539" s="102">
        <f>取费表!C5</f>
        <v>0.048</v>
      </c>
      <c r="D539" s="84"/>
      <c r="E539" s="88">
        <f>F526</f>
        <v>1541.84452938732</v>
      </c>
      <c r="F539" s="84">
        <f t="shared" ref="F539:F543" si="55">E539*C539</f>
        <v>74.0085374105911</v>
      </c>
      <c r="G539" s="84" t="s">
        <v>977</v>
      </c>
      <c r="H539" s="102">
        <f t="shared" ref="H539:H543" si="56">C539</f>
        <v>0.048</v>
      </c>
      <c r="I539" s="84"/>
      <c r="J539" s="88">
        <f>K526</f>
        <v>6071.11137185082</v>
      </c>
      <c r="K539" s="84">
        <f t="shared" ref="K539:K543" si="57">J539*H539</f>
        <v>291.413345848839</v>
      </c>
    </row>
    <row r="540" customHeight="1" spans="1:11">
      <c r="A540" s="84"/>
      <c r="B540" s="84"/>
      <c r="C540" s="102"/>
      <c r="D540" s="84"/>
      <c r="E540" s="88"/>
      <c r="F540" s="84"/>
      <c r="G540" s="84"/>
      <c r="H540" s="102"/>
      <c r="I540" s="84"/>
      <c r="J540" s="88"/>
      <c r="K540" s="84"/>
    </row>
    <row r="541" customHeight="1" spans="1:11">
      <c r="A541" s="84" t="s">
        <v>979</v>
      </c>
      <c r="B541" s="84" t="s">
        <v>973</v>
      </c>
      <c r="C541" s="102">
        <f>取费表!E5</f>
        <v>0.085</v>
      </c>
      <c r="D541" s="84"/>
      <c r="E541" s="88">
        <f>F526+F539+F540</f>
        <v>1615.85306679791</v>
      </c>
      <c r="F541" s="84">
        <f t="shared" si="55"/>
        <v>137.347510677822</v>
      </c>
      <c r="G541" s="84" t="s">
        <v>973</v>
      </c>
      <c r="H541" s="102">
        <f t="shared" si="56"/>
        <v>0.085</v>
      </c>
      <c r="I541" s="84"/>
      <c r="J541" s="88">
        <f>K526+K539+K540</f>
        <v>6362.52471769966</v>
      </c>
      <c r="K541" s="84">
        <f t="shared" si="57"/>
        <v>540.814601004471</v>
      </c>
    </row>
    <row r="542" customHeight="1" spans="1:11">
      <c r="A542" s="84" t="s">
        <v>162</v>
      </c>
      <c r="B542" s="84" t="s">
        <v>980</v>
      </c>
      <c r="C542" s="102">
        <f>取费表!F5</f>
        <v>0.05</v>
      </c>
      <c r="D542" s="84"/>
      <c r="E542" s="88">
        <f>F525+F541</f>
        <v>1753.20057747573</v>
      </c>
      <c r="F542" s="84">
        <f t="shared" si="55"/>
        <v>87.6600288737864</v>
      </c>
      <c r="G542" s="84" t="s">
        <v>980</v>
      </c>
      <c r="H542" s="102">
        <f t="shared" si="56"/>
        <v>0.05</v>
      </c>
      <c r="I542" s="84"/>
      <c r="J542" s="88">
        <f>K525+K541</f>
        <v>6903.33931870413</v>
      </c>
      <c r="K542" s="84">
        <f t="shared" si="57"/>
        <v>345.166965935206</v>
      </c>
    </row>
    <row r="543" customHeight="1" spans="1:11">
      <c r="A543" s="84" t="s">
        <v>327</v>
      </c>
      <c r="B543" s="84" t="s">
        <v>976</v>
      </c>
      <c r="C543" s="102">
        <f>取费表!G5</f>
        <v>0.09</v>
      </c>
      <c r="D543" s="84"/>
      <c r="E543" s="88">
        <f>F525+F541+F542</f>
        <v>1840.86060634951</v>
      </c>
      <c r="F543" s="84">
        <f t="shared" si="55"/>
        <v>165.677454571456</v>
      </c>
      <c r="G543" s="84" t="s">
        <v>976</v>
      </c>
      <c r="H543" s="102">
        <f t="shared" si="56"/>
        <v>0.09</v>
      </c>
      <c r="I543" s="84"/>
      <c r="J543" s="88">
        <f>K525+K541+K542</f>
        <v>7248.50628463934</v>
      </c>
      <c r="K543" s="84">
        <f t="shared" si="57"/>
        <v>652.36556561754</v>
      </c>
    </row>
    <row r="544" customHeight="1" spans="1:11">
      <c r="A544" s="84"/>
      <c r="B544" s="84" t="s">
        <v>1250</v>
      </c>
      <c r="C544" s="84"/>
      <c r="D544" s="84"/>
      <c r="E544" s="84"/>
      <c r="F544" s="84">
        <f>(E543+F543)*取费表!H5</f>
        <v>60.1961418276291</v>
      </c>
      <c r="G544" s="84" t="s">
        <v>1250</v>
      </c>
      <c r="H544" s="84"/>
      <c r="I544" s="84"/>
      <c r="J544" s="84"/>
      <c r="K544" s="84">
        <f>(J543+K543)*取费表!H5</f>
        <v>237.026155507706</v>
      </c>
    </row>
    <row r="545" customHeight="1" spans="1:11">
      <c r="A545" s="57"/>
      <c r="B545" s="57" t="s">
        <v>278</v>
      </c>
      <c r="C545" s="57"/>
      <c r="D545" s="57"/>
      <c r="E545" s="57"/>
      <c r="F545" s="113">
        <f>E543+F543+F544</f>
        <v>2066.7342027486</v>
      </c>
      <c r="G545" s="57" t="s">
        <v>278</v>
      </c>
      <c r="H545" s="57"/>
      <c r="I545" s="57"/>
      <c r="J545" s="57"/>
      <c r="K545" s="113">
        <f>J543+K543+K544</f>
        <v>8137.89800576458</v>
      </c>
    </row>
    <row r="546" customHeight="1" spans="1:11">
      <c r="A546" s="57"/>
      <c r="B546" s="57"/>
      <c r="C546" s="57"/>
      <c r="D546" s="57"/>
      <c r="E546" s="57"/>
      <c r="F546" s="113"/>
      <c r="G546" s="57"/>
      <c r="H546" s="57"/>
      <c r="I546" s="57"/>
      <c r="J546" s="57"/>
      <c r="K546" s="113"/>
    </row>
    <row r="547" customHeight="1" spans="1:11">
      <c r="A547" s="57"/>
      <c r="B547" s="57"/>
      <c r="C547" s="57"/>
      <c r="D547" s="57"/>
      <c r="E547" s="57"/>
      <c r="F547" s="113"/>
      <c r="G547" s="57"/>
      <c r="H547" s="57"/>
      <c r="I547" s="57"/>
      <c r="J547" s="57"/>
      <c r="K547" s="113"/>
    </row>
    <row r="548" customHeight="1" spans="1:11">
      <c r="A548" s="57"/>
      <c r="B548" s="57"/>
      <c r="C548" s="57"/>
      <c r="D548" s="57"/>
      <c r="E548" s="57"/>
      <c r="F548" s="113"/>
      <c r="G548" s="57"/>
      <c r="H548" s="57"/>
      <c r="I548" s="57"/>
      <c r="J548" s="57"/>
      <c r="K548" s="113"/>
    </row>
    <row r="549" customHeight="1" spans="1:11">
      <c r="A549" s="57"/>
      <c r="B549" s="57"/>
      <c r="C549" s="57"/>
      <c r="D549" s="57"/>
      <c r="E549" s="57"/>
      <c r="F549" s="113"/>
      <c r="G549" s="57"/>
      <c r="H549" s="57"/>
      <c r="I549" s="57"/>
      <c r="J549" s="57"/>
      <c r="K549" s="113"/>
    </row>
    <row r="550" customHeight="1" spans="1:11">
      <c r="A550" s="57"/>
      <c r="B550" s="57"/>
      <c r="C550" s="57"/>
      <c r="D550" s="57"/>
      <c r="E550" s="57"/>
      <c r="F550" s="113"/>
      <c r="G550" s="57"/>
      <c r="H550" s="57"/>
      <c r="I550" s="57"/>
      <c r="J550" s="57"/>
      <c r="K550" s="113"/>
    </row>
    <row r="551" customHeight="1" spans="1:11">
      <c r="A551" s="57"/>
      <c r="B551" s="57"/>
      <c r="C551" s="57"/>
      <c r="D551" s="57"/>
      <c r="E551" s="57"/>
      <c r="F551" s="113"/>
      <c r="G551" s="57"/>
      <c r="H551" s="57"/>
      <c r="I551" s="57"/>
      <c r="J551" s="57"/>
      <c r="K551" s="113"/>
    </row>
    <row r="552" customHeight="1" spans="1:11">
      <c r="A552" s="57"/>
      <c r="B552" s="57"/>
      <c r="C552" s="57"/>
      <c r="D552" s="57"/>
      <c r="E552" s="57"/>
      <c r="F552" s="113"/>
      <c r="G552" s="57"/>
      <c r="H552" s="57"/>
      <c r="I552" s="57"/>
      <c r="J552" s="57"/>
      <c r="K552" s="113"/>
    </row>
    <row r="553" customHeight="1" spans="1:11">
      <c r="A553" s="57"/>
      <c r="B553" s="57"/>
      <c r="C553" s="57"/>
      <c r="D553" s="57"/>
      <c r="E553" s="57"/>
      <c r="F553" s="113"/>
      <c r="G553" s="57"/>
      <c r="H553" s="57"/>
      <c r="I553" s="57"/>
      <c r="J553" s="57"/>
      <c r="K553" s="113"/>
    </row>
    <row r="554" customHeight="1" spans="1:11">
      <c r="A554" s="57"/>
      <c r="B554" s="57"/>
      <c r="C554" s="57"/>
      <c r="D554" s="57"/>
      <c r="E554" s="57"/>
      <c r="F554" s="113"/>
      <c r="G554" s="57"/>
      <c r="H554" s="57"/>
      <c r="I554" s="57"/>
      <c r="J554" s="57"/>
      <c r="K554" s="113"/>
    </row>
    <row r="555" customHeight="1" spans="1:11">
      <c r="A555" s="57"/>
      <c r="B555" s="57"/>
      <c r="C555" s="57"/>
      <c r="D555" s="57"/>
      <c r="E555" s="57"/>
      <c r="F555" s="113"/>
      <c r="G555" s="57"/>
      <c r="H555" s="57"/>
      <c r="I555" s="57"/>
      <c r="J555" s="57"/>
      <c r="K555" s="113"/>
    </row>
    <row r="556" customHeight="1" spans="1:11">
      <c r="A556" s="57"/>
      <c r="B556" s="57"/>
      <c r="C556" s="57"/>
      <c r="D556" s="57"/>
      <c r="E556" s="57"/>
      <c r="F556" s="113"/>
      <c r="G556" s="57"/>
      <c r="H556" s="57"/>
      <c r="I556" s="57"/>
      <c r="J556" s="57"/>
      <c r="K556" s="113"/>
    </row>
    <row r="557" customHeight="1" spans="1:11">
      <c r="A557" s="57"/>
      <c r="B557" s="57"/>
      <c r="C557" s="57"/>
      <c r="D557" s="57"/>
      <c r="E557" s="57"/>
      <c r="F557" s="113"/>
      <c r="G557" s="57"/>
      <c r="H557" s="57"/>
      <c r="I557" s="57"/>
      <c r="J557" s="57"/>
      <c r="K557" s="113"/>
    </row>
    <row r="558" customHeight="1" spans="1:6">
      <c r="A558" s="312" t="s">
        <v>1155</v>
      </c>
      <c r="B558" s="312"/>
      <c r="C558" s="312"/>
      <c r="D558" s="312"/>
      <c r="E558" s="312"/>
      <c r="F558" s="312"/>
    </row>
    <row r="559" customHeight="1" spans="1:6">
      <c r="A559" s="205" t="s">
        <v>1251</v>
      </c>
      <c r="B559" s="205"/>
      <c r="C559" s="205"/>
      <c r="D559" s="205"/>
      <c r="E559" s="205"/>
      <c r="F559" s="205"/>
    </row>
    <row r="560" customHeight="1" spans="1:6">
      <c r="A560" s="190" t="s">
        <v>1252</v>
      </c>
      <c r="B560" s="191"/>
      <c r="C560" s="168"/>
      <c r="D560" s="168"/>
      <c r="E560" s="191" t="s">
        <v>1159</v>
      </c>
      <c r="F560" s="191"/>
    </row>
    <row r="561" customHeight="1" spans="1:6">
      <c r="A561" s="197" t="s">
        <v>1184</v>
      </c>
      <c r="B561" s="192"/>
      <c r="C561" s="201"/>
      <c r="D561" s="201"/>
      <c r="E561" s="201"/>
      <c r="F561" s="202"/>
    </row>
    <row r="562" customHeight="1" spans="1:6">
      <c r="A562" s="57" t="s">
        <v>354</v>
      </c>
      <c r="B562" s="57" t="s">
        <v>956</v>
      </c>
      <c r="C562" s="57" t="s">
        <v>52</v>
      </c>
      <c r="D562" s="57" t="s">
        <v>855</v>
      </c>
      <c r="E562" s="57" t="s">
        <v>53</v>
      </c>
      <c r="F562" s="57" t="s">
        <v>306</v>
      </c>
    </row>
    <row r="563" customHeight="1" spans="1:6">
      <c r="A563" s="57" t="s">
        <v>959</v>
      </c>
      <c r="B563" s="57" t="s">
        <v>960</v>
      </c>
      <c r="C563" s="57"/>
      <c r="D563" s="57"/>
      <c r="E563" s="57"/>
      <c r="F563" s="84" t="e">
        <f>F564+F575+F576</f>
        <v>#REF!</v>
      </c>
    </row>
    <row r="564" customHeight="1" spans="1:6">
      <c r="A564" s="57" t="s">
        <v>59</v>
      </c>
      <c r="B564" s="57" t="s">
        <v>957</v>
      </c>
      <c r="C564" s="57"/>
      <c r="D564" s="57"/>
      <c r="E564" s="57"/>
      <c r="F564" s="84" t="e">
        <f>F565+F568+F572</f>
        <v>#REF!</v>
      </c>
    </row>
    <row r="565" customHeight="1" spans="1:6">
      <c r="A565" s="57" t="s">
        <v>959</v>
      </c>
      <c r="B565" s="57" t="s">
        <v>964</v>
      </c>
      <c r="C565" s="57" t="s">
        <v>965</v>
      </c>
      <c r="D565" s="113"/>
      <c r="E565" s="92">
        <f>SUM(E566:E567)</f>
        <v>1723.7</v>
      </c>
      <c r="F565" s="113">
        <f>SUM(F566:F567)</f>
        <v>11150.592</v>
      </c>
    </row>
    <row r="566" customHeight="1" spans="1:6">
      <c r="A566" s="57"/>
      <c r="B566" s="57" t="s">
        <v>966</v>
      </c>
      <c r="C566" s="57" t="s">
        <v>965</v>
      </c>
      <c r="D566" s="113">
        <f>D528</f>
        <v>8.1</v>
      </c>
      <c r="E566" s="92">
        <v>517.1</v>
      </c>
      <c r="F566" s="113">
        <f t="shared" ref="F566:F570" si="58">D566*E566</f>
        <v>4188.51</v>
      </c>
    </row>
    <row r="567" customHeight="1" spans="1:6">
      <c r="A567" s="57"/>
      <c r="B567" s="57" t="s">
        <v>968</v>
      </c>
      <c r="C567" s="57" t="s">
        <v>965</v>
      </c>
      <c r="D567" s="113">
        <f>D529</f>
        <v>5.77</v>
      </c>
      <c r="E567" s="92">
        <v>1206.6</v>
      </c>
      <c r="F567" s="113">
        <f t="shared" si="58"/>
        <v>6962.082</v>
      </c>
    </row>
    <row r="568" customHeight="1" spans="1:6">
      <c r="A568" s="57" t="s">
        <v>72</v>
      </c>
      <c r="B568" s="57" t="s">
        <v>1219</v>
      </c>
      <c r="C568" s="57"/>
      <c r="D568" s="57"/>
      <c r="E568" s="57"/>
      <c r="F568" s="203">
        <f>SUM(F569:F571)</f>
        <v>27746.516378403</v>
      </c>
    </row>
    <row r="569" customHeight="1" spans="1:6">
      <c r="A569" s="57"/>
      <c r="B569" s="57" t="s">
        <v>1253</v>
      </c>
      <c r="C569" s="57" t="s">
        <v>1254</v>
      </c>
      <c r="D569" s="113">
        <v>464.44</v>
      </c>
      <c r="E569" s="57">
        <v>52</v>
      </c>
      <c r="F569" s="113">
        <f t="shared" si="58"/>
        <v>24150.88</v>
      </c>
    </row>
    <row r="570" customHeight="1" spans="1:6">
      <c r="A570" s="57"/>
      <c r="B570" s="57" t="s">
        <v>1255</v>
      </c>
      <c r="C570" s="57" t="s">
        <v>1188</v>
      </c>
      <c r="D570" s="113">
        <f>建筑工程单价分析表!D190</f>
        <v>135.62339</v>
      </c>
      <c r="E570" s="57">
        <v>25.9</v>
      </c>
      <c r="F570" s="113">
        <f t="shared" si="58"/>
        <v>3512.645801</v>
      </c>
    </row>
    <row r="571" customHeight="1" spans="1:6">
      <c r="A571" s="57"/>
      <c r="B571" s="57" t="s">
        <v>1248</v>
      </c>
      <c r="C571" s="59" t="s">
        <v>423</v>
      </c>
      <c r="D571" s="84">
        <f>F569+F570</f>
        <v>27663.525801</v>
      </c>
      <c r="E571" s="57">
        <v>0.3</v>
      </c>
      <c r="F571" s="113">
        <f>D571*E571/100</f>
        <v>82.990577403</v>
      </c>
    </row>
    <row r="572" customHeight="1" spans="1:6">
      <c r="A572" s="57" t="s">
        <v>162</v>
      </c>
      <c r="B572" s="57" t="s">
        <v>1171</v>
      </c>
      <c r="C572" s="57"/>
      <c r="D572" s="57"/>
      <c r="E572" s="57"/>
      <c r="F572" s="203" t="e">
        <f>SUM(F573:F574)</f>
        <v>#REF!</v>
      </c>
    </row>
    <row r="573" customHeight="1" spans="1:6">
      <c r="A573" s="57"/>
      <c r="B573" s="57" t="s">
        <v>1256</v>
      </c>
      <c r="C573" s="57" t="s">
        <v>988</v>
      </c>
      <c r="D573" s="113">
        <f>台时!D42</f>
        <v>23.7459521340247</v>
      </c>
      <c r="E573" s="57">
        <v>4.69</v>
      </c>
      <c r="F573" s="113">
        <f>D573*E573</f>
        <v>111.368515508576</v>
      </c>
    </row>
    <row r="574" customHeight="1" spans="1:6">
      <c r="A574" s="57"/>
      <c r="B574" s="57" t="s">
        <v>1190</v>
      </c>
      <c r="C574" s="57" t="s">
        <v>988</v>
      </c>
      <c r="D574" s="113" t="e">
        <f>#REF!</f>
        <v>#REF!</v>
      </c>
      <c r="E574" s="57">
        <v>130.39</v>
      </c>
      <c r="F574" s="113" t="e">
        <f>D574*E574</f>
        <v>#REF!</v>
      </c>
    </row>
    <row r="575" customHeight="1" spans="1:6">
      <c r="A575" s="57" t="s">
        <v>70</v>
      </c>
      <c r="B575" s="57" t="s">
        <v>977</v>
      </c>
      <c r="C575" s="194">
        <f>取费表!C6</f>
        <v>0.048</v>
      </c>
      <c r="D575" s="113"/>
      <c r="E575" s="84" t="e">
        <f>F564</f>
        <v>#REF!</v>
      </c>
      <c r="F575" s="113" t="e">
        <f t="shared" ref="F575:F578" si="59">E575*C575</f>
        <v>#REF!</v>
      </c>
    </row>
    <row r="576" customHeight="1" spans="1:6">
      <c r="A576" s="57"/>
      <c r="B576" s="57"/>
      <c r="C576" s="194"/>
      <c r="D576" s="113"/>
      <c r="E576" s="84"/>
      <c r="F576" s="113"/>
    </row>
    <row r="577" customHeight="1" spans="1:6">
      <c r="A577" s="57" t="s">
        <v>979</v>
      </c>
      <c r="B577" s="57" t="s">
        <v>973</v>
      </c>
      <c r="C577" s="194">
        <f>取费表!E6</f>
        <v>0.085</v>
      </c>
      <c r="D577" s="113"/>
      <c r="E577" s="84" t="e">
        <f>F563</f>
        <v>#REF!</v>
      </c>
      <c r="F577" s="113" t="e">
        <f t="shared" si="59"/>
        <v>#REF!</v>
      </c>
    </row>
    <row r="578" customHeight="1" spans="1:6">
      <c r="A578" s="57" t="s">
        <v>162</v>
      </c>
      <c r="B578" s="57" t="s">
        <v>980</v>
      </c>
      <c r="C578" s="194">
        <f>取费表!F6</f>
        <v>0.07</v>
      </c>
      <c r="D578" s="113"/>
      <c r="E578" s="84" t="e">
        <f>F563+F577</f>
        <v>#REF!</v>
      </c>
      <c r="F578" s="113" t="e">
        <f t="shared" si="59"/>
        <v>#REF!</v>
      </c>
    </row>
    <row r="579" customHeight="1" spans="1:6">
      <c r="A579" s="57" t="s">
        <v>214</v>
      </c>
      <c r="B579" s="57" t="s">
        <v>1173</v>
      </c>
      <c r="C579" s="59"/>
      <c r="D579" s="113"/>
      <c r="E579" s="57"/>
      <c r="F579" s="113">
        <f>SUM(F580:F581)</f>
        <v>2199.33864754338</v>
      </c>
    </row>
    <row r="580" customHeight="1" spans="1:6">
      <c r="A580" s="57"/>
      <c r="B580" s="57" t="s">
        <v>1141</v>
      </c>
      <c r="C580" s="57" t="s">
        <v>69</v>
      </c>
      <c r="D580" s="113">
        <f>材料预算价!K5-材料预算价!L5</f>
        <v>156.64017</v>
      </c>
      <c r="E580" s="88">
        <f>E570*配合比!E14</f>
        <v>5.813514</v>
      </c>
      <c r="F580" s="113">
        <f>E580*D580</f>
        <v>910.62982125738</v>
      </c>
    </row>
    <row r="581" customHeight="1" spans="1:6">
      <c r="A581" s="57"/>
      <c r="B581" s="57" t="s">
        <v>1142</v>
      </c>
      <c r="C581" s="57" t="s">
        <v>1188</v>
      </c>
      <c r="D581" s="113">
        <f>材料预算价!K7-材料预算价!L7</f>
        <v>44.826214</v>
      </c>
      <c r="E581" s="88">
        <f>E570*配合比!G14</f>
        <v>28.749</v>
      </c>
      <c r="F581" s="113">
        <f>E581*D581</f>
        <v>1288.708826286</v>
      </c>
    </row>
    <row r="582" customHeight="1" spans="1:6">
      <c r="A582" s="57" t="s">
        <v>327</v>
      </c>
      <c r="B582" s="57" t="s">
        <v>976</v>
      </c>
      <c r="C582" s="195">
        <f>取费表!G6</f>
        <v>0.09</v>
      </c>
      <c r="D582" s="113"/>
      <c r="E582" s="84" t="e">
        <f>F579+F578+F577+F563</f>
        <v>#REF!</v>
      </c>
      <c r="F582" s="113" t="e">
        <f>E582*C582</f>
        <v>#REF!</v>
      </c>
    </row>
    <row r="583" customHeight="1" spans="1:6">
      <c r="A583" s="57"/>
      <c r="B583" s="57" t="s">
        <v>984</v>
      </c>
      <c r="C583" s="195"/>
      <c r="D583" s="113"/>
      <c r="E583" s="84"/>
      <c r="F583" s="113" t="e">
        <f>(F563+F577+F578+F579+F582)*取费表!H6</f>
        <v>#REF!</v>
      </c>
    </row>
    <row r="584" customHeight="1" spans="1:6">
      <c r="A584" s="57"/>
      <c r="B584" s="57" t="s">
        <v>278</v>
      </c>
      <c r="C584" s="57"/>
      <c r="D584" s="113"/>
      <c r="E584" s="57"/>
      <c r="F584" s="113" t="e">
        <f>E582+F582+F583</f>
        <v>#REF!</v>
      </c>
    </row>
    <row r="585" customHeight="1" spans="1:6">
      <c r="A585" s="57"/>
      <c r="B585" s="57"/>
      <c r="C585" s="57"/>
      <c r="D585" s="113"/>
      <c r="E585" s="57"/>
      <c r="F585" s="113"/>
    </row>
    <row r="586" customHeight="1" spans="1:6">
      <c r="A586" s="57"/>
      <c r="B586" s="57"/>
      <c r="C586" s="57"/>
      <c r="D586" s="113"/>
      <c r="E586" s="57"/>
      <c r="F586" s="113"/>
    </row>
    <row r="587" customHeight="1" spans="1:6">
      <c r="A587" s="57"/>
      <c r="B587" s="57"/>
      <c r="C587" s="57"/>
      <c r="D587" s="113"/>
      <c r="E587" s="57"/>
      <c r="F587" s="113"/>
    </row>
    <row r="588" customHeight="1" spans="1:6">
      <c r="A588" s="57"/>
      <c r="B588" s="57"/>
      <c r="C588" s="57"/>
      <c r="D588" s="113"/>
      <c r="E588" s="57"/>
      <c r="F588" s="113"/>
    </row>
    <row r="589" customHeight="1" spans="1:6">
      <c r="A589" s="57"/>
      <c r="B589" s="57"/>
      <c r="C589" s="57"/>
      <c r="D589" s="113"/>
      <c r="E589" s="57"/>
      <c r="F589" s="113"/>
    </row>
    <row r="590" customHeight="1" spans="1:6">
      <c r="A590" s="57"/>
      <c r="B590" s="57"/>
      <c r="C590" s="57"/>
      <c r="D590" s="113"/>
      <c r="E590" s="57"/>
      <c r="F590" s="113"/>
    </row>
    <row r="591" customHeight="1" spans="1:6">
      <c r="A591" s="57"/>
      <c r="B591" s="57"/>
      <c r="C591" s="57"/>
      <c r="D591" s="113"/>
      <c r="E591" s="57"/>
      <c r="F591" s="113"/>
    </row>
    <row r="592" customHeight="1" spans="1:6">
      <c r="A592" s="57"/>
      <c r="B592" s="57"/>
      <c r="C592" s="57"/>
      <c r="D592" s="113"/>
      <c r="E592" s="57"/>
      <c r="F592" s="113"/>
    </row>
    <row r="593" customHeight="1" spans="1:6">
      <c r="A593" s="57"/>
      <c r="B593" s="57"/>
      <c r="C593" s="57"/>
      <c r="D593" s="113"/>
      <c r="E593" s="57"/>
      <c r="F593" s="113"/>
    </row>
    <row r="594" customHeight="1" spans="1:6">
      <c r="A594" s="57"/>
      <c r="B594" s="57"/>
      <c r="C594" s="57"/>
      <c r="D594" s="113"/>
      <c r="E594" s="57"/>
      <c r="F594" s="113"/>
    </row>
    <row r="595" customHeight="1" spans="1:6">
      <c r="A595" s="57"/>
      <c r="B595" s="57"/>
      <c r="C595" s="57"/>
      <c r="D595" s="113"/>
      <c r="E595" s="57"/>
      <c r="F595" s="113"/>
    </row>
    <row r="596" customHeight="1" spans="1:13">
      <c r="A596"/>
      <c r="B596"/>
      <c r="C596"/>
      <c r="D596"/>
      <c r="E596"/>
      <c r="F596"/>
      <c r="H596" s="312" t="s">
        <v>1155</v>
      </c>
      <c r="I596" s="312"/>
      <c r="J596" s="312"/>
      <c r="K596" s="312"/>
      <c r="L596" s="312"/>
      <c r="M596" s="312"/>
    </row>
    <row r="597" customHeight="1" spans="1:13">
      <c r="A597"/>
      <c r="B597"/>
      <c r="C597"/>
      <c r="D597"/>
      <c r="E597"/>
      <c r="F597"/>
      <c r="H597" s="205" t="s">
        <v>1257</v>
      </c>
      <c r="I597" s="205"/>
      <c r="J597" s="205"/>
      <c r="K597" s="205"/>
      <c r="L597" s="205"/>
      <c r="M597" s="205"/>
    </row>
    <row r="598" customHeight="1" spans="1:13">
      <c r="A598"/>
      <c r="B598"/>
      <c r="C598"/>
      <c r="D598"/>
      <c r="E598"/>
      <c r="F598"/>
      <c r="H598" s="191" t="s">
        <v>1258</v>
      </c>
      <c r="I598" s="191"/>
      <c r="J598" s="168"/>
      <c r="K598" s="168"/>
      <c r="L598" s="191" t="s">
        <v>1159</v>
      </c>
      <c r="M598" s="191"/>
    </row>
    <row r="599" customHeight="1" spans="1:13">
      <c r="A599"/>
      <c r="B599"/>
      <c r="C599"/>
      <c r="D599"/>
      <c r="E599"/>
      <c r="F599"/>
      <c r="H599" s="117" t="s">
        <v>1184</v>
      </c>
      <c r="I599" s="192"/>
      <c r="J599" s="192"/>
      <c r="K599" s="192"/>
      <c r="L599" s="192"/>
      <c r="M599" s="118"/>
    </row>
    <row r="600" customHeight="1" spans="1:13">
      <c r="A600"/>
      <c r="B600"/>
      <c r="C600"/>
      <c r="D600"/>
      <c r="E600"/>
      <c r="F600"/>
      <c r="H600" s="57" t="s">
        <v>354</v>
      </c>
      <c r="I600" s="57" t="s">
        <v>956</v>
      </c>
      <c r="J600" s="57" t="s">
        <v>52</v>
      </c>
      <c r="K600" s="57" t="s">
        <v>855</v>
      </c>
      <c r="L600" s="57" t="s">
        <v>53</v>
      </c>
      <c r="M600" s="57" t="s">
        <v>306</v>
      </c>
    </row>
    <row r="601" customHeight="1" spans="1:13">
      <c r="A601"/>
      <c r="B601"/>
      <c r="C601"/>
      <c r="D601"/>
      <c r="E601"/>
      <c r="F601"/>
      <c r="H601" s="57" t="s">
        <v>959</v>
      </c>
      <c r="I601" s="57" t="s">
        <v>960</v>
      </c>
      <c r="J601" s="57"/>
      <c r="K601" s="57"/>
      <c r="L601" s="57"/>
      <c r="M601" s="84">
        <f>M602+M616+M617</f>
        <v>31559.7065814981</v>
      </c>
    </row>
    <row r="602" customHeight="1" spans="1:13">
      <c r="A602"/>
      <c r="B602"/>
      <c r="C602"/>
      <c r="D602"/>
      <c r="E602"/>
      <c r="F602"/>
      <c r="H602" s="57" t="s">
        <v>59</v>
      </c>
      <c r="I602" s="57" t="s">
        <v>957</v>
      </c>
      <c r="J602" s="57"/>
      <c r="K602" s="57"/>
      <c r="L602" s="57"/>
      <c r="M602" s="84">
        <f>M603+M606+M610</f>
        <v>30114.2238373073</v>
      </c>
    </row>
    <row r="603" s="308" customFormat="1" customHeight="1" spans="1:13">
      <c r="A603"/>
      <c r="B603"/>
      <c r="C603"/>
      <c r="D603"/>
      <c r="E603"/>
      <c r="F603"/>
      <c r="H603" s="57" t="s">
        <v>959</v>
      </c>
      <c r="I603" s="57" t="s">
        <v>964</v>
      </c>
      <c r="J603" s="57" t="s">
        <v>965</v>
      </c>
      <c r="K603" s="113"/>
      <c r="L603" s="92">
        <f>SUM(L604:L605)</f>
        <v>1867.97</v>
      </c>
      <c r="M603" s="113">
        <f>SUM(M604:M605)</f>
        <v>13190.8087</v>
      </c>
    </row>
    <row r="604" s="307" customFormat="1" customHeight="1" spans="1:13">
      <c r="A604"/>
      <c r="B604"/>
      <c r="C604"/>
      <c r="D604"/>
      <c r="E604"/>
      <c r="F604"/>
      <c r="H604" s="57"/>
      <c r="I604" s="57" t="s">
        <v>966</v>
      </c>
      <c r="J604" s="57" t="s">
        <v>965</v>
      </c>
      <c r="K604" s="113">
        <f>建筑工程单价分析表!D186</f>
        <v>8.1</v>
      </c>
      <c r="L604" s="92">
        <v>1035.46</v>
      </c>
      <c r="M604" s="113">
        <f t="shared" ref="M604:M608" si="60">K604*L604</f>
        <v>8387.226</v>
      </c>
    </row>
    <row r="605" s="307" customFormat="1" customHeight="1" spans="1:13">
      <c r="A605"/>
      <c r="B605"/>
      <c r="C605"/>
      <c r="D605"/>
      <c r="E605"/>
      <c r="F605"/>
      <c r="H605" s="57"/>
      <c r="I605" s="57" t="s">
        <v>968</v>
      </c>
      <c r="J605" s="57" t="s">
        <v>965</v>
      </c>
      <c r="K605" s="113">
        <f>建筑工程单价分析表!D187</f>
        <v>5.77</v>
      </c>
      <c r="L605" s="92">
        <v>832.51</v>
      </c>
      <c r="M605" s="113">
        <f t="shared" si="60"/>
        <v>4803.5827</v>
      </c>
    </row>
    <row r="606" customHeight="1" spans="1:13">
      <c r="A606"/>
      <c r="B606"/>
      <c r="C606"/>
      <c r="D606"/>
      <c r="E606"/>
      <c r="F606"/>
      <c r="H606" s="57" t="s">
        <v>72</v>
      </c>
      <c r="I606" s="57" t="s">
        <v>1219</v>
      </c>
      <c r="J606" s="57"/>
      <c r="K606" s="57"/>
      <c r="L606" s="57"/>
      <c r="M606" s="203">
        <f>SUM(M607:M609)</f>
        <v>13200.09660207</v>
      </c>
    </row>
    <row r="607" customHeight="1" spans="1:13">
      <c r="A607"/>
      <c r="B607"/>
      <c r="C607"/>
      <c r="D607"/>
      <c r="E607"/>
      <c r="F607"/>
      <c r="H607" s="57"/>
      <c r="I607" s="57" t="s">
        <v>1111</v>
      </c>
      <c r="J607" s="57" t="s">
        <v>1188</v>
      </c>
      <c r="K607" s="57">
        <f>建筑工程单价分析表!D189</f>
        <v>70</v>
      </c>
      <c r="L607" s="57">
        <v>111.2</v>
      </c>
      <c r="M607" s="113">
        <f t="shared" si="60"/>
        <v>7784</v>
      </c>
    </row>
    <row r="608" customHeight="1" spans="1:13">
      <c r="A608"/>
      <c r="B608"/>
      <c r="C608"/>
      <c r="D608"/>
      <c r="E608"/>
      <c r="F608"/>
      <c r="H608" s="57"/>
      <c r="I608" s="57" t="s">
        <v>1255</v>
      </c>
      <c r="J608" s="57" t="s">
        <v>1188</v>
      </c>
      <c r="K608" s="113">
        <f>建筑工程单价分析表!D190</f>
        <v>135.62339</v>
      </c>
      <c r="L608" s="57">
        <v>37.1</v>
      </c>
      <c r="M608" s="113">
        <f t="shared" si="60"/>
        <v>5031.627769</v>
      </c>
    </row>
    <row r="609" customHeight="1" spans="1:13">
      <c r="A609"/>
      <c r="B609"/>
      <c r="C609"/>
      <c r="D609"/>
      <c r="E609"/>
      <c r="F609"/>
      <c r="H609" s="57"/>
      <c r="I609" s="57" t="s">
        <v>1248</v>
      </c>
      <c r="J609" s="59" t="s">
        <v>423</v>
      </c>
      <c r="K609" s="84">
        <f>M607+M608</f>
        <v>12815.627769</v>
      </c>
      <c r="L609" s="57">
        <v>3</v>
      </c>
      <c r="M609" s="113">
        <f>K609*L609/100</f>
        <v>384.46883307</v>
      </c>
    </row>
    <row r="610" customHeight="1" spans="1:13">
      <c r="A610"/>
      <c r="B610"/>
      <c r="C610"/>
      <c r="D610"/>
      <c r="E610"/>
      <c r="F610"/>
      <c r="H610" s="57" t="s">
        <v>162</v>
      </c>
      <c r="I610" s="57" t="s">
        <v>1171</v>
      </c>
      <c r="J610" s="57"/>
      <c r="K610" s="57"/>
      <c r="L610" s="57"/>
      <c r="M610" s="203">
        <f>SUM(M611:M615)</f>
        <v>3723.31853523734</v>
      </c>
    </row>
    <row r="611" customHeight="1" spans="1:13">
      <c r="A611"/>
      <c r="B611"/>
      <c r="C611"/>
      <c r="D611"/>
      <c r="E611"/>
      <c r="F611"/>
      <c r="H611" s="57"/>
      <c r="I611" s="57" t="s">
        <v>1259</v>
      </c>
      <c r="J611" s="57" t="s">
        <v>988</v>
      </c>
      <c r="K611" s="113">
        <f>建筑工程单价分析表!D193</f>
        <v>15.3</v>
      </c>
      <c r="L611" s="57">
        <v>6.68</v>
      </c>
      <c r="M611" s="113">
        <f t="shared" ref="M611:M615" si="61">K611*L611</f>
        <v>102.204</v>
      </c>
    </row>
    <row r="612" customHeight="1" spans="1:13">
      <c r="A612"/>
      <c r="B612"/>
      <c r="C612"/>
      <c r="D612"/>
      <c r="E612"/>
      <c r="F612"/>
      <c r="H612" s="57"/>
      <c r="I612" s="57" t="s">
        <v>1260</v>
      </c>
      <c r="J612" s="57" t="s">
        <v>988</v>
      </c>
      <c r="K612" s="113">
        <f>建筑工程单价分析表!D194</f>
        <v>119.591356601516</v>
      </c>
      <c r="L612" s="57">
        <v>5.56</v>
      </c>
      <c r="M612" s="113">
        <f t="shared" si="61"/>
        <v>664.927942704429</v>
      </c>
    </row>
    <row r="613" customHeight="1" spans="1:13">
      <c r="A613"/>
      <c r="B613"/>
      <c r="C613"/>
      <c r="D613"/>
      <c r="E613"/>
      <c r="F613"/>
      <c r="H613" s="57"/>
      <c r="I613" s="57" t="s">
        <v>1261</v>
      </c>
      <c r="J613" s="57" t="s">
        <v>988</v>
      </c>
      <c r="K613" s="113">
        <f>建筑工程单价分析表!D195</f>
        <v>17.1951356202633</v>
      </c>
      <c r="L613" s="57">
        <v>9.52</v>
      </c>
      <c r="M613" s="113">
        <f t="shared" si="61"/>
        <v>163.697691104907</v>
      </c>
    </row>
    <row r="614" customHeight="1" spans="1:13">
      <c r="A614"/>
      <c r="B614"/>
      <c r="C614"/>
      <c r="D614"/>
      <c r="E614"/>
      <c r="F614"/>
      <c r="H614" s="57"/>
      <c r="I614" s="57" t="s">
        <v>1262</v>
      </c>
      <c r="J614" s="57" t="s">
        <v>988</v>
      </c>
      <c r="K614" s="113">
        <f>建筑工程单价分析表!D196</f>
        <v>213.436615875548</v>
      </c>
      <c r="L614" s="57">
        <v>0</v>
      </c>
      <c r="M614" s="113">
        <f t="shared" si="61"/>
        <v>0</v>
      </c>
    </row>
    <row r="615" customHeight="1" spans="1:13">
      <c r="A615"/>
      <c r="B615"/>
      <c r="C615"/>
      <c r="D615"/>
      <c r="E615"/>
      <c r="F615"/>
      <c r="H615" s="57"/>
      <c r="I615" s="57" t="s">
        <v>1263</v>
      </c>
      <c r="J615" s="57" t="s">
        <v>423</v>
      </c>
      <c r="K615" s="113">
        <f>SUM(M611:M614)</f>
        <v>930.829633809336</v>
      </c>
      <c r="L615" s="57">
        <v>3</v>
      </c>
      <c r="M615" s="113">
        <f t="shared" si="61"/>
        <v>2792.48890142801</v>
      </c>
    </row>
    <row r="616" customHeight="1" spans="1:13">
      <c r="A616"/>
      <c r="B616"/>
      <c r="C616"/>
      <c r="D616"/>
      <c r="E616"/>
      <c r="F616"/>
      <c r="H616" s="57" t="s">
        <v>70</v>
      </c>
      <c r="I616" s="57" t="s">
        <v>977</v>
      </c>
      <c r="J616" s="194">
        <v>0.048</v>
      </c>
      <c r="K616" s="113"/>
      <c r="L616" s="84">
        <f>M602</f>
        <v>30114.2238373073</v>
      </c>
      <c r="M616" s="113">
        <f t="shared" ref="M616:M619" si="62">L616*J616</f>
        <v>1445.48274419075</v>
      </c>
    </row>
    <row r="617" customHeight="1" spans="1:13">
      <c r="A617"/>
      <c r="B617"/>
      <c r="C617"/>
      <c r="D617"/>
      <c r="E617"/>
      <c r="F617"/>
      <c r="H617" s="57"/>
      <c r="I617" s="57"/>
      <c r="J617" s="194"/>
      <c r="K617" s="113"/>
      <c r="L617" s="84"/>
      <c r="M617" s="113"/>
    </row>
    <row r="618" customHeight="1" spans="1:13">
      <c r="A618"/>
      <c r="B618"/>
      <c r="C618"/>
      <c r="D618"/>
      <c r="E618"/>
      <c r="F618"/>
      <c r="H618" s="57" t="s">
        <v>979</v>
      </c>
      <c r="I618" s="57" t="s">
        <v>973</v>
      </c>
      <c r="J618" s="194">
        <v>0.085</v>
      </c>
      <c r="K618" s="113"/>
      <c r="L618" s="84">
        <f>M601</f>
        <v>31559.7065814981</v>
      </c>
      <c r="M618" s="113">
        <f t="shared" si="62"/>
        <v>2682.57505942734</v>
      </c>
    </row>
    <row r="619" customHeight="1" spans="1:13">
      <c r="A619"/>
      <c r="B619"/>
      <c r="C619"/>
      <c r="D619"/>
      <c r="E619"/>
      <c r="F619"/>
      <c r="H619" s="57" t="s">
        <v>162</v>
      </c>
      <c r="I619" s="57" t="s">
        <v>980</v>
      </c>
      <c r="J619" s="194">
        <v>0.07</v>
      </c>
      <c r="K619" s="113"/>
      <c r="L619" s="84">
        <f>M601+M618</f>
        <v>34242.2816409254</v>
      </c>
      <c r="M619" s="113">
        <f t="shared" si="62"/>
        <v>2396.95971486478</v>
      </c>
    </row>
    <row r="620" customHeight="1" spans="1:13">
      <c r="A620"/>
      <c r="B620"/>
      <c r="C620"/>
      <c r="D620"/>
      <c r="E620"/>
      <c r="F620"/>
      <c r="H620" s="57" t="s">
        <v>214</v>
      </c>
      <c r="I620" s="57" t="s">
        <v>1173</v>
      </c>
      <c r="J620" s="59"/>
      <c r="K620" s="113"/>
      <c r="L620" s="57"/>
      <c r="M620" s="113">
        <f>SUM(M622:M624)</f>
        <v>11264.3566486432</v>
      </c>
    </row>
    <row r="621" customHeight="1" spans="1:13">
      <c r="A621"/>
      <c r="B621"/>
      <c r="C621"/>
      <c r="D621"/>
      <c r="E621"/>
      <c r="F621"/>
      <c r="H621" s="57"/>
      <c r="I621" s="57" t="s">
        <v>1116</v>
      </c>
      <c r="J621" s="59" t="s">
        <v>184</v>
      </c>
      <c r="K621" s="113">
        <f>建筑工程单价分析表!D203</f>
        <v>4.86</v>
      </c>
      <c r="L621" s="57">
        <f>L612*台时!C308+台时!E308*L613</f>
        <v>123.812</v>
      </c>
      <c r="M621" s="113">
        <f>K621*L621</f>
        <v>601.72632</v>
      </c>
    </row>
    <row r="622" customHeight="1" spans="1:13">
      <c r="A622"/>
      <c r="B622"/>
      <c r="C622"/>
      <c r="D622"/>
      <c r="E622"/>
      <c r="F622"/>
      <c r="H622" s="57"/>
      <c r="I622" s="57" t="s">
        <v>1111</v>
      </c>
      <c r="J622" s="57" t="s">
        <v>1188</v>
      </c>
      <c r="K622" s="113">
        <f>建筑工程单价分析表!D204</f>
        <v>72.9672</v>
      </c>
      <c r="L622" s="57">
        <f>L607</f>
        <v>111.2</v>
      </c>
      <c r="M622" s="113">
        <f t="shared" ref="M622:M624" si="63">L622*K622</f>
        <v>8113.95264</v>
      </c>
    </row>
    <row r="623" customHeight="1" spans="1:13">
      <c r="A623"/>
      <c r="B623"/>
      <c r="C623"/>
      <c r="D623"/>
      <c r="E623"/>
      <c r="F623"/>
      <c r="H623" s="57"/>
      <c r="I623" s="57" t="s">
        <v>1141</v>
      </c>
      <c r="J623" s="57" t="s">
        <v>69</v>
      </c>
      <c r="K623" s="113">
        <f>建筑工程单价分析表!D205</f>
        <v>156.64017</v>
      </c>
      <c r="L623" s="88">
        <f>L608*配合比!E14</f>
        <v>8.327466</v>
      </c>
      <c r="M623" s="113">
        <f t="shared" si="63"/>
        <v>1304.41568990922</v>
      </c>
    </row>
    <row r="624" customHeight="1" spans="1:13">
      <c r="A624"/>
      <c r="B624"/>
      <c r="C624"/>
      <c r="D624"/>
      <c r="E624"/>
      <c r="F624"/>
      <c r="H624" s="57"/>
      <c r="I624" s="57" t="s">
        <v>1142</v>
      </c>
      <c r="J624" s="57" t="s">
        <v>1188</v>
      </c>
      <c r="K624" s="113">
        <f>建筑工程单价分析表!D206</f>
        <v>44.826214</v>
      </c>
      <c r="L624" s="88">
        <f>L608*配合比!G14</f>
        <v>41.181</v>
      </c>
      <c r="M624" s="113">
        <f t="shared" si="63"/>
        <v>1845.988318734</v>
      </c>
    </row>
    <row r="625" customHeight="1" spans="1:13">
      <c r="A625"/>
      <c r="B625"/>
      <c r="C625"/>
      <c r="D625"/>
      <c r="E625"/>
      <c r="F625"/>
      <c r="H625" s="57" t="s">
        <v>327</v>
      </c>
      <c r="I625" s="57" t="s">
        <v>976</v>
      </c>
      <c r="J625" s="195">
        <v>0.09</v>
      </c>
      <c r="K625" s="113"/>
      <c r="L625" s="84">
        <f>M620+M619+M618+M601</f>
        <v>47903.5980044334</v>
      </c>
      <c r="M625" s="113">
        <f>L625*J625</f>
        <v>4311.32382039901</v>
      </c>
    </row>
    <row r="626" customHeight="1" spans="1:13">
      <c r="A626"/>
      <c r="B626"/>
      <c r="C626"/>
      <c r="D626"/>
      <c r="E626"/>
      <c r="F626"/>
      <c r="H626" s="57"/>
      <c r="I626" s="57" t="s">
        <v>984</v>
      </c>
      <c r="J626" s="195"/>
      <c r="K626" s="113"/>
      <c r="L626" s="84"/>
      <c r="M626" s="113">
        <f>(M601+M618+M619+M620+M625)*取费表!H6</f>
        <v>1566.44765474497</v>
      </c>
    </row>
    <row r="627" customHeight="1" spans="1:13">
      <c r="A627"/>
      <c r="B627"/>
      <c r="C627"/>
      <c r="D627"/>
      <c r="E627"/>
      <c r="F627"/>
      <c r="H627" s="57"/>
      <c r="I627" s="57" t="s">
        <v>278</v>
      </c>
      <c r="J627" s="57"/>
      <c r="K627" s="113"/>
      <c r="L627" s="57"/>
      <c r="M627" s="113">
        <f>L625+M625+M626</f>
        <v>53781.3694795774</v>
      </c>
    </row>
    <row r="628" customHeight="1" spans="1:13">
      <c r="A628"/>
      <c r="B628"/>
      <c r="C628"/>
      <c r="D628"/>
      <c r="E628"/>
      <c r="F628"/>
      <c r="H628" s="57"/>
      <c r="I628" s="57"/>
      <c r="J628" s="57"/>
      <c r="K628" s="113"/>
      <c r="L628" s="57"/>
      <c r="M628" s="113"/>
    </row>
    <row r="629" customHeight="1" spans="1:13">
      <c r="A629"/>
      <c r="B629"/>
      <c r="C629"/>
      <c r="D629"/>
      <c r="E629"/>
      <c r="F629"/>
      <c r="H629" s="57"/>
      <c r="I629" s="57"/>
      <c r="J629" s="57"/>
      <c r="K629" s="113"/>
      <c r="L629" s="57"/>
      <c r="M629" s="113"/>
    </row>
    <row r="630" customHeight="1" spans="1:13">
      <c r="A630"/>
      <c r="B630"/>
      <c r="C630"/>
      <c r="D630"/>
      <c r="E630"/>
      <c r="F630"/>
      <c r="H630" s="57"/>
      <c r="I630" s="57"/>
      <c r="J630" s="57"/>
      <c r="K630" s="113"/>
      <c r="L630" s="57"/>
      <c r="M630" s="113"/>
    </row>
    <row r="631" customHeight="1" spans="1:13">
      <c r="A631"/>
      <c r="B631"/>
      <c r="C631"/>
      <c r="D631"/>
      <c r="E631"/>
      <c r="F631"/>
      <c r="H631" s="57"/>
      <c r="I631" s="57"/>
      <c r="J631" s="57"/>
      <c r="K631" s="113"/>
      <c r="L631" s="57"/>
      <c r="M631" s="113"/>
    </row>
    <row r="632" customHeight="1" spans="1:6">
      <c r="A632"/>
      <c r="B632"/>
      <c r="C632"/>
      <c r="D632"/>
      <c r="E632"/>
      <c r="F632"/>
    </row>
    <row r="633" customHeight="1" spans="1:6">
      <c r="A633"/>
      <c r="B633"/>
      <c r="C633"/>
      <c r="D633"/>
      <c r="E633"/>
      <c r="F633"/>
    </row>
    <row r="634" customHeight="1" spans="1:6">
      <c r="A634"/>
      <c r="B634"/>
      <c r="C634"/>
      <c r="D634"/>
      <c r="E634"/>
      <c r="F634"/>
    </row>
    <row r="635" customHeight="1" spans="1:6">
      <c r="A635"/>
      <c r="B635"/>
      <c r="C635"/>
      <c r="D635"/>
      <c r="E635"/>
      <c r="F635"/>
    </row>
    <row r="636" customHeight="1" spans="1:6">
      <c r="A636"/>
      <c r="B636"/>
      <c r="C636"/>
      <c r="D636"/>
      <c r="E636"/>
      <c r="F636"/>
    </row>
    <row r="637" customHeight="1" spans="1:6">
      <c r="A637"/>
      <c r="B637"/>
      <c r="C637"/>
      <c r="D637"/>
      <c r="E637"/>
      <c r="F637"/>
    </row>
    <row r="638" customHeight="1" spans="1:6">
      <c r="A638"/>
      <c r="B638"/>
      <c r="C638"/>
      <c r="D638"/>
      <c r="E638"/>
      <c r="F638"/>
    </row>
    <row r="639" customHeight="1" spans="1:6">
      <c r="A639"/>
      <c r="B639"/>
      <c r="C639"/>
      <c r="D639"/>
      <c r="E639"/>
      <c r="F639"/>
    </row>
    <row r="640" customHeight="1" spans="1:6">
      <c r="A640"/>
      <c r="B640"/>
      <c r="C640"/>
      <c r="D640"/>
      <c r="E640"/>
      <c r="F640"/>
    </row>
    <row r="641" customHeight="1" spans="1:6">
      <c r="A641"/>
      <c r="B641"/>
      <c r="C641"/>
      <c r="D641"/>
      <c r="E641"/>
      <c r="F641"/>
    </row>
    <row r="642" customHeight="1" spans="1:6">
      <c r="A642"/>
      <c r="B642"/>
      <c r="C642"/>
      <c r="D642"/>
      <c r="E642"/>
      <c r="F642"/>
    </row>
    <row r="643" customHeight="1" spans="1:6">
      <c r="A643"/>
      <c r="B643"/>
      <c r="C643"/>
      <c r="D643"/>
      <c r="E643"/>
      <c r="F643"/>
    </row>
    <row r="644" customHeight="1" spans="1:6">
      <c r="A644"/>
      <c r="B644"/>
      <c r="C644"/>
      <c r="D644"/>
      <c r="E644"/>
      <c r="F644"/>
    </row>
    <row r="645" s="308" customFormat="1" customHeight="1" spans="1:6">
      <c r="A645"/>
      <c r="B645"/>
      <c r="C645"/>
      <c r="D645"/>
      <c r="E645"/>
      <c r="F645"/>
    </row>
    <row r="646" s="307" customFormat="1" customHeight="1" spans="1:6">
      <c r="A646"/>
      <c r="B646"/>
      <c r="C646"/>
      <c r="D646"/>
      <c r="E646"/>
      <c r="F646"/>
    </row>
    <row r="647" s="307" customFormat="1" customHeight="1" spans="1:6">
      <c r="A647"/>
      <c r="B647"/>
      <c r="C647"/>
      <c r="D647"/>
      <c r="E647"/>
      <c r="F647"/>
    </row>
    <row r="648" customHeight="1" spans="1:6">
      <c r="A648"/>
      <c r="B648"/>
      <c r="C648"/>
      <c r="D648"/>
      <c r="E648"/>
      <c r="F648"/>
    </row>
    <row r="649" customHeight="1" spans="1:6">
      <c r="A649"/>
      <c r="B649"/>
      <c r="C649"/>
      <c r="D649"/>
      <c r="E649"/>
      <c r="F649"/>
    </row>
    <row r="650" customHeight="1" spans="1:6">
      <c r="A650"/>
      <c r="B650"/>
      <c r="C650"/>
      <c r="D650"/>
      <c r="E650"/>
      <c r="F650"/>
    </row>
    <row r="651" customHeight="1" spans="1:6">
      <c r="A651"/>
      <c r="B651"/>
      <c r="C651"/>
      <c r="D651"/>
      <c r="E651"/>
      <c r="F651"/>
    </row>
    <row r="652" customHeight="1" spans="1:6">
      <c r="A652"/>
      <c r="B652"/>
      <c r="C652"/>
      <c r="D652"/>
      <c r="E652"/>
      <c r="F652"/>
    </row>
    <row r="653" customHeight="1" spans="1:6">
      <c r="A653"/>
      <c r="B653"/>
      <c r="C653"/>
      <c r="D653"/>
      <c r="E653"/>
      <c r="F653"/>
    </row>
    <row r="654" customHeight="1" spans="1:6">
      <c r="A654"/>
      <c r="B654"/>
      <c r="C654"/>
      <c r="D654"/>
      <c r="E654"/>
      <c r="F654"/>
    </row>
    <row r="655" customHeight="1" spans="1:6">
      <c r="A655"/>
      <c r="B655"/>
      <c r="C655"/>
      <c r="D655"/>
      <c r="E655"/>
      <c r="F655"/>
    </row>
    <row r="656" customHeight="1" spans="1:6">
      <c r="A656"/>
      <c r="B656"/>
      <c r="C656"/>
      <c r="D656"/>
      <c r="E656"/>
      <c r="F656"/>
    </row>
    <row r="657" customHeight="1" spans="1:6">
      <c r="A657"/>
      <c r="B657"/>
      <c r="C657"/>
      <c r="D657"/>
      <c r="E657"/>
      <c r="F657"/>
    </row>
    <row r="658" customHeight="1" spans="1:6">
      <c r="A658"/>
      <c r="B658"/>
      <c r="C658"/>
      <c r="D658"/>
      <c r="E658"/>
      <c r="F658"/>
    </row>
    <row r="659" customHeight="1" spans="1:6">
      <c r="A659"/>
      <c r="B659"/>
      <c r="C659"/>
      <c r="D659"/>
      <c r="E659"/>
      <c r="F659"/>
    </row>
    <row r="660" customHeight="1" spans="1:6">
      <c r="A660"/>
      <c r="B660"/>
      <c r="C660"/>
      <c r="D660"/>
      <c r="E660"/>
      <c r="F660"/>
    </row>
    <row r="661" customHeight="1" spans="1:6">
      <c r="A661"/>
      <c r="B661"/>
      <c r="C661"/>
      <c r="D661"/>
      <c r="E661"/>
      <c r="F661"/>
    </row>
    <row r="662" customHeight="1" spans="1:6">
      <c r="A662"/>
      <c r="B662"/>
      <c r="C662"/>
      <c r="D662"/>
      <c r="E662"/>
      <c r="F662"/>
    </row>
    <row r="663" customHeight="1" spans="1:6">
      <c r="A663"/>
      <c r="B663"/>
      <c r="C663"/>
      <c r="D663"/>
      <c r="E663"/>
      <c r="F663"/>
    </row>
    <row r="664" customHeight="1" spans="1:6">
      <c r="A664"/>
      <c r="B664"/>
      <c r="C664"/>
      <c r="D664"/>
      <c r="E664"/>
      <c r="F664"/>
    </row>
    <row r="665" customHeight="1" spans="1:6">
      <c r="A665"/>
      <c r="B665"/>
      <c r="C665"/>
      <c r="D665"/>
      <c r="E665"/>
      <c r="F665"/>
    </row>
    <row r="666" customHeight="1" spans="1:6">
      <c r="A666"/>
      <c r="B666"/>
      <c r="C666"/>
      <c r="D666"/>
      <c r="E666"/>
      <c r="F666"/>
    </row>
    <row r="667" customHeight="1" spans="1:6">
      <c r="A667"/>
      <c r="B667"/>
      <c r="C667"/>
      <c r="D667"/>
      <c r="E667"/>
      <c r="F667"/>
    </row>
    <row r="668" customHeight="1" spans="1:6">
      <c r="A668"/>
      <c r="B668"/>
      <c r="C668"/>
      <c r="D668"/>
      <c r="E668"/>
      <c r="F668"/>
    </row>
    <row r="669" customHeight="1" spans="1:6">
      <c r="A669"/>
      <c r="B669"/>
      <c r="C669"/>
      <c r="D669"/>
      <c r="E669"/>
      <c r="F669"/>
    </row>
    <row r="670" customHeight="1" spans="1:6">
      <c r="A670"/>
      <c r="B670"/>
      <c r="C670"/>
      <c r="D670"/>
      <c r="E670"/>
      <c r="F670"/>
    </row>
    <row r="671" customHeight="1" spans="1:6">
      <c r="A671"/>
      <c r="B671"/>
      <c r="C671"/>
      <c r="D671"/>
      <c r="E671"/>
      <c r="F671"/>
    </row>
    <row r="672" customHeight="1" spans="1:6">
      <c r="A672"/>
      <c r="B672"/>
      <c r="C672"/>
      <c r="D672"/>
      <c r="E672"/>
      <c r="F672"/>
    </row>
    <row r="673" customHeight="1" spans="1:6">
      <c r="A673"/>
      <c r="B673"/>
      <c r="C673"/>
      <c r="D673"/>
      <c r="E673"/>
      <c r="F673"/>
    </row>
    <row r="674" customHeight="1" spans="1:6">
      <c r="A674"/>
      <c r="B674"/>
      <c r="C674"/>
      <c r="D674"/>
      <c r="E674"/>
      <c r="F674"/>
    </row>
    <row r="675" customHeight="1" spans="1:6">
      <c r="A675"/>
      <c r="B675"/>
      <c r="C675"/>
      <c r="D675"/>
      <c r="E675"/>
      <c r="F675"/>
    </row>
    <row r="676" customHeight="1" spans="1:6">
      <c r="A676"/>
      <c r="B676"/>
      <c r="C676"/>
      <c r="D676"/>
      <c r="E676"/>
      <c r="F676"/>
    </row>
    <row r="677" customHeight="1" spans="1:6">
      <c r="A677" s="57"/>
      <c r="B677" s="57"/>
      <c r="C677" s="57"/>
      <c r="D677" s="113"/>
      <c r="E677" s="57"/>
      <c r="F677" s="113"/>
    </row>
    <row r="678" customHeight="1" spans="1:6">
      <c r="A678" s="57"/>
      <c r="B678" s="57"/>
      <c r="C678" s="57"/>
      <c r="D678" s="113"/>
      <c r="E678" s="57"/>
      <c r="F678" s="113"/>
    </row>
    <row r="679" customHeight="1" spans="1:6">
      <c r="A679" s="57"/>
      <c r="B679" s="57"/>
      <c r="C679" s="57"/>
      <c r="D679" s="113"/>
      <c r="E679" s="57"/>
      <c r="F679" s="113"/>
    </row>
    <row r="680" customHeight="1" spans="1:6">
      <c r="A680" s="312" t="s">
        <v>1155</v>
      </c>
      <c r="B680" s="312"/>
      <c r="C680" s="312"/>
      <c r="D680" s="312"/>
      <c r="E680" s="312"/>
      <c r="F680" s="312"/>
    </row>
    <row r="681" customHeight="1" spans="1:6">
      <c r="A681" s="205" t="s">
        <v>1264</v>
      </c>
      <c r="B681" s="205"/>
      <c r="C681" s="205"/>
      <c r="D681" s="205"/>
      <c r="E681" s="205"/>
      <c r="F681" s="205"/>
    </row>
    <row r="682" customHeight="1" spans="1:6">
      <c r="A682" s="191" t="s">
        <v>1265</v>
      </c>
      <c r="B682" s="191"/>
      <c r="C682" s="168"/>
      <c r="D682" s="168"/>
      <c r="E682" s="191" t="s">
        <v>1159</v>
      </c>
      <c r="F682" s="191"/>
    </row>
    <row r="683" customHeight="1" spans="1:6">
      <c r="A683" s="117" t="s">
        <v>1184</v>
      </c>
      <c r="B683" s="192"/>
      <c r="C683" s="192"/>
      <c r="D683" s="192"/>
      <c r="E683" s="192"/>
      <c r="F683" s="118"/>
    </row>
    <row r="684" customHeight="1" spans="1:6">
      <c r="A684" s="57" t="s">
        <v>354</v>
      </c>
      <c r="B684" s="57" t="s">
        <v>956</v>
      </c>
      <c r="C684" s="57" t="s">
        <v>52</v>
      </c>
      <c r="D684" s="57" t="s">
        <v>855</v>
      </c>
      <c r="E684" s="57" t="s">
        <v>53</v>
      </c>
      <c r="F684" s="57" t="s">
        <v>306</v>
      </c>
    </row>
    <row r="685" customHeight="1" spans="1:6">
      <c r="A685" s="57" t="s">
        <v>959</v>
      </c>
      <c r="B685" s="57" t="s">
        <v>960</v>
      </c>
      <c r="C685" s="57"/>
      <c r="D685" s="57"/>
      <c r="E685" s="57"/>
      <c r="F685" s="84">
        <f>F686+F700+F701</f>
        <v>25633.9333801862</v>
      </c>
    </row>
    <row r="686" customHeight="1" spans="1:6">
      <c r="A686" s="57" t="s">
        <v>59</v>
      </c>
      <c r="B686" s="57" t="s">
        <v>957</v>
      </c>
      <c r="C686" s="57"/>
      <c r="D686" s="57"/>
      <c r="E686" s="57"/>
      <c r="F686" s="84">
        <f>F687+F690+F694</f>
        <v>24459.8600955975</v>
      </c>
    </row>
    <row r="687" s="308" customFormat="1" customHeight="1" spans="1:6">
      <c r="A687" s="57" t="s">
        <v>959</v>
      </c>
      <c r="B687" s="57" t="s">
        <v>964</v>
      </c>
      <c r="C687" s="57" t="s">
        <v>965</v>
      </c>
      <c r="D687" s="113"/>
      <c r="E687" s="92">
        <f>SUM(E688:E689)</f>
        <v>884.2</v>
      </c>
      <c r="F687" s="113">
        <f>SUM(F688:F689)</f>
        <v>6020.32</v>
      </c>
    </row>
    <row r="688" s="307" customFormat="1" customHeight="1" spans="1:6">
      <c r="A688" s="57"/>
      <c r="B688" s="57" t="s">
        <v>966</v>
      </c>
      <c r="C688" s="57" t="s">
        <v>965</v>
      </c>
      <c r="D688" s="113">
        <f>建筑工程单价分析表!D223</f>
        <v>8.1</v>
      </c>
      <c r="E688" s="92">
        <v>394.2</v>
      </c>
      <c r="F688" s="113">
        <f t="shared" ref="F688:F692" si="64">D688*E688</f>
        <v>3193.02</v>
      </c>
    </row>
    <row r="689" s="307" customFormat="1" customHeight="1" spans="1:6">
      <c r="A689" s="57"/>
      <c r="B689" s="57" t="s">
        <v>968</v>
      </c>
      <c r="C689" s="57" t="s">
        <v>965</v>
      </c>
      <c r="D689" s="113">
        <f>建筑工程单价分析表!D224</f>
        <v>5.77</v>
      </c>
      <c r="E689" s="92">
        <v>490</v>
      </c>
      <c r="F689" s="113">
        <f t="shared" si="64"/>
        <v>2827.3</v>
      </c>
    </row>
    <row r="690" customHeight="1" spans="1:6">
      <c r="A690" s="57" t="s">
        <v>72</v>
      </c>
      <c r="B690" s="57" t="s">
        <v>1219</v>
      </c>
      <c r="C690" s="57"/>
      <c r="D690" s="57"/>
      <c r="E690" s="57"/>
      <c r="F690" s="203">
        <f>SUM(F691:F693)</f>
        <v>12692.84244186</v>
      </c>
    </row>
    <row r="691" customHeight="1" spans="1:6">
      <c r="A691" s="57"/>
      <c r="B691" s="57" t="s">
        <v>1111</v>
      </c>
      <c r="C691" s="57" t="s">
        <v>1188</v>
      </c>
      <c r="D691" s="57">
        <f>材料预算价!L9</f>
        <v>70</v>
      </c>
      <c r="E691" s="57">
        <v>113</v>
      </c>
      <c r="F691" s="113">
        <f t="shared" si="64"/>
        <v>7910</v>
      </c>
    </row>
    <row r="692" customHeight="1" spans="1:6">
      <c r="A692" s="57"/>
      <c r="B692" s="57" t="s">
        <v>1255</v>
      </c>
      <c r="C692" s="57" t="s">
        <v>1188</v>
      </c>
      <c r="D692" s="113">
        <f>配合比!M14</f>
        <v>135.62339</v>
      </c>
      <c r="E692" s="57">
        <v>34.8</v>
      </c>
      <c r="F692" s="113">
        <f t="shared" si="64"/>
        <v>4719.693972</v>
      </c>
    </row>
    <row r="693" customHeight="1" spans="1:6">
      <c r="A693" s="57"/>
      <c r="B693" s="57" t="s">
        <v>1248</v>
      </c>
      <c r="C693" s="59" t="s">
        <v>423</v>
      </c>
      <c r="D693" s="84">
        <f>F691+F692</f>
        <v>12629.693972</v>
      </c>
      <c r="E693" s="57">
        <v>0.5</v>
      </c>
      <c r="F693" s="113">
        <f>D693*E693/100</f>
        <v>63.14846986</v>
      </c>
    </row>
    <row r="694" customHeight="1" spans="1:6">
      <c r="A694" s="57" t="s">
        <v>162</v>
      </c>
      <c r="B694" s="57" t="s">
        <v>1171</v>
      </c>
      <c r="C694" s="57"/>
      <c r="D694" s="57"/>
      <c r="E694" s="57"/>
      <c r="F694" s="203">
        <f>SUM(F695:F699)</f>
        <v>5746.69765373754</v>
      </c>
    </row>
    <row r="695" customHeight="1" spans="1:6">
      <c r="A695" s="57"/>
      <c r="B695" s="57" t="s">
        <v>1259</v>
      </c>
      <c r="C695" s="57" t="s">
        <v>988</v>
      </c>
      <c r="D695" s="113">
        <f>建筑工程单价分析表!D230</f>
        <v>15.3</v>
      </c>
      <c r="E695" s="57">
        <v>6.68</v>
      </c>
      <c r="F695" s="113">
        <f t="shared" ref="F695:F699" si="65">D695*E695</f>
        <v>102.204</v>
      </c>
    </row>
    <row r="696" customHeight="1" spans="1:6">
      <c r="A696" s="57"/>
      <c r="B696" s="57" t="s">
        <v>1260</v>
      </c>
      <c r="C696" s="57" t="s">
        <v>988</v>
      </c>
      <c r="D696" s="113">
        <f>建筑工程单价分析表!D231</f>
        <v>119.591356601516</v>
      </c>
      <c r="E696" s="57">
        <v>5.56</v>
      </c>
      <c r="F696" s="113">
        <f t="shared" si="65"/>
        <v>664.927942704429</v>
      </c>
    </row>
    <row r="697" customHeight="1" spans="1:6">
      <c r="A697" s="57"/>
      <c r="B697" s="57" t="s">
        <v>1261</v>
      </c>
      <c r="C697" s="57" t="s">
        <v>988</v>
      </c>
      <c r="D697" s="113">
        <f>建筑工程单价分析表!D232</f>
        <v>17.1951356202633</v>
      </c>
      <c r="E697" s="57">
        <v>9.52</v>
      </c>
      <c r="F697" s="113">
        <f t="shared" si="65"/>
        <v>163.697691104907</v>
      </c>
    </row>
    <row r="698" customHeight="1" spans="1:6">
      <c r="A698" s="57"/>
      <c r="B698" s="57" t="s">
        <v>1262</v>
      </c>
      <c r="C698" s="57" t="s">
        <v>988</v>
      </c>
      <c r="D698" s="113">
        <f>建筑工程单价分析表!D233</f>
        <v>213.436615875548</v>
      </c>
      <c r="E698" s="57">
        <v>2.37</v>
      </c>
      <c r="F698" s="113">
        <f t="shared" si="65"/>
        <v>505.844779625049</v>
      </c>
    </row>
    <row r="699" customHeight="1" spans="1:6">
      <c r="A699" s="57"/>
      <c r="B699" s="57" t="s">
        <v>1263</v>
      </c>
      <c r="C699" s="57" t="s">
        <v>423</v>
      </c>
      <c r="D699" s="113">
        <f>SUM(F695:F698)</f>
        <v>1436.67441343438</v>
      </c>
      <c r="E699" s="57">
        <v>3</v>
      </c>
      <c r="F699" s="113">
        <f t="shared" si="65"/>
        <v>4310.02324030315</v>
      </c>
    </row>
    <row r="700" customHeight="1" spans="1:6">
      <c r="A700" s="57" t="s">
        <v>70</v>
      </c>
      <c r="B700" s="57" t="s">
        <v>977</v>
      </c>
      <c r="C700" s="194">
        <f>取费表!$C$6</f>
        <v>0.048</v>
      </c>
      <c r="D700" s="113"/>
      <c r="E700" s="84">
        <f>F686</f>
        <v>24459.8600955975</v>
      </c>
      <c r="F700" s="113">
        <f t="shared" ref="F700:F703" si="66">E700*C700</f>
        <v>1174.07328458868</v>
      </c>
    </row>
    <row r="701" customHeight="1" spans="1:6">
      <c r="A701" s="57"/>
      <c r="B701" s="57"/>
      <c r="C701" s="194"/>
      <c r="D701" s="113"/>
      <c r="E701" s="84"/>
      <c r="F701" s="113"/>
    </row>
    <row r="702" customHeight="1" spans="1:6">
      <c r="A702" s="57" t="s">
        <v>979</v>
      </c>
      <c r="B702" s="57" t="s">
        <v>973</v>
      </c>
      <c r="C702" s="194">
        <f>取费表!$E$6</f>
        <v>0.085</v>
      </c>
      <c r="D702" s="113"/>
      <c r="E702" s="84">
        <f>F685</f>
        <v>25633.9333801862</v>
      </c>
      <c r="F702" s="113">
        <f t="shared" si="66"/>
        <v>2178.88433731583</v>
      </c>
    </row>
    <row r="703" customHeight="1" spans="1:6">
      <c r="A703" s="57" t="s">
        <v>162</v>
      </c>
      <c r="B703" s="57" t="s">
        <v>980</v>
      </c>
      <c r="C703" s="194">
        <f>取费表!$F$6</f>
        <v>0.07</v>
      </c>
      <c r="D703" s="113"/>
      <c r="E703" s="84">
        <f>F685+F702</f>
        <v>27812.817717502</v>
      </c>
      <c r="F703" s="113">
        <f t="shared" si="66"/>
        <v>1946.89724022514</v>
      </c>
    </row>
    <row r="704" customHeight="1" spans="1:6">
      <c r="A704" s="57" t="s">
        <v>214</v>
      </c>
      <c r="B704" s="57" t="s">
        <v>1173</v>
      </c>
      <c r="C704" s="59"/>
      <c r="D704" s="113"/>
      <c r="E704" s="57"/>
      <c r="F704" s="113">
        <f>SUM(F706:F708)</f>
        <v>11200.3895434174</v>
      </c>
    </row>
    <row r="705" customHeight="1" spans="1:6">
      <c r="A705" s="57"/>
      <c r="B705" s="57" t="s">
        <v>1116</v>
      </c>
      <c r="C705" s="59" t="s">
        <v>184</v>
      </c>
      <c r="D705" s="113">
        <f>建筑工程单价分析表!D240</f>
        <v>4.86</v>
      </c>
      <c r="E705" s="57">
        <f>E696*台时!C308+E698*台时!D308+台时!E308*E697</f>
        <v>171.686</v>
      </c>
      <c r="F705" s="113">
        <f>D705*E705</f>
        <v>834.39396</v>
      </c>
    </row>
    <row r="706" customHeight="1" spans="1:6">
      <c r="A706" s="57"/>
      <c r="B706" s="57" t="s">
        <v>1111</v>
      </c>
      <c r="C706" s="57" t="s">
        <v>1188</v>
      </c>
      <c r="D706" s="113">
        <f>材料预算价!K9-材料预算价!L9</f>
        <v>72.9672</v>
      </c>
      <c r="E706" s="57">
        <f>E691</f>
        <v>113</v>
      </c>
      <c r="F706" s="113">
        <f t="shared" ref="F706:F708" si="67">E706*D706</f>
        <v>8245.2936</v>
      </c>
    </row>
    <row r="707" customHeight="1" spans="1:6">
      <c r="A707" s="57"/>
      <c r="B707" s="57" t="s">
        <v>1141</v>
      </c>
      <c r="C707" s="57" t="s">
        <v>69</v>
      </c>
      <c r="D707" s="113">
        <f>建筑工程单价分析表!D242</f>
        <v>156.64017</v>
      </c>
      <c r="E707" s="88">
        <f>E692*配合比!E14</f>
        <v>7.811208</v>
      </c>
      <c r="F707" s="113">
        <f t="shared" si="67"/>
        <v>1223.54894902536</v>
      </c>
    </row>
    <row r="708" customHeight="1" spans="1:6">
      <c r="A708" s="57"/>
      <c r="B708" s="57" t="s">
        <v>1142</v>
      </c>
      <c r="C708" s="57" t="s">
        <v>1188</v>
      </c>
      <c r="D708" s="113">
        <f>建筑工程单价分析表!D243</f>
        <v>44.826214</v>
      </c>
      <c r="E708" s="88">
        <f>E692*配合比!G14</f>
        <v>38.628</v>
      </c>
      <c r="F708" s="113">
        <f t="shared" si="67"/>
        <v>1731.546994392</v>
      </c>
    </row>
    <row r="709" customHeight="1" spans="1:6">
      <c r="A709" s="57" t="s">
        <v>327</v>
      </c>
      <c r="B709" s="57" t="s">
        <v>976</v>
      </c>
      <c r="C709" s="195">
        <f>建筑工程单价分析表!C244</f>
        <v>0.09</v>
      </c>
      <c r="D709" s="113"/>
      <c r="E709" s="84">
        <f>F704+F703+F702+F685</f>
        <v>40960.1045011446</v>
      </c>
      <c r="F709" s="113">
        <f>E709*C709</f>
        <v>3686.40940510301</v>
      </c>
    </row>
    <row r="710" customHeight="1" spans="1:6">
      <c r="A710" s="57"/>
      <c r="B710" s="57" t="s">
        <v>984</v>
      </c>
      <c r="C710" s="195"/>
      <c r="D710" s="113"/>
      <c r="E710" s="84"/>
      <c r="F710" s="113">
        <f>(F685+F702+F703+F704+F709)*取费表!H4</f>
        <v>1339.39541718743</v>
      </c>
    </row>
    <row r="711" customHeight="1" spans="1:6">
      <c r="A711" s="57"/>
      <c r="B711" s="57" t="s">
        <v>278</v>
      </c>
      <c r="C711" s="57"/>
      <c r="D711" s="113"/>
      <c r="E711" s="57"/>
      <c r="F711" s="113">
        <f>E709+F709+F710</f>
        <v>45985.909323435</v>
      </c>
    </row>
    <row r="712" customHeight="1" spans="1:6">
      <c r="A712" s="57"/>
      <c r="B712" s="57"/>
      <c r="C712" s="57"/>
      <c r="D712" s="113"/>
      <c r="E712" s="57"/>
      <c r="F712" s="113"/>
    </row>
    <row r="713" customHeight="1" spans="1:6">
      <c r="A713" s="57"/>
      <c r="B713" s="57"/>
      <c r="C713" s="57"/>
      <c r="D713" s="113"/>
      <c r="E713" s="57"/>
      <c r="F713" s="113"/>
    </row>
    <row r="714" customHeight="1" spans="1:6">
      <c r="A714" s="57"/>
      <c r="B714" s="57"/>
      <c r="C714" s="57"/>
      <c r="D714" s="113"/>
      <c r="E714" s="57"/>
      <c r="F714" s="113"/>
    </row>
    <row r="715" customHeight="1" spans="1:6">
      <c r="A715" s="57"/>
      <c r="B715" s="57"/>
      <c r="C715" s="57"/>
      <c r="D715" s="113"/>
      <c r="E715" s="57"/>
      <c r="F715" s="113"/>
    </row>
    <row r="716" customHeight="1" spans="1:6">
      <c r="A716" s="57"/>
      <c r="B716" s="57"/>
      <c r="C716" s="57"/>
      <c r="D716" s="113"/>
      <c r="E716" s="57"/>
      <c r="F716" s="113"/>
    </row>
    <row r="717" customHeight="1" spans="1:6">
      <c r="A717" s="57"/>
      <c r="B717" s="57"/>
      <c r="C717" s="57"/>
      <c r="D717" s="113"/>
      <c r="E717" s="57"/>
      <c r="F717" s="113"/>
    </row>
    <row r="718" customHeight="1" spans="1:6">
      <c r="A718" s="57"/>
      <c r="B718" s="57"/>
      <c r="C718" s="57"/>
      <c r="D718" s="113"/>
      <c r="E718" s="57"/>
      <c r="F718" s="113"/>
    </row>
    <row r="719" customHeight="1" spans="1:6">
      <c r="A719" s="57"/>
      <c r="B719" s="57"/>
      <c r="C719" s="57"/>
      <c r="D719" s="113"/>
      <c r="E719" s="57"/>
      <c r="F719" s="113"/>
    </row>
    <row r="720" customHeight="1" spans="1:6">
      <c r="A720" s="57"/>
      <c r="B720" s="57"/>
      <c r="C720" s="57"/>
      <c r="D720" s="113"/>
      <c r="E720" s="57"/>
      <c r="F720" s="113"/>
    </row>
    <row r="721" customHeight="1" spans="1:6">
      <c r="A721" s="57"/>
      <c r="B721" s="57"/>
      <c r="C721" s="57"/>
      <c r="D721" s="113"/>
      <c r="E721" s="57"/>
      <c r="F721" s="113"/>
    </row>
    <row r="722" customHeight="1" spans="1:6">
      <c r="A722" s="312" t="s">
        <v>1155</v>
      </c>
      <c r="B722" s="312"/>
      <c r="C722" s="312"/>
      <c r="D722" s="312"/>
      <c r="E722" s="312"/>
      <c r="F722" s="312"/>
    </row>
    <row r="723" customHeight="1" spans="1:6">
      <c r="A723" s="205" t="s">
        <v>1266</v>
      </c>
      <c r="B723" s="205"/>
      <c r="C723" s="205"/>
      <c r="D723" s="205"/>
      <c r="E723" s="205"/>
      <c r="F723" s="205"/>
    </row>
    <row r="724" customHeight="1" spans="1:6">
      <c r="A724" s="190" t="s">
        <v>1267</v>
      </c>
      <c r="B724" s="191"/>
      <c r="C724" s="168"/>
      <c r="D724" s="168"/>
      <c r="E724" s="191" t="s">
        <v>1159</v>
      </c>
      <c r="F724" s="191"/>
    </row>
    <row r="725" customHeight="1" spans="1:6">
      <c r="A725" s="197" t="s">
        <v>1184</v>
      </c>
      <c r="B725" s="192"/>
      <c r="C725" s="201"/>
      <c r="D725" s="201"/>
      <c r="E725" s="201"/>
      <c r="F725" s="202"/>
    </row>
    <row r="726" customHeight="1" spans="1:6">
      <c r="A726" s="57" t="s">
        <v>354</v>
      </c>
      <c r="B726" s="57" t="s">
        <v>956</v>
      </c>
      <c r="C726" s="57" t="s">
        <v>52</v>
      </c>
      <c r="D726" s="57" t="s">
        <v>855</v>
      </c>
      <c r="E726" s="57" t="s">
        <v>53</v>
      </c>
      <c r="F726" s="57" t="s">
        <v>306</v>
      </c>
    </row>
    <row r="727" customHeight="1" spans="1:6">
      <c r="A727" s="57" t="s">
        <v>959</v>
      </c>
      <c r="B727" s="57" t="s">
        <v>960</v>
      </c>
      <c r="C727" s="57"/>
      <c r="D727" s="57"/>
      <c r="E727" s="57"/>
      <c r="F727" s="84" t="e">
        <f>F728+F739+F740</f>
        <v>#REF!</v>
      </c>
    </row>
    <row r="728" customHeight="1" spans="1:6">
      <c r="A728" s="57" t="s">
        <v>59</v>
      </c>
      <c r="B728" s="57" t="s">
        <v>957</v>
      </c>
      <c r="C728" s="57"/>
      <c r="D728" s="57"/>
      <c r="E728" s="57"/>
      <c r="F728" s="84" t="e">
        <f>F729+F732+F736</f>
        <v>#REF!</v>
      </c>
    </row>
    <row r="729" s="308" customFormat="1" customHeight="1" spans="1:6">
      <c r="A729" s="57" t="s">
        <v>959</v>
      </c>
      <c r="B729" s="57" t="s">
        <v>964</v>
      </c>
      <c r="C729" s="57" t="s">
        <v>965</v>
      </c>
      <c r="D729" s="113"/>
      <c r="E729" s="92">
        <f>SUM(E730:E731)</f>
        <v>567.7</v>
      </c>
      <c r="F729" s="113">
        <f>SUM(F730:F731)</f>
        <v>3707.145</v>
      </c>
    </row>
    <row r="730" s="307" customFormat="1" customHeight="1" spans="1:6">
      <c r="A730" s="57"/>
      <c r="B730" s="57" t="s">
        <v>966</v>
      </c>
      <c r="C730" s="57" t="s">
        <v>965</v>
      </c>
      <c r="D730" s="113">
        <f>D688</f>
        <v>8.1</v>
      </c>
      <c r="E730" s="92">
        <v>185.2</v>
      </c>
      <c r="F730" s="113">
        <f t="shared" ref="F730:F734" si="68">D730*E730</f>
        <v>1500.12</v>
      </c>
    </row>
    <row r="731" s="307" customFormat="1" customHeight="1" spans="1:6">
      <c r="A731" s="57"/>
      <c r="B731" s="57" t="s">
        <v>968</v>
      </c>
      <c r="C731" s="57" t="s">
        <v>965</v>
      </c>
      <c r="D731" s="113">
        <f>D689</f>
        <v>5.77</v>
      </c>
      <c r="E731" s="92">
        <v>382.5</v>
      </c>
      <c r="F731" s="113">
        <f t="shared" si="68"/>
        <v>2207.025</v>
      </c>
    </row>
    <row r="732" customHeight="1" spans="1:6">
      <c r="A732" s="57" t="s">
        <v>72</v>
      </c>
      <c r="B732" s="57" t="s">
        <v>1219</v>
      </c>
      <c r="C732" s="57"/>
      <c r="D732" s="57"/>
      <c r="E732" s="57"/>
      <c r="F732" s="203">
        <f>SUM(F733:F735)</f>
        <v>8201.2</v>
      </c>
    </row>
    <row r="733" customHeight="1" spans="1:6">
      <c r="A733" s="57"/>
      <c r="B733" s="57" t="s">
        <v>1111</v>
      </c>
      <c r="C733" s="57" t="s">
        <v>1188</v>
      </c>
      <c r="D733" s="57">
        <f>材料预算价!L9</f>
        <v>70</v>
      </c>
      <c r="E733" s="57">
        <v>116</v>
      </c>
      <c r="F733" s="113">
        <f t="shared" si="68"/>
        <v>8120</v>
      </c>
    </row>
    <row r="734" customHeight="1" spans="1:6">
      <c r="A734" s="57"/>
      <c r="B734" s="57" t="s">
        <v>1255</v>
      </c>
      <c r="C734" s="57" t="s">
        <v>1188</v>
      </c>
      <c r="D734" s="113">
        <f>配合比!M14</f>
        <v>135.62339</v>
      </c>
      <c r="E734" s="57"/>
      <c r="F734" s="113">
        <f t="shared" si="68"/>
        <v>0</v>
      </c>
    </row>
    <row r="735" customHeight="1" spans="1:6">
      <c r="A735" s="57"/>
      <c r="B735" s="57" t="s">
        <v>1248</v>
      </c>
      <c r="C735" s="59" t="s">
        <v>423</v>
      </c>
      <c r="D735" s="84">
        <f>F733+F734</f>
        <v>8120</v>
      </c>
      <c r="E735" s="57">
        <v>1</v>
      </c>
      <c r="F735" s="113">
        <f>D735*E735/100</f>
        <v>81.2</v>
      </c>
    </row>
    <row r="736" customHeight="1" spans="1:6">
      <c r="A736" s="57" t="s">
        <v>162</v>
      </c>
      <c r="B736" s="57" t="s">
        <v>1171</v>
      </c>
      <c r="C736" s="57"/>
      <c r="D736" s="57"/>
      <c r="E736" s="57"/>
      <c r="F736" s="203" t="e">
        <f>SUM(F737:F738)</f>
        <v>#REF!</v>
      </c>
    </row>
    <row r="737" customHeight="1" spans="1:6">
      <c r="A737" s="57"/>
      <c r="B737" s="57" t="s">
        <v>1256</v>
      </c>
      <c r="C737" s="57" t="s">
        <v>988</v>
      </c>
      <c r="D737" s="113" t="e">
        <f>#REF!</f>
        <v>#REF!</v>
      </c>
      <c r="E737" s="57">
        <v>6.12</v>
      </c>
      <c r="F737" s="113" t="e">
        <f>D737*E737</f>
        <v>#REF!</v>
      </c>
    </row>
    <row r="738" customHeight="1" spans="1:6">
      <c r="A738" s="57"/>
      <c r="B738" s="57" t="s">
        <v>1190</v>
      </c>
      <c r="C738" s="57" t="s">
        <v>988</v>
      </c>
      <c r="D738" s="113" t="e">
        <f>#REF!</f>
        <v>#REF!</v>
      </c>
      <c r="E738" s="57">
        <v>155.52</v>
      </c>
      <c r="F738" s="113" t="e">
        <f>D738*E738</f>
        <v>#REF!</v>
      </c>
    </row>
    <row r="739" customHeight="1" spans="1:6">
      <c r="A739" s="57" t="s">
        <v>70</v>
      </c>
      <c r="B739" s="57" t="s">
        <v>977</v>
      </c>
      <c r="C739" s="194">
        <f>取费表!$C$6</f>
        <v>0.048</v>
      </c>
      <c r="D739" s="113"/>
      <c r="E739" s="84" t="e">
        <f>F728</f>
        <v>#REF!</v>
      </c>
      <c r="F739" s="113" t="e">
        <f t="shared" ref="F739:F742" si="69">E739*C739</f>
        <v>#REF!</v>
      </c>
    </row>
    <row r="740" customHeight="1" spans="1:6">
      <c r="A740" s="57"/>
      <c r="B740" s="57"/>
      <c r="C740" s="194"/>
      <c r="D740" s="113"/>
      <c r="E740" s="84"/>
      <c r="F740" s="113"/>
    </row>
    <row r="741" customHeight="1" spans="1:6">
      <c r="A741" s="57" t="s">
        <v>979</v>
      </c>
      <c r="B741" s="57" t="s">
        <v>973</v>
      </c>
      <c r="C741" s="194">
        <f>取费表!$E$6</f>
        <v>0.085</v>
      </c>
      <c r="D741" s="113"/>
      <c r="E741" s="84" t="e">
        <f>F727</f>
        <v>#REF!</v>
      </c>
      <c r="F741" s="113" t="e">
        <f t="shared" si="69"/>
        <v>#REF!</v>
      </c>
    </row>
    <row r="742" customHeight="1" spans="1:6">
      <c r="A742" s="57" t="s">
        <v>162</v>
      </c>
      <c r="B742" s="57" t="s">
        <v>980</v>
      </c>
      <c r="C742" s="194">
        <f>取费表!$F$6</f>
        <v>0.07</v>
      </c>
      <c r="D742" s="113"/>
      <c r="E742" s="84" t="e">
        <f>F727+F741</f>
        <v>#REF!</v>
      </c>
      <c r="F742" s="113" t="e">
        <f t="shared" si="69"/>
        <v>#REF!</v>
      </c>
    </row>
    <row r="743" customHeight="1" spans="1:6">
      <c r="A743" s="57" t="s">
        <v>214</v>
      </c>
      <c r="B743" s="57" t="s">
        <v>1173</v>
      </c>
      <c r="C743" s="59"/>
      <c r="D743" s="113"/>
      <c r="E743" s="57"/>
      <c r="F743" s="113">
        <f>SUM(F744:F746)</f>
        <v>8464.1952</v>
      </c>
    </row>
    <row r="744" customHeight="1" spans="1:6">
      <c r="A744" s="57"/>
      <c r="B744" s="57" t="s">
        <v>1111</v>
      </c>
      <c r="C744" s="57" t="s">
        <v>1188</v>
      </c>
      <c r="D744" s="113">
        <f>材料预算价!K9-材料预算价!L9</f>
        <v>72.9672</v>
      </c>
      <c r="E744" s="57">
        <f>E733</f>
        <v>116</v>
      </c>
      <c r="F744" s="113">
        <f t="shared" ref="F744:F746" si="70">E744*D744</f>
        <v>8464.1952</v>
      </c>
    </row>
    <row r="745" customHeight="1" spans="1:6">
      <c r="A745" s="57"/>
      <c r="B745" s="57" t="s">
        <v>1141</v>
      </c>
      <c r="C745" s="57" t="s">
        <v>69</v>
      </c>
      <c r="D745" s="113">
        <f>D707</f>
        <v>156.64017</v>
      </c>
      <c r="E745" s="88">
        <f>E734*配合比!E14</f>
        <v>0</v>
      </c>
      <c r="F745" s="113">
        <f t="shared" si="70"/>
        <v>0</v>
      </c>
    </row>
    <row r="746" customHeight="1" spans="1:6">
      <c r="A746" s="57"/>
      <c r="B746" s="57" t="s">
        <v>1142</v>
      </c>
      <c r="C746" s="57" t="s">
        <v>1188</v>
      </c>
      <c r="D746" s="113">
        <f>D708</f>
        <v>44.826214</v>
      </c>
      <c r="E746" s="88">
        <f>E734*配合比!G14</f>
        <v>0</v>
      </c>
      <c r="F746" s="113">
        <f t="shared" si="70"/>
        <v>0</v>
      </c>
    </row>
    <row r="747" customHeight="1" spans="1:6">
      <c r="A747" s="57" t="s">
        <v>327</v>
      </c>
      <c r="B747" s="57" t="s">
        <v>976</v>
      </c>
      <c r="C747" s="195">
        <f>C709</f>
        <v>0.09</v>
      </c>
      <c r="D747" s="113"/>
      <c r="E747" s="196" t="e">
        <f>F743+F742+F741+F727</f>
        <v>#REF!</v>
      </c>
      <c r="F747" s="113" t="e">
        <f>E747*C747</f>
        <v>#REF!</v>
      </c>
    </row>
    <row r="748" customHeight="1" spans="1:6">
      <c r="A748" s="57"/>
      <c r="B748" s="57" t="s">
        <v>984</v>
      </c>
      <c r="C748" s="195"/>
      <c r="D748" s="113"/>
      <c r="E748" s="196"/>
      <c r="F748" s="113" t="e">
        <f>(F727+F741+F742+F743+F747)*取费表!H4</f>
        <v>#REF!</v>
      </c>
    </row>
    <row r="749" customHeight="1" spans="1:6">
      <c r="A749" s="57"/>
      <c r="B749" s="57" t="s">
        <v>278</v>
      </c>
      <c r="C749" s="57"/>
      <c r="D749" s="57"/>
      <c r="E749" s="57"/>
      <c r="F749" s="113" t="e">
        <f>E747+F747+F748</f>
        <v>#REF!</v>
      </c>
    </row>
    <row r="750" customHeight="1" spans="1:6">
      <c r="A750" s="57"/>
      <c r="B750" s="57"/>
      <c r="C750" s="57"/>
      <c r="D750" s="57"/>
      <c r="E750" s="57"/>
      <c r="F750" s="113"/>
    </row>
    <row r="751" customHeight="1" spans="1:6">
      <c r="A751" s="57"/>
      <c r="B751" s="57"/>
      <c r="C751" s="57"/>
      <c r="D751" s="57"/>
      <c r="E751" s="57"/>
      <c r="F751" s="113"/>
    </row>
    <row r="752" customHeight="1" spans="1:6">
      <c r="A752" s="57"/>
      <c r="B752" s="57"/>
      <c r="C752" s="57"/>
      <c r="D752" s="57"/>
      <c r="E752" s="57"/>
      <c r="F752" s="113"/>
    </row>
    <row r="753" customHeight="1" spans="1:6">
      <c r="A753" s="57"/>
      <c r="B753" s="57"/>
      <c r="C753" s="57"/>
      <c r="D753" s="57"/>
      <c r="E753" s="57"/>
      <c r="F753" s="113"/>
    </row>
    <row r="754" customHeight="1" spans="1:6">
      <c r="A754" s="57"/>
      <c r="B754" s="57"/>
      <c r="C754" s="57"/>
      <c r="D754" s="57"/>
      <c r="E754" s="57"/>
      <c r="F754" s="113"/>
    </row>
    <row r="755" customHeight="1" spans="1:6">
      <c r="A755" s="57"/>
      <c r="B755" s="57"/>
      <c r="C755" s="57"/>
      <c r="D755" s="57"/>
      <c r="E755" s="57"/>
      <c r="F755" s="113"/>
    </row>
    <row r="756" customHeight="1" spans="1:6">
      <c r="A756" s="57"/>
      <c r="B756" s="57"/>
      <c r="C756" s="57"/>
      <c r="D756" s="57"/>
      <c r="E756" s="57"/>
      <c r="F756" s="113"/>
    </row>
    <row r="757" customHeight="1" spans="1:6">
      <c r="A757" s="57"/>
      <c r="B757" s="57"/>
      <c r="C757" s="57"/>
      <c r="D757" s="57"/>
      <c r="E757" s="57"/>
      <c r="F757" s="113"/>
    </row>
    <row r="758" customHeight="1" spans="1:6">
      <c r="A758" s="57"/>
      <c r="B758" s="57"/>
      <c r="C758" s="57"/>
      <c r="D758" s="57"/>
      <c r="E758" s="57"/>
      <c r="F758" s="113"/>
    </row>
    <row r="759" customHeight="1" spans="1:6">
      <c r="A759" s="57"/>
      <c r="B759" s="57"/>
      <c r="C759" s="57"/>
      <c r="D759" s="57"/>
      <c r="E759" s="57"/>
      <c r="F759" s="113"/>
    </row>
    <row r="760" customHeight="1" spans="1:11">
      <c r="A760" s="312" t="s">
        <v>1155</v>
      </c>
      <c r="B760" s="312"/>
      <c r="C760" s="312"/>
      <c r="D760" s="312"/>
      <c r="E760" s="312"/>
      <c r="F760" s="312"/>
      <c r="G760" s="312"/>
      <c r="H760" s="312"/>
      <c r="I760" s="312"/>
      <c r="J760" s="312"/>
      <c r="K760" s="312"/>
    </row>
    <row r="761" customHeight="1" spans="1:11">
      <c r="A761" s="205" t="s">
        <v>1268</v>
      </c>
      <c r="B761" s="205"/>
      <c r="C761" s="205"/>
      <c r="D761" s="205"/>
      <c r="E761" s="205"/>
      <c r="F761" s="205"/>
      <c r="G761" s="205"/>
      <c r="H761" s="205"/>
      <c r="I761" s="205"/>
      <c r="J761" s="205"/>
      <c r="K761" s="205"/>
    </row>
    <row r="762" customHeight="1" spans="1:11">
      <c r="A762" s="190" t="s">
        <v>1269</v>
      </c>
      <c r="B762" s="191"/>
      <c r="C762" s="168"/>
      <c r="D762" s="168"/>
      <c r="E762" s="191" t="s">
        <v>1159</v>
      </c>
      <c r="F762" s="191"/>
      <c r="G762" s="191"/>
      <c r="H762" s="168"/>
      <c r="I762" s="168"/>
      <c r="J762" s="191" t="s">
        <v>1159</v>
      </c>
      <c r="K762" s="191"/>
    </row>
    <row r="763" customHeight="1" spans="1:11">
      <c r="A763" s="197" t="s">
        <v>1184</v>
      </c>
      <c r="B763" s="192"/>
      <c r="C763" s="201"/>
      <c r="D763" s="201"/>
      <c r="E763" s="201"/>
      <c r="F763" s="202"/>
      <c r="G763" s="192"/>
      <c r="H763" s="192"/>
      <c r="I763" s="192"/>
      <c r="J763" s="192"/>
      <c r="K763" s="118"/>
    </row>
    <row r="764" customHeight="1" spans="1:11">
      <c r="A764" s="57" t="s">
        <v>354</v>
      </c>
      <c r="B764" s="57" t="s">
        <v>956</v>
      </c>
      <c r="C764" s="57" t="s">
        <v>52</v>
      </c>
      <c r="D764" s="57" t="s">
        <v>855</v>
      </c>
      <c r="E764" s="57" t="s">
        <v>53</v>
      </c>
      <c r="F764" s="57" t="s">
        <v>306</v>
      </c>
      <c r="G764" s="57" t="s">
        <v>956</v>
      </c>
      <c r="H764" s="57" t="s">
        <v>52</v>
      </c>
      <c r="I764" s="57" t="s">
        <v>855</v>
      </c>
      <c r="J764" s="57" t="s">
        <v>53</v>
      </c>
      <c r="K764" s="57" t="s">
        <v>306</v>
      </c>
    </row>
    <row r="765" customHeight="1" spans="1:11">
      <c r="A765" s="57" t="s">
        <v>959</v>
      </c>
      <c r="B765" s="57" t="s">
        <v>960</v>
      </c>
      <c r="C765" s="57"/>
      <c r="D765" s="57"/>
      <c r="E765" s="57"/>
      <c r="F765" s="84">
        <f>F766+F782+F783</f>
        <v>37150.8147369014</v>
      </c>
      <c r="G765" s="57" t="s">
        <v>960</v>
      </c>
      <c r="H765" s="57"/>
      <c r="I765" s="57"/>
      <c r="J765" s="57"/>
      <c r="K765" s="332">
        <f>K766+K780+K781</f>
        <v>8876.950904</v>
      </c>
    </row>
    <row r="766" customHeight="1" spans="1:11">
      <c r="A766" s="57" t="s">
        <v>59</v>
      </c>
      <c r="B766" s="57" t="s">
        <v>957</v>
      </c>
      <c r="C766" s="57"/>
      <c r="D766" s="57"/>
      <c r="E766" s="57"/>
      <c r="F766" s="84">
        <f>F767+F770+F774</f>
        <v>35449.2507031502</v>
      </c>
      <c r="G766" s="57" t="s">
        <v>957</v>
      </c>
      <c r="H766" s="57"/>
      <c r="I766" s="57"/>
      <c r="J766" s="57"/>
      <c r="K766" s="332">
        <f>K767+K770+K773</f>
        <v>8470.373</v>
      </c>
    </row>
    <row r="767" s="308" customFormat="1" customHeight="1" spans="1:11">
      <c r="A767" s="57" t="s">
        <v>959</v>
      </c>
      <c r="B767" s="57" t="s">
        <v>964</v>
      </c>
      <c r="C767" s="57" t="s">
        <v>965</v>
      </c>
      <c r="D767" s="113"/>
      <c r="E767" s="92">
        <f>SUM(E768:E769)</f>
        <v>1964.93</v>
      </c>
      <c r="F767" s="113">
        <f>SUM(F768:F769)</f>
        <v>14032.2911</v>
      </c>
      <c r="G767" s="57" t="s">
        <v>964</v>
      </c>
      <c r="H767" s="57" t="s">
        <v>965</v>
      </c>
      <c r="I767" s="113"/>
      <c r="J767" s="92">
        <f>SUM(J768:J769)</f>
        <v>214.2</v>
      </c>
      <c r="K767" s="113">
        <f>SUM(K768:K769)</f>
        <v>1245.953</v>
      </c>
    </row>
    <row r="768" s="307" customFormat="1" customHeight="1" spans="1:11">
      <c r="A768" s="57"/>
      <c r="B768" s="57" t="s">
        <v>966</v>
      </c>
      <c r="C768" s="57" t="s">
        <v>965</v>
      </c>
      <c r="D768" s="113">
        <f>D730</f>
        <v>8.1</v>
      </c>
      <c r="E768" s="92">
        <v>1156.5</v>
      </c>
      <c r="F768" s="113">
        <f t="shared" ref="F768:F772" si="71">D768*E768</f>
        <v>9367.65</v>
      </c>
      <c r="G768" s="57" t="s">
        <v>966</v>
      </c>
      <c r="H768" s="57" t="s">
        <v>965</v>
      </c>
      <c r="I768" s="113">
        <f t="shared" ref="I768:I771" si="72">D768</f>
        <v>8.1</v>
      </c>
      <c r="J768" s="92">
        <v>4.30000000000001</v>
      </c>
      <c r="K768" s="113">
        <f t="shared" ref="K768:K771" si="73">I768*J768</f>
        <v>34.8300000000001</v>
      </c>
    </row>
    <row r="769" s="307" customFormat="1" customHeight="1" spans="1:11">
      <c r="A769" s="57"/>
      <c r="B769" s="57" t="s">
        <v>968</v>
      </c>
      <c r="C769" s="57" t="s">
        <v>965</v>
      </c>
      <c r="D769" s="113">
        <f>D731</f>
        <v>5.77</v>
      </c>
      <c r="E769" s="92">
        <v>808.43</v>
      </c>
      <c r="F769" s="113">
        <f t="shared" si="71"/>
        <v>4664.6411</v>
      </c>
      <c r="G769" s="57" t="s">
        <v>968</v>
      </c>
      <c r="H769" s="57" t="s">
        <v>965</v>
      </c>
      <c r="I769" s="113">
        <f t="shared" si="72"/>
        <v>5.77</v>
      </c>
      <c r="J769" s="92">
        <v>209.9</v>
      </c>
      <c r="K769" s="113">
        <f t="shared" si="73"/>
        <v>1211.123</v>
      </c>
    </row>
    <row r="770" customHeight="1" spans="1:11">
      <c r="A770" s="57" t="s">
        <v>72</v>
      </c>
      <c r="B770" s="57" t="s">
        <v>1219</v>
      </c>
      <c r="C770" s="57"/>
      <c r="D770" s="57"/>
      <c r="E770" s="57"/>
      <c r="F770" s="203">
        <f>SUM(F771:F773)</f>
        <v>13082.03451037</v>
      </c>
      <c r="G770" s="57" t="s">
        <v>1219</v>
      </c>
      <c r="H770" s="57"/>
      <c r="I770" s="57"/>
      <c r="J770" s="57"/>
      <c r="K770" s="203">
        <f>SUM(K771:K772)</f>
        <v>7224.42</v>
      </c>
    </row>
    <row r="771" customHeight="1" spans="1:11">
      <c r="A771" s="57"/>
      <c r="B771" s="57" t="s">
        <v>1111</v>
      </c>
      <c r="C771" s="57" t="s">
        <v>1188</v>
      </c>
      <c r="D771" s="57">
        <f>材料预算价!L9</f>
        <v>70</v>
      </c>
      <c r="E771" s="57">
        <v>111.5</v>
      </c>
      <c r="F771" s="113">
        <f t="shared" si="71"/>
        <v>7805</v>
      </c>
      <c r="G771" s="57" t="s">
        <v>1111</v>
      </c>
      <c r="H771" s="57" t="s">
        <v>1188</v>
      </c>
      <c r="I771" s="57">
        <f t="shared" si="72"/>
        <v>70</v>
      </c>
      <c r="J771" s="57">
        <v>103</v>
      </c>
      <c r="K771" s="113">
        <f t="shared" si="73"/>
        <v>7210</v>
      </c>
    </row>
    <row r="772" customHeight="1" spans="1:11">
      <c r="A772" s="57"/>
      <c r="B772" s="57" t="s">
        <v>1255</v>
      </c>
      <c r="C772" s="57" t="s">
        <v>1188</v>
      </c>
      <c r="D772" s="113">
        <f>配合比!M14</f>
        <v>135.62339</v>
      </c>
      <c r="E772" s="57">
        <v>36.1</v>
      </c>
      <c r="F772" s="113">
        <f t="shared" si="71"/>
        <v>4896.004379</v>
      </c>
      <c r="G772" s="57" t="s">
        <v>1248</v>
      </c>
      <c r="H772" s="59" t="s">
        <v>423</v>
      </c>
      <c r="I772" s="84">
        <f>K771</f>
        <v>7210</v>
      </c>
      <c r="J772" s="57">
        <v>0.2</v>
      </c>
      <c r="K772" s="113">
        <f>I772*J772/100</f>
        <v>14.42</v>
      </c>
    </row>
    <row r="773" customHeight="1" spans="1:11">
      <c r="A773" s="57"/>
      <c r="B773" s="57" t="s">
        <v>1248</v>
      </c>
      <c r="C773" s="59" t="s">
        <v>423</v>
      </c>
      <c r="D773" s="84">
        <f>F771+F772</f>
        <v>12701.004379</v>
      </c>
      <c r="E773" s="57">
        <v>3</v>
      </c>
      <c r="F773" s="113">
        <f>D773*E773/100</f>
        <v>381.03013137</v>
      </c>
      <c r="G773" s="57" t="s">
        <v>1171</v>
      </c>
      <c r="H773" s="57"/>
      <c r="I773" s="57"/>
      <c r="J773" s="57"/>
      <c r="K773" s="203">
        <f>SUM(K774:K774)</f>
        <v>0</v>
      </c>
    </row>
    <row r="774" customHeight="1" spans="1:11">
      <c r="A774" s="57" t="s">
        <v>162</v>
      </c>
      <c r="B774" s="57" t="s">
        <v>1171</v>
      </c>
      <c r="C774" s="57"/>
      <c r="D774" s="57"/>
      <c r="E774" s="57"/>
      <c r="F774" s="203">
        <f>SUM(F775:F779)</f>
        <v>8334.92509278022</v>
      </c>
      <c r="G774" s="57" t="s">
        <v>1190</v>
      </c>
      <c r="H774" s="57" t="s">
        <v>988</v>
      </c>
      <c r="I774" s="113">
        <f>D781</f>
        <v>0</v>
      </c>
      <c r="J774" s="57">
        <v>66.5</v>
      </c>
      <c r="K774" s="113">
        <f>I774*J774</f>
        <v>0</v>
      </c>
    </row>
    <row r="775" customHeight="1" spans="1:6">
      <c r="A775" s="57"/>
      <c r="B775" s="57" t="s">
        <v>1259</v>
      </c>
      <c r="C775" s="57" t="s">
        <v>988</v>
      </c>
      <c r="D775" s="113">
        <f>D695</f>
        <v>15.3</v>
      </c>
      <c r="E775" s="57">
        <v>6.5</v>
      </c>
      <c r="F775" s="113">
        <f t="shared" ref="F775:F779" si="74">D775*E775</f>
        <v>99.45</v>
      </c>
    </row>
    <row r="776" customHeight="1" spans="1:6">
      <c r="A776" s="57"/>
      <c r="B776" s="57" t="s">
        <v>1260</v>
      </c>
      <c r="C776" s="57" t="s">
        <v>988</v>
      </c>
      <c r="D776" s="113">
        <f>D696</f>
        <v>119.591356601516</v>
      </c>
      <c r="E776" s="57">
        <v>5.58</v>
      </c>
      <c r="F776" s="113">
        <f t="shared" si="74"/>
        <v>667.319769836459</v>
      </c>
    </row>
    <row r="777" customHeight="1" spans="1:6">
      <c r="A777" s="57"/>
      <c r="B777" s="57" t="s">
        <v>1261</v>
      </c>
      <c r="C777" s="57" t="s">
        <v>988</v>
      </c>
      <c r="D777" s="113">
        <f>D697</f>
        <v>17.1951356202633</v>
      </c>
      <c r="E777" s="57">
        <v>9.26</v>
      </c>
      <c r="F777" s="113">
        <f t="shared" si="74"/>
        <v>159.226955843638</v>
      </c>
    </row>
    <row r="778" customHeight="1" spans="1:6">
      <c r="A778" s="57"/>
      <c r="B778" s="57" t="s">
        <v>1262</v>
      </c>
      <c r="C778" s="57" t="s">
        <v>988</v>
      </c>
      <c r="D778" s="113">
        <f>D698</f>
        <v>213.436615875548</v>
      </c>
      <c r="E778" s="57">
        <v>2.17</v>
      </c>
      <c r="F778" s="113">
        <f t="shared" si="74"/>
        <v>463.157456449939</v>
      </c>
    </row>
    <row r="779" customHeight="1" spans="1:6">
      <c r="A779" s="57"/>
      <c r="B779" s="57" t="s">
        <v>1263</v>
      </c>
      <c r="C779" s="57" t="s">
        <v>423</v>
      </c>
      <c r="D779" s="113">
        <f>SUM(F775:F778)</f>
        <v>1389.15418213004</v>
      </c>
      <c r="E779" s="57">
        <v>5</v>
      </c>
      <c r="F779" s="113">
        <f t="shared" si="74"/>
        <v>6945.77091065018</v>
      </c>
    </row>
    <row r="780" customHeight="1" spans="1:11">
      <c r="A780" s="57"/>
      <c r="B780" s="57"/>
      <c r="C780" s="57"/>
      <c r="D780" s="113"/>
      <c r="E780" s="57"/>
      <c r="F780" s="113"/>
      <c r="G780" s="57" t="s">
        <v>977</v>
      </c>
      <c r="H780" s="194">
        <f t="shared" ref="H780:H783" si="75">C782</f>
        <v>0.048</v>
      </c>
      <c r="I780" s="113"/>
      <c r="J780" s="84">
        <f>K766</f>
        <v>8470.373</v>
      </c>
      <c r="K780" s="113">
        <f t="shared" ref="K780:K783" si="76">J780*H780</f>
        <v>406.577904</v>
      </c>
    </row>
    <row r="781" customHeight="1" spans="1:11">
      <c r="A781" s="57"/>
      <c r="B781" s="57"/>
      <c r="C781" s="57"/>
      <c r="D781" s="113"/>
      <c r="E781" s="57"/>
      <c r="F781" s="113"/>
      <c r="G781" s="57"/>
      <c r="H781" s="194"/>
      <c r="I781" s="113"/>
      <c r="J781" s="84"/>
      <c r="K781" s="113"/>
    </row>
    <row r="782" customHeight="1" spans="1:11">
      <c r="A782" s="57" t="s">
        <v>70</v>
      </c>
      <c r="B782" s="57" t="s">
        <v>977</v>
      </c>
      <c r="C782" s="194">
        <f>取费表!$C$6</f>
        <v>0.048</v>
      </c>
      <c r="D782" s="113"/>
      <c r="E782" s="84">
        <f>F766</f>
        <v>35449.2507031502</v>
      </c>
      <c r="F782" s="113">
        <f t="shared" ref="F782:F785" si="77">E782*C782</f>
        <v>1701.56403375121</v>
      </c>
      <c r="G782" s="57" t="s">
        <v>973</v>
      </c>
      <c r="H782" s="194">
        <f t="shared" si="75"/>
        <v>0.085</v>
      </c>
      <c r="I782" s="113"/>
      <c r="J782" s="84">
        <f>K765</f>
        <v>8876.950904</v>
      </c>
      <c r="K782" s="113">
        <f t="shared" si="76"/>
        <v>754.54082684</v>
      </c>
    </row>
    <row r="783" customHeight="1" spans="1:11">
      <c r="A783" s="57"/>
      <c r="B783" s="57"/>
      <c r="C783" s="194"/>
      <c r="D783" s="113"/>
      <c r="E783" s="84"/>
      <c r="F783" s="113"/>
      <c r="G783" s="57" t="s">
        <v>980</v>
      </c>
      <c r="H783" s="194">
        <f t="shared" si="75"/>
        <v>0.07</v>
      </c>
      <c r="I783" s="113"/>
      <c r="J783" s="84">
        <f>K765+K782</f>
        <v>9631.49173084</v>
      </c>
      <c r="K783" s="113">
        <f t="shared" si="76"/>
        <v>674.2044211588</v>
      </c>
    </row>
    <row r="784" customHeight="1" spans="1:11">
      <c r="A784" s="57" t="s">
        <v>979</v>
      </c>
      <c r="B784" s="57" t="s">
        <v>973</v>
      </c>
      <c r="C784" s="194">
        <f>取费表!$E$6</f>
        <v>0.085</v>
      </c>
      <c r="D784" s="113"/>
      <c r="E784" s="84">
        <f>F765</f>
        <v>37150.8147369014</v>
      </c>
      <c r="F784" s="113">
        <f t="shared" si="77"/>
        <v>3157.81925263662</v>
      </c>
      <c r="G784" s="57" t="s">
        <v>1173</v>
      </c>
      <c r="H784" s="59"/>
      <c r="I784" s="113"/>
      <c r="J784" s="57"/>
      <c r="K784" s="113">
        <f>K785</f>
        <v>7515.6216</v>
      </c>
    </row>
    <row r="785" customHeight="1" spans="1:11">
      <c r="A785" s="57" t="s">
        <v>162</v>
      </c>
      <c r="B785" s="57" t="s">
        <v>980</v>
      </c>
      <c r="C785" s="194">
        <f>取费表!$F$6</f>
        <v>0.07</v>
      </c>
      <c r="D785" s="113"/>
      <c r="E785" s="84">
        <f>F765+F784</f>
        <v>40308.633989538</v>
      </c>
      <c r="F785" s="113">
        <f t="shared" si="77"/>
        <v>2821.60437926766</v>
      </c>
      <c r="G785" s="57" t="s">
        <v>1111</v>
      </c>
      <c r="H785" s="57" t="s">
        <v>1188</v>
      </c>
      <c r="I785" s="113">
        <f>D788</f>
        <v>72.9672</v>
      </c>
      <c r="J785" s="57">
        <f>J771</f>
        <v>103</v>
      </c>
      <c r="K785" s="113">
        <f>J785*I785</f>
        <v>7515.6216</v>
      </c>
    </row>
    <row r="786" customHeight="1" spans="1:11">
      <c r="A786" s="57" t="s">
        <v>214</v>
      </c>
      <c r="B786" s="57" t="s">
        <v>1173</v>
      </c>
      <c r="C786" s="59"/>
      <c r="D786" s="113"/>
      <c r="E786" s="57"/>
      <c r="F786" s="113">
        <f>SUM(F788:F790)</f>
        <v>11201.330258545</v>
      </c>
      <c r="G786" s="57" t="s">
        <v>976</v>
      </c>
      <c r="H786" s="195">
        <f>C791</f>
        <v>0.09</v>
      </c>
      <c r="I786" s="113"/>
      <c r="J786" s="84">
        <f>K784+K783+K782+K765</f>
        <v>17821.3177519988</v>
      </c>
      <c r="K786" s="113">
        <f>J786*H786</f>
        <v>1603.91859767989</v>
      </c>
    </row>
    <row r="787" customHeight="1" spans="1:6">
      <c r="A787" s="57"/>
      <c r="B787" s="57" t="s">
        <v>1116</v>
      </c>
      <c r="C787" s="59" t="s">
        <v>184</v>
      </c>
      <c r="D787" s="113">
        <f>D705</f>
        <v>4.86</v>
      </c>
      <c r="E787" s="57">
        <f>E776*台时!C308+台时!D308*E778+E777*台时!E308</f>
        <v>167.65</v>
      </c>
      <c r="F787" s="113">
        <f>D787*E787</f>
        <v>814.779</v>
      </c>
    </row>
    <row r="788" customHeight="1" spans="1:11">
      <c r="A788" s="57"/>
      <c r="B788" s="57" t="s">
        <v>1111</v>
      </c>
      <c r="C788" s="57" t="s">
        <v>1188</v>
      </c>
      <c r="D788" s="113">
        <f>材料预算价!K9-材料预算价!L9</f>
        <v>72.9672</v>
      </c>
      <c r="E788" s="57">
        <f>E771</f>
        <v>111.5</v>
      </c>
      <c r="F788" s="113">
        <f t="shared" ref="F788:F790" si="78">E788*D788</f>
        <v>8135.8428</v>
      </c>
      <c r="G788" s="57" t="s">
        <v>984</v>
      </c>
      <c r="H788" s="195"/>
      <c r="I788" s="113"/>
      <c r="J788" s="84"/>
      <c r="K788" s="113">
        <f>(K765+K782+K783+K784+K786)*取费表!H6</f>
        <v>582.757090490361</v>
      </c>
    </row>
    <row r="789" customHeight="1" spans="1:11">
      <c r="A789" s="57"/>
      <c r="B789" s="57" t="s">
        <v>1141</v>
      </c>
      <c r="C789" s="57" t="s">
        <v>69</v>
      </c>
      <c r="D789" s="113">
        <f>D745</f>
        <v>156.64017</v>
      </c>
      <c r="E789" s="88">
        <f>E772*配合比!E14</f>
        <v>8.103006</v>
      </c>
      <c r="F789" s="113">
        <f t="shared" si="78"/>
        <v>1269.25623735102</v>
      </c>
      <c r="G789" s="57" t="s">
        <v>278</v>
      </c>
      <c r="H789" s="57"/>
      <c r="I789" s="113"/>
      <c r="J789" s="57"/>
      <c r="K789" s="113">
        <f>K786+K784+K783+K782+K765</f>
        <v>19425.2363496787</v>
      </c>
    </row>
    <row r="790" customHeight="1" spans="1:11">
      <c r="A790" s="57"/>
      <c r="B790" s="57" t="s">
        <v>1142</v>
      </c>
      <c r="C790" s="57" t="s">
        <v>1188</v>
      </c>
      <c r="D790" s="113">
        <f>D746</f>
        <v>44.826214</v>
      </c>
      <c r="E790" s="88">
        <f>E772*配合比!G14</f>
        <v>40.071</v>
      </c>
      <c r="F790" s="113">
        <f t="shared" si="78"/>
        <v>1796.231221194</v>
      </c>
      <c r="G790" s="57"/>
      <c r="H790" s="57"/>
      <c r="I790" s="113"/>
      <c r="J790" s="57"/>
      <c r="K790" s="113"/>
    </row>
    <row r="791" customHeight="1" spans="1:11">
      <c r="A791" s="57" t="s">
        <v>327</v>
      </c>
      <c r="B791" s="57" t="s">
        <v>976</v>
      </c>
      <c r="C791" s="195">
        <f>C747</f>
        <v>0.09</v>
      </c>
      <c r="D791" s="113"/>
      <c r="E791" s="84">
        <f>F786+F785+F784+F765</f>
        <v>54331.5686273507</v>
      </c>
      <c r="F791" s="113">
        <f>E791*C791</f>
        <v>4889.84117646157</v>
      </c>
      <c r="G791" s="57"/>
      <c r="H791" s="57"/>
      <c r="I791" s="113"/>
      <c r="J791" s="57"/>
      <c r="K791" s="113"/>
    </row>
    <row r="792" customHeight="1" spans="1:11">
      <c r="A792" s="57"/>
      <c r="B792" s="57" t="s">
        <v>984</v>
      </c>
      <c r="C792" s="195"/>
      <c r="D792" s="113"/>
      <c r="E792" s="84"/>
      <c r="F792" s="113">
        <f>(F765+F784+F785+F786+F791)*取费表!H4</f>
        <v>1776.64229411437</v>
      </c>
      <c r="G792" s="57"/>
      <c r="H792" s="57"/>
      <c r="I792" s="113"/>
      <c r="J792" s="57"/>
      <c r="K792" s="113"/>
    </row>
    <row r="793" customHeight="1" spans="1:11">
      <c r="A793" s="57"/>
      <c r="B793" s="57" t="s">
        <v>278</v>
      </c>
      <c r="C793" s="57"/>
      <c r="D793" s="113"/>
      <c r="E793" s="57"/>
      <c r="F793" s="113">
        <f>E791+F791+F792</f>
        <v>60998.0520979267</v>
      </c>
      <c r="G793" s="57"/>
      <c r="H793" s="57"/>
      <c r="I793" s="113"/>
      <c r="J793" s="57"/>
      <c r="K793" s="113"/>
    </row>
    <row r="794" customHeight="1" spans="1:11">
      <c r="A794" s="57"/>
      <c r="B794" s="57"/>
      <c r="C794" s="57"/>
      <c r="D794" s="113"/>
      <c r="E794" s="57"/>
      <c r="F794" s="113"/>
      <c r="G794" s="57"/>
      <c r="H794" s="57"/>
      <c r="I794" s="113"/>
      <c r="J794" s="57"/>
      <c r="K794" s="113"/>
    </row>
    <row r="795" customHeight="1" spans="1:11">
      <c r="A795" s="57"/>
      <c r="B795" s="57"/>
      <c r="C795" s="57"/>
      <c r="D795" s="113"/>
      <c r="E795" s="57"/>
      <c r="F795" s="113"/>
      <c r="G795" s="57"/>
      <c r="H795" s="57"/>
      <c r="I795" s="113"/>
      <c r="J795" s="57"/>
      <c r="K795" s="113"/>
    </row>
    <row r="796" customHeight="1" spans="1:11">
      <c r="A796" s="57"/>
      <c r="B796" s="57"/>
      <c r="C796" s="57"/>
      <c r="D796" s="113"/>
      <c r="E796" s="57"/>
      <c r="F796" s="113"/>
      <c r="G796" s="57"/>
      <c r="H796" s="57"/>
      <c r="I796" s="113"/>
      <c r="J796" s="57"/>
      <c r="K796" s="113"/>
    </row>
    <row r="797" customHeight="1" spans="1:11">
      <c r="A797" s="57"/>
      <c r="B797" s="57"/>
      <c r="C797" s="57"/>
      <c r="D797" s="113"/>
      <c r="E797" s="57"/>
      <c r="F797" s="113"/>
      <c r="G797" s="57"/>
      <c r="H797" s="57"/>
      <c r="I797" s="113"/>
      <c r="J797" s="57"/>
      <c r="K797" s="113"/>
    </row>
    <row r="798" customHeight="1" spans="1:11">
      <c r="A798" s="57"/>
      <c r="B798" s="57"/>
      <c r="C798" s="57"/>
      <c r="D798" s="113"/>
      <c r="E798" s="57"/>
      <c r="F798" s="113"/>
      <c r="G798" s="57"/>
      <c r="H798" s="57"/>
      <c r="I798" s="113"/>
      <c r="J798" s="57"/>
      <c r="K798" s="113"/>
    </row>
    <row r="799" customHeight="1" spans="1:11">
      <c r="A799" s="57"/>
      <c r="B799" s="57"/>
      <c r="C799" s="57"/>
      <c r="D799" s="113"/>
      <c r="E799" s="57"/>
      <c r="F799" s="113"/>
      <c r="G799" s="57"/>
      <c r="H799" s="57"/>
      <c r="I799" s="113"/>
      <c r="J799" s="57"/>
      <c r="K799" s="113"/>
    </row>
    <row r="800" customHeight="1" spans="1:11">
      <c r="A800" s="57"/>
      <c r="B800" s="57"/>
      <c r="C800" s="57"/>
      <c r="D800" s="113"/>
      <c r="E800" s="57"/>
      <c r="F800" s="113"/>
      <c r="G800" s="57"/>
      <c r="H800" s="57"/>
      <c r="I800" s="113"/>
      <c r="J800" s="57"/>
      <c r="K800" s="113"/>
    </row>
    <row r="801" customHeight="1" spans="1:11">
      <c r="A801" s="57"/>
      <c r="B801" s="57"/>
      <c r="C801" s="57"/>
      <c r="D801" s="113"/>
      <c r="E801" s="57"/>
      <c r="F801" s="113"/>
      <c r="G801" s="57"/>
      <c r="H801" s="57"/>
      <c r="I801" s="113"/>
      <c r="J801" s="57"/>
      <c r="K801" s="113"/>
    </row>
    <row r="802" customHeight="1" spans="1:11">
      <c r="A802" s="57"/>
      <c r="B802" s="57"/>
      <c r="C802" s="57"/>
      <c r="D802" s="113"/>
      <c r="E802" s="57"/>
      <c r="F802" s="113"/>
      <c r="G802" s="57"/>
      <c r="H802" s="57"/>
      <c r="I802" s="113"/>
      <c r="J802" s="57"/>
      <c r="K802" s="113"/>
    </row>
    <row r="803" customHeight="1" spans="1:11">
      <c r="A803" s="57"/>
      <c r="B803" s="57"/>
      <c r="C803" s="57"/>
      <c r="D803" s="113"/>
      <c r="E803" s="57"/>
      <c r="F803" s="113"/>
      <c r="G803" s="57"/>
      <c r="H803" s="57"/>
      <c r="I803" s="113"/>
      <c r="J803" s="57"/>
      <c r="K803" s="113"/>
    </row>
    <row r="804" ht="14.45" customHeight="1" spans="1:6">
      <c r="A804" s="312" t="s">
        <v>1155</v>
      </c>
      <c r="B804" s="312"/>
      <c r="C804" s="312"/>
      <c r="D804" s="312"/>
      <c r="E804" s="312"/>
      <c r="F804" s="312"/>
    </row>
    <row r="805" ht="14.45" customHeight="1" spans="1:6">
      <c r="A805" s="247" t="s">
        <v>1270</v>
      </c>
      <c r="C805" s="243"/>
      <c r="D805" s="243"/>
      <c r="E805" s="243"/>
      <c r="F805" s="243"/>
    </row>
    <row r="806" ht="14.45" customHeight="1" spans="1:6">
      <c r="A806" s="190" t="s">
        <v>1271</v>
      </c>
      <c r="B806" s="191"/>
      <c r="C806" s="243"/>
      <c r="D806" s="243"/>
      <c r="E806" s="191" t="s">
        <v>1159</v>
      </c>
      <c r="F806" s="191"/>
    </row>
    <row r="807" ht="14.45" customHeight="1" spans="1:6">
      <c r="A807" s="117" t="s">
        <v>1218</v>
      </c>
      <c r="B807" s="192"/>
      <c r="C807" s="192"/>
      <c r="D807" s="192"/>
      <c r="E807" s="192"/>
      <c r="F807" s="118"/>
    </row>
    <row r="808" ht="14.45" customHeight="1" spans="1:6">
      <c r="A808" s="57" t="s">
        <v>354</v>
      </c>
      <c r="B808" s="57" t="s">
        <v>956</v>
      </c>
      <c r="C808" s="57" t="s">
        <v>52</v>
      </c>
      <c r="D808" s="57" t="s">
        <v>855</v>
      </c>
      <c r="E808" s="57" t="s">
        <v>53</v>
      </c>
      <c r="F808" s="57" t="s">
        <v>306</v>
      </c>
    </row>
    <row r="809" ht="14.45" customHeight="1" spans="1:6">
      <c r="A809" s="57" t="s">
        <v>959</v>
      </c>
      <c r="B809" s="57" t="s">
        <v>960</v>
      </c>
      <c r="C809" s="57"/>
      <c r="D809" s="57"/>
      <c r="E809" s="57"/>
      <c r="F809" s="84">
        <f>F810+F836+F837</f>
        <v>32835.3534697348</v>
      </c>
    </row>
    <row r="810" ht="14.45" customHeight="1" spans="1:6">
      <c r="A810" s="57" t="s">
        <v>59</v>
      </c>
      <c r="B810" s="57" t="s">
        <v>957</v>
      </c>
      <c r="C810" s="57"/>
      <c r="D810" s="57"/>
      <c r="E810" s="57"/>
      <c r="F810" s="84">
        <f>F811+F814+F825+F833</f>
        <v>31331.4441505103</v>
      </c>
    </row>
    <row r="811" ht="14.45" customHeight="1" spans="1:6">
      <c r="A811" s="57">
        <v>1</v>
      </c>
      <c r="B811" s="57" t="s">
        <v>964</v>
      </c>
      <c r="C811" s="57" t="s">
        <v>965</v>
      </c>
      <c r="D811" s="84"/>
      <c r="E811" s="92">
        <f>SUM(E812:E813)</f>
        <v>1168.3</v>
      </c>
      <c r="F811" s="113">
        <f>SUM(F812:F813)</f>
        <v>8482.766</v>
      </c>
    </row>
    <row r="812" s="307" customFormat="1" ht="14.45" customHeight="1" spans="1:6">
      <c r="A812" s="57"/>
      <c r="B812" s="57" t="s">
        <v>966</v>
      </c>
      <c r="C812" s="57" t="s">
        <v>965</v>
      </c>
      <c r="D812" s="113">
        <f>材料预算价!K20</f>
        <v>8.1</v>
      </c>
      <c r="E812" s="92">
        <v>747.5</v>
      </c>
      <c r="F812" s="113">
        <f>D812*E812</f>
        <v>6054.75</v>
      </c>
    </row>
    <row r="813" s="307" customFormat="1" ht="14.45" customHeight="1" spans="1:6">
      <c r="A813" s="57"/>
      <c r="B813" s="57" t="s">
        <v>968</v>
      </c>
      <c r="C813" s="57" t="s">
        <v>965</v>
      </c>
      <c r="D813" s="113">
        <f>材料预算价!K19</f>
        <v>5.77</v>
      </c>
      <c r="E813" s="92">
        <v>420.8</v>
      </c>
      <c r="F813" s="113">
        <f>D813*E813</f>
        <v>2428.016</v>
      </c>
    </row>
    <row r="814" ht="14.45" customHeight="1" spans="1:6">
      <c r="A814" s="57">
        <v>2</v>
      </c>
      <c r="B814" s="57" t="s">
        <v>1219</v>
      </c>
      <c r="C814" s="57"/>
      <c r="D814" s="84"/>
      <c r="E814" s="84"/>
      <c r="F814" s="84">
        <f>SUM(F815:F824)</f>
        <v>20091.6420762</v>
      </c>
    </row>
    <row r="815" ht="14.45" customHeight="1" spans="1:6">
      <c r="A815" s="57"/>
      <c r="B815" s="244" t="s">
        <v>1272</v>
      </c>
      <c r="C815" s="244" t="s">
        <v>1188</v>
      </c>
      <c r="D815" s="84">
        <f>材料预算价!K10</f>
        <v>2232.665025</v>
      </c>
      <c r="E815" s="84">
        <v>0.18</v>
      </c>
      <c r="F815" s="84">
        <f t="shared" ref="F815:F823" si="79">D815*E815</f>
        <v>401.8797045</v>
      </c>
    </row>
    <row r="816" ht="14.45" customHeight="1" spans="1:6">
      <c r="A816" s="57"/>
      <c r="B816" s="244" t="s">
        <v>1273</v>
      </c>
      <c r="C816" s="244" t="s">
        <v>184</v>
      </c>
      <c r="D816" s="84">
        <v>4.44</v>
      </c>
      <c r="E816" s="84">
        <v>5.87</v>
      </c>
      <c r="F816" s="84">
        <f t="shared" si="79"/>
        <v>26.0628</v>
      </c>
    </row>
    <row r="817" ht="14.45" customHeight="1" spans="1:6">
      <c r="A817" s="57"/>
      <c r="B817" s="244" t="s">
        <v>1274</v>
      </c>
      <c r="C817" s="244" t="s">
        <v>184</v>
      </c>
      <c r="D817" s="84">
        <v>4.5</v>
      </c>
      <c r="E817" s="84">
        <v>14.02</v>
      </c>
      <c r="F817" s="84">
        <f t="shared" si="79"/>
        <v>63.09</v>
      </c>
    </row>
    <row r="818" ht="14.45" customHeight="1" spans="1:6">
      <c r="A818" s="57"/>
      <c r="B818" s="244" t="s">
        <v>1275</v>
      </c>
      <c r="C818" s="244" t="s">
        <v>184</v>
      </c>
      <c r="D818" s="84">
        <v>5.15</v>
      </c>
      <c r="E818" s="84">
        <v>18.83</v>
      </c>
      <c r="F818" s="84">
        <f t="shared" si="79"/>
        <v>96.9745</v>
      </c>
    </row>
    <row r="819" ht="14.45" customHeight="1" spans="1:6">
      <c r="A819" s="57"/>
      <c r="B819" s="244" t="s">
        <v>1276</v>
      </c>
      <c r="C819" s="244" t="s">
        <v>184</v>
      </c>
      <c r="D819" s="84">
        <v>4.5</v>
      </c>
      <c r="E819" s="84">
        <v>0.44</v>
      </c>
      <c r="F819" s="84">
        <f t="shared" si="79"/>
        <v>1.98</v>
      </c>
    </row>
    <row r="820" ht="14.45" customHeight="1" spans="1:6">
      <c r="A820" s="57"/>
      <c r="B820" s="244" t="s">
        <v>1277</v>
      </c>
      <c r="C820" s="244" t="s">
        <v>184</v>
      </c>
      <c r="D820" s="84">
        <v>6.39</v>
      </c>
      <c r="E820" s="84">
        <v>21.87</v>
      </c>
      <c r="F820" s="84">
        <f t="shared" si="79"/>
        <v>139.7493</v>
      </c>
    </row>
    <row r="821" ht="14.45" customHeight="1" spans="1:6">
      <c r="A821" s="57"/>
      <c r="B821" s="244" t="s">
        <v>1278</v>
      </c>
      <c r="C821" s="244" t="s">
        <v>184</v>
      </c>
      <c r="D821" s="84">
        <v>5.97</v>
      </c>
      <c r="E821" s="84">
        <v>0.46</v>
      </c>
      <c r="F821" s="84">
        <f t="shared" si="79"/>
        <v>2.7462</v>
      </c>
    </row>
    <row r="822" ht="14.45" customHeight="1" spans="1:6">
      <c r="A822" s="57"/>
      <c r="B822" s="57" t="s">
        <v>1279</v>
      </c>
      <c r="C822" s="57" t="s">
        <v>1188</v>
      </c>
      <c r="D822" s="84">
        <f>配合比!M8</f>
        <v>176.4913185</v>
      </c>
      <c r="E822" s="84">
        <v>103</v>
      </c>
      <c r="F822" s="84">
        <f t="shared" si="79"/>
        <v>18178.6058055</v>
      </c>
    </row>
    <row r="823" ht="14.45" customHeight="1" spans="1:6">
      <c r="A823" s="57"/>
      <c r="B823" s="57" t="s">
        <v>1022</v>
      </c>
      <c r="C823" s="57" t="s">
        <v>1188</v>
      </c>
      <c r="D823" s="84">
        <f>材料预算价!K14</f>
        <v>4.37</v>
      </c>
      <c r="E823" s="84">
        <v>180</v>
      </c>
      <c r="F823" s="84">
        <f t="shared" si="79"/>
        <v>786.6</v>
      </c>
    </row>
    <row r="824" ht="14.45" customHeight="1" spans="1:6">
      <c r="A824" s="57"/>
      <c r="B824" s="57" t="s">
        <v>1163</v>
      </c>
      <c r="C824" s="59" t="s">
        <v>423</v>
      </c>
      <c r="D824" s="84">
        <f>F815+F816+F817+F818+F819+F820+F821+F822+F823</f>
        <v>19697.68831</v>
      </c>
      <c r="E824" s="84">
        <v>2</v>
      </c>
      <c r="F824" s="84">
        <f>D824*E824/100</f>
        <v>393.9537662</v>
      </c>
    </row>
    <row r="825" ht="14.45" customHeight="1" spans="1:6">
      <c r="A825" s="57">
        <v>3</v>
      </c>
      <c r="B825" s="57" t="s">
        <v>1171</v>
      </c>
      <c r="C825" s="57"/>
      <c r="D825" s="84"/>
      <c r="E825" s="84"/>
      <c r="F825" s="84">
        <f>SUM(F826:F832)</f>
        <v>770.624653637615</v>
      </c>
    </row>
    <row r="826" ht="14.45" customHeight="1" spans="1:6">
      <c r="A826" s="57"/>
      <c r="B826" s="57" t="s">
        <v>1280</v>
      </c>
      <c r="C826" s="57" t="s">
        <v>988</v>
      </c>
      <c r="D826" s="84">
        <f>台时!H42</f>
        <v>49.389824491424</v>
      </c>
      <c r="E826" s="84">
        <v>0.42</v>
      </c>
      <c r="F826" s="84">
        <f t="shared" ref="F826:F831" si="80">D826*E826</f>
        <v>20.7437262863981</v>
      </c>
    </row>
    <row r="827" ht="14.45" customHeight="1" spans="1:6">
      <c r="A827" s="57"/>
      <c r="B827" s="57" t="s">
        <v>1281</v>
      </c>
      <c r="C827" s="57" t="s">
        <v>988</v>
      </c>
      <c r="D827" s="84">
        <f>台时!F84</f>
        <v>62.3342780215397</v>
      </c>
      <c r="E827" s="84">
        <v>0.78</v>
      </c>
      <c r="F827" s="84">
        <f t="shared" si="80"/>
        <v>48.620736856801</v>
      </c>
    </row>
    <row r="828" ht="14.45" customHeight="1" spans="1:6">
      <c r="A828" s="57"/>
      <c r="B828" s="57" t="s">
        <v>1282</v>
      </c>
      <c r="C828" s="57" t="s">
        <v>988</v>
      </c>
      <c r="D828" s="84">
        <f>台时!E84</f>
        <v>8.0471858795373</v>
      </c>
      <c r="E828" s="204">
        <v>0.45</v>
      </c>
      <c r="F828" s="84">
        <f t="shared" si="80"/>
        <v>3.62123364579178</v>
      </c>
    </row>
    <row r="829" ht="14.45" customHeight="1" spans="1:6">
      <c r="A829" s="57"/>
      <c r="B829" s="57" t="s">
        <v>1283</v>
      </c>
      <c r="C829" s="57" t="s">
        <v>988</v>
      </c>
      <c r="D829" s="84">
        <f>台时!D42</f>
        <v>23.7459521340247</v>
      </c>
      <c r="E829" s="84">
        <v>18.54</v>
      </c>
      <c r="F829" s="84">
        <f t="shared" si="80"/>
        <v>440.249952564819</v>
      </c>
    </row>
    <row r="830" ht="14.45" customHeight="1" spans="1:6">
      <c r="A830" s="57"/>
      <c r="B830" s="57" t="s">
        <v>1284</v>
      </c>
      <c r="C830" s="57" t="s">
        <v>988</v>
      </c>
      <c r="D830" s="84">
        <f>台时!F42</f>
        <v>1.80552692461109</v>
      </c>
      <c r="E830" s="84">
        <v>49.5</v>
      </c>
      <c r="F830" s="84">
        <f t="shared" si="80"/>
        <v>89.373582768249</v>
      </c>
    </row>
    <row r="831" ht="14.45" customHeight="1" spans="1:6">
      <c r="A831" s="57"/>
      <c r="B831" s="57" t="s">
        <v>1190</v>
      </c>
      <c r="C831" s="57" t="s">
        <v>988</v>
      </c>
      <c r="D831" s="84">
        <f>台时!C42</f>
        <v>0.813242919824491</v>
      </c>
      <c r="E831" s="84">
        <v>83</v>
      </c>
      <c r="F831" s="84">
        <f t="shared" si="80"/>
        <v>67.4991623454328</v>
      </c>
    </row>
    <row r="832" ht="14.45" customHeight="1" spans="1:6">
      <c r="A832" s="57"/>
      <c r="B832" s="57" t="s">
        <v>1223</v>
      </c>
      <c r="C832" s="59" t="s">
        <v>423</v>
      </c>
      <c r="D832" s="84">
        <f>SUM(F826:F831)</f>
        <v>670.108394467491</v>
      </c>
      <c r="E832" s="84">
        <v>15</v>
      </c>
      <c r="F832" s="84">
        <f>D832*E832/100</f>
        <v>100.516259170124</v>
      </c>
    </row>
    <row r="833" s="309" customFormat="1" ht="14.45" customHeight="1" spans="1:6">
      <c r="A833" s="57">
        <v>4</v>
      </c>
      <c r="B833" s="57" t="s">
        <v>1285</v>
      </c>
      <c r="C833" s="59"/>
      <c r="D833" s="84"/>
      <c r="E833" s="84"/>
      <c r="F833" s="84">
        <f>SUM(F834:F835)</f>
        <v>1986.41142067271</v>
      </c>
    </row>
    <row r="834" s="307" customFormat="1" ht="14.45" customHeight="1" spans="1:6">
      <c r="A834" s="57"/>
      <c r="B834" s="245" t="s">
        <v>1286</v>
      </c>
      <c r="C834" s="245" t="s">
        <v>1188</v>
      </c>
      <c r="D834" s="246">
        <f>$F$2253/100</f>
        <v>5.03319379720782</v>
      </c>
      <c r="E834" s="246">
        <v>103</v>
      </c>
      <c r="F834" s="84">
        <f>D834*E834</f>
        <v>518.418961112405</v>
      </c>
    </row>
    <row r="835" s="307" customFormat="1" ht="14.45" customHeight="1" spans="1:6">
      <c r="A835" s="57"/>
      <c r="B835" s="245" t="s">
        <v>1287</v>
      </c>
      <c r="C835" s="245" t="s">
        <v>1188</v>
      </c>
      <c r="D835" s="246">
        <f>$F$2271/100</f>
        <v>14.2523539763136</v>
      </c>
      <c r="E835" s="246">
        <v>103</v>
      </c>
      <c r="F835" s="84">
        <f>D835*E835</f>
        <v>1467.99245956031</v>
      </c>
    </row>
    <row r="836" s="307" customFormat="1" ht="14.45" customHeight="1" spans="1:6">
      <c r="A836" s="57" t="s">
        <v>70</v>
      </c>
      <c r="B836" s="57" t="s">
        <v>977</v>
      </c>
      <c r="C836" s="194">
        <f>取费表!$C$7</f>
        <v>0.048</v>
      </c>
      <c r="D836" s="246"/>
      <c r="E836" s="246">
        <f>F810</f>
        <v>31331.4441505103</v>
      </c>
      <c r="F836" s="84">
        <f t="shared" ref="F836:F839" si="81">E836*C836</f>
        <v>1503.9093192245</v>
      </c>
    </row>
    <row r="837" s="307" customFormat="1" ht="14.45" customHeight="1" spans="1:6">
      <c r="A837" s="57"/>
      <c r="B837" s="57"/>
      <c r="C837" s="194"/>
      <c r="D837" s="246"/>
      <c r="E837" s="246"/>
      <c r="F837" s="84"/>
    </row>
    <row r="838" s="307" customFormat="1" ht="14.45" customHeight="1" spans="1:6">
      <c r="A838" s="57" t="s">
        <v>979</v>
      </c>
      <c r="B838" s="57" t="s">
        <v>973</v>
      </c>
      <c r="C838" s="194">
        <f>取费表!$E$7</f>
        <v>0.07</v>
      </c>
      <c r="D838" s="246"/>
      <c r="E838" s="246">
        <f>F809</f>
        <v>32835.3534697348</v>
      </c>
      <c r="F838" s="84">
        <f t="shared" si="81"/>
        <v>2298.47474288144</v>
      </c>
    </row>
    <row r="839" s="307" customFormat="1" ht="14.45" customHeight="1" spans="1:6">
      <c r="A839" s="57" t="s">
        <v>162</v>
      </c>
      <c r="B839" s="57" t="s">
        <v>980</v>
      </c>
      <c r="C839" s="194">
        <f>取费表!$F$7</f>
        <v>0.07</v>
      </c>
      <c r="D839" s="246"/>
      <c r="E839" s="246">
        <f>F838+F809</f>
        <v>35133.8282126163</v>
      </c>
      <c r="F839" s="84">
        <f t="shared" si="81"/>
        <v>2459.36797488314</v>
      </c>
    </row>
    <row r="840" s="310" customFormat="1" ht="14.45" customHeight="1" spans="1:6">
      <c r="A840" s="57" t="s">
        <v>214</v>
      </c>
      <c r="B840" s="57" t="s">
        <v>1173</v>
      </c>
      <c r="C840" s="59"/>
      <c r="D840" s="84"/>
      <c r="E840" s="57"/>
      <c r="F840" s="113">
        <f>F841+F846</f>
        <v>9327.39862793235</v>
      </c>
    </row>
    <row r="841" ht="14.45" customHeight="1" spans="1:6">
      <c r="A841" s="57">
        <v>1</v>
      </c>
      <c r="B841" s="57" t="s">
        <v>1288</v>
      </c>
      <c r="C841" s="59"/>
      <c r="D841" s="84"/>
      <c r="E841" s="57"/>
      <c r="F841" s="113">
        <f>SUM(F842:F845)</f>
        <v>9280.41232793235</v>
      </c>
    </row>
    <row r="842" ht="14.45" customHeight="1" spans="1:6">
      <c r="A842" s="57"/>
      <c r="B842" s="57"/>
      <c r="C842" s="57"/>
      <c r="D842" s="84"/>
      <c r="E842" s="84"/>
      <c r="F842" s="113"/>
    </row>
    <row r="843" ht="14.45" customHeight="1" spans="1:6">
      <c r="A843" s="57"/>
      <c r="B843" s="57" t="s">
        <v>1141</v>
      </c>
      <c r="C843" s="57" t="s">
        <v>69</v>
      </c>
      <c r="D843" s="84">
        <f>材料预算价!K5-材料预算价!L5</f>
        <v>156.64017</v>
      </c>
      <c r="E843" s="84">
        <f>E822*配合比!E8</f>
        <v>31.641291</v>
      </c>
      <c r="F843" s="113">
        <f t="shared" ref="F843:F845" si="82">D843*E843</f>
        <v>4956.29720125947</v>
      </c>
    </row>
    <row r="844" ht="14.45" customHeight="1" spans="1:6">
      <c r="A844" s="57"/>
      <c r="B844" s="57" t="s">
        <v>1142</v>
      </c>
      <c r="C844" s="57" t="s">
        <v>1188</v>
      </c>
      <c r="D844" s="84">
        <f>D790</f>
        <v>44.826214</v>
      </c>
      <c r="E844" s="84">
        <f>E822*配合比!G8</f>
        <v>56.62734</v>
      </c>
      <c r="F844" s="113">
        <f t="shared" si="82"/>
        <v>2538.38926109076</v>
      </c>
    </row>
    <row r="845" ht="14.45" customHeight="1" spans="1:6">
      <c r="A845" s="57"/>
      <c r="B845" s="57" t="s">
        <v>1110</v>
      </c>
      <c r="C845" s="57" t="s">
        <v>1188</v>
      </c>
      <c r="D845" s="84">
        <f>材料预算价!K8-材料预算价!L8</f>
        <v>20.60443</v>
      </c>
      <c r="E845" s="84">
        <f>E822*配合比!I8</f>
        <v>86.667084</v>
      </c>
      <c r="F845" s="113">
        <f t="shared" si="82"/>
        <v>1785.72586558212</v>
      </c>
    </row>
    <row r="846" ht="14.45" customHeight="1" spans="1:6">
      <c r="A846" s="57">
        <v>2</v>
      </c>
      <c r="B846" s="57" t="s">
        <v>1289</v>
      </c>
      <c r="C846" s="57"/>
      <c r="D846" s="84"/>
      <c r="E846" s="88"/>
      <c r="F846" s="113">
        <f>SUM(F847:F848)</f>
        <v>46.9863</v>
      </c>
    </row>
    <row r="847" ht="14.45" customHeight="1" spans="1:6">
      <c r="A847" s="57"/>
      <c r="B847" s="57" t="s">
        <v>1290</v>
      </c>
      <c r="C847" s="57" t="s">
        <v>184</v>
      </c>
      <c r="D847" s="84">
        <f>材料预算价!K13-材料预算价!L13</f>
        <v>6.225</v>
      </c>
      <c r="E847" s="88">
        <f>(E826*7.2+E827*5.8)</f>
        <v>7.548</v>
      </c>
      <c r="F847" s="113">
        <f>D847*E847</f>
        <v>46.9863</v>
      </c>
    </row>
    <row r="848" ht="14.45" customHeight="1" spans="1:6">
      <c r="A848" s="57"/>
      <c r="B848" s="57" t="s">
        <v>1174</v>
      </c>
      <c r="C848" s="57" t="s">
        <v>184</v>
      </c>
      <c r="D848" s="84">
        <f>材料预算价!K12-材料预算价!L12</f>
        <v>4.86</v>
      </c>
      <c r="E848" s="88"/>
      <c r="F848" s="113">
        <f>D848*E848</f>
        <v>0</v>
      </c>
    </row>
    <row r="849" ht="14.45" customHeight="1" spans="1:6">
      <c r="A849" s="57" t="s">
        <v>327</v>
      </c>
      <c r="B849" s="57" t="s">
        <v>976</v>
      </c>
      <c r="C849" s="195">
        <f>C791</f>
        <v>0.09</v>
      </c>
      <c r="D849" s="84"/>
      <c r="E849" s="84">
        <f>F840+F839+F838+F809</f>
        <v>46920.5948154317</v>
      </c>
      <c r="F849" s="84">
        <f>E849*C849</f>
        <v>4222.85353338886</v>
      </c>
    </row>
    <row r="850" ht="14.45" customHeight="1" spans="1:6">
      <c r="A850" s="57"/>
      <c r="B850" s="57" t="s">
        <v>984</v>
      </c>
      <c r="C850" s="195"/>
      <c r="D850" s="84"/>
      <c r="E850" s="84"/>
      <c r="F850" s="84">
        <f>(F809+F838+F839+F840+F849)*取费表!H4</f>
        <v>1534.30345046462</v>
      </c>
    </row>
    <row r="851" ht="14.45" customHeight="1" spans="1:6">
      <c r="A851" s="57"/>
      <c r="B851" s="57" t="s">
        <v>278</v>
      </c>
      <c r="C851" s="57"/>
      <c r="D851" s="84"/>
      <c r="E851" s="84"/>
      <c r="F851" s="84">
        <f>E849+F849+F850</f>
        <v>52677.7517992852</v>
      </c>
    </row>
    <row r="852" ht="14.45" customHeight="1" spans="1:6">
      <c r="A852" s="312" t="s">
        <v>1155</v>
      </c>
      <c r="B852" s="312"/>
      <c r="C852" s="312"/>
      <c r="D852" s="312"/>
      <c r="E852" s="312"/>
      <c r="F852" s="312"/>
    </row>
    <row r="853" ht="14.45" customHeight="1" spans="1:6">
      <c r="A853" s="247" t="s">
        <v>1291</v>
      </c>
      <c r="C853" s="243"/>
      <c r="D853" s="243"/>
      <c r="E853" s="243"/>
      <c r="F853" s="243"/>
    </row>
    <row r="854" ht="14.45" customHeight="1" spans="1:6">
      <c r="A854" s="324" t="s">
        <v>1271</v>
      </c>
      <c r="B854" s="191"/>
      <c r="C854" s="243"/>
      <c r="D854" s="243"/>
      <c r="E854" s="191" t="s">
        <v>1159</v>
      </c>
      <c r="F854" s="191"/>
    </row>
    <row r="855" ht="14.45" customHeight="1" spans="1:6">
      <c r="A855" s="197" t="s">
        <v>1218</v>
      </c>
      <c r="B855" s="192"/>
      <c r="C855" s="192"/>
      <c r="D855" s="192"/>
      <c r="E855" s="192"/>
      <c r="F855" s="118"/>
    </row>
    <row r="856" ht="14.45" customHeight="1" spans="1:6">
      <c r="A856" s="57" t="s">
        <v>354</v>
      </c>
      <c r="B856" s="57" t="s">
        <v>956</v>
      </c>
      <c r="C856" s="57" t="s">
        <v>52</v>
      </c>
      <c r="D856" s="57" t="s">
        <v>855</v>
      </c>
      <c r="E856" s="57" t="s">
        <v>53</v>
      </c>
      <c r="F856" s="57" t="s">
        <v>306</v>
      </c>
    </row>
    <row r="857" ht="14.45" customHeight="1" spans="1:6">
      <c r="A857" s="57" t="s">
        <v>959</v>
      </c>
      <c r="B857" s="57" t="s">
        <v>960</v>
      </c>
      <c r="C857" s="57"/>
      <c r="D857" s="57"/>
      <c r="E857" s="57"/>
      <c r="F857" s="84">
        <f>F858+F884+F885</f>
        <v>33594.4665841252</v>
      </c>
    </row>
    <row r="858" ht="14.45" customHeight="1" spans="1:6">
      <c r="A858" s="57" t="s">
        <v>59</v>
      </c>
      <c r="B858" s="57" t="s">
        <v>957</v>
      </c>
      <c r="C858" s="57"/>
      <c r="D858" s="57"/>
      <c r="E858" s="57"/>
      <c r="F858" s="196">
        <f>F859+F862+F873+F881</f>
        <v>32055.7887253103</v>
      </c>
    </row>
    <row r="859" ht="14.45" customHeight="1" spans="1:6">
      <c r="A859" s="57">
        <v>1</v>
      </c>
      <c r="B859" s="57" t="s">
        <v>964</v>
      </c>
      <c r="C859" s="57" t="s">
        <v>965</v>
      </c>
      <c r="D859" s="84"/>
      <c r="E859" s="92">
        <f>SUM(E860:E861)</f>
        <v>1168.3</v>
      </c>
      <c r="F859" s="113">
        <f>SUM(F860:F861)</f>
        <v>8482.766</v>
      </c>
    </row>
    <row r="860" ht="14.45" customHeight="1" spans="1:6">
      <c r="A860" s="57"/>
      <c r="B860" s="57" t="s">
        <v>966</v>
      </c>
      <c r="C860" s="57" t="s">
        <v>965</v>
      </c>
      <c r="D860" s="113">
        <f t="shared" ref="D860:D863" si="83">D812</f>
        <v>8.1</v>
      </c>
      <c r="E860" s="92">
        <v>747.5</v>
      </c>
      <c r="F860" s="113">
        <f>D860*E860</f>
        <v>6054.75</v>
      </c>
    </row>
    <row r="861" ht="14.45" customHeight="1" spans="1:6">
      <c r="A861" s="57"/>
      <c r="B861" s="57" t="s">
        <v>968</v>
      </c>
      <c r="C861" s="57" t="s">
        <v>965</v>
      </c>
      <c r="D861" s="113">
        <f t="shared" si="83"/>
        <v>5.77</v>
      </c>
      <c r="E861" s="92">
        <v>420.8</v>
      </c>
      <c r="F861" s="113">
        <f>D861*E861</f>
        <v>2428.016</v>
      </c>
    </row>
    <row r="862" ht="14.45" customHeight="1" spans="1:6">
      <c r="A862" s="57">
        <v>2</v>
      </c>
      <c r="B862" s="57" t="s">
        <v>1219</v>
      </c>
      <c r="C862" s="57"/>
      <c r="D862" s="84"/>
      <c r="E862" s="84"/>
      <c r="F862" s="84">
        <f>SUM(F863:F872)</f>
        <v>20815.986651</v>
      </c>
    </row>
    <row r="863" ht="14.45" customHeight="1" spans="1:6">
      <c r="A863" s="57"/>
      <c r="B863" s="244" t="s">
        <v>1272</v>
      </c>
      <c r="C863" s="245" t="s">
        <v>1188</v>
      </c>
      <c r="D863" s="84">
        <f t="shared" si="83"/>
        <v>2232.665025</v>
      </c>
      <c r="E863" s="84">
        <v>0.18</v>
      </c>
      <c r="F863" s="84">
        <f t="shared" ref="F863:F871" si="84">D863*E863</f>
        <v>401.8797045</v>
      </c>
    </row>
    <row r="864" ht="14.45" customHeight="1" spans="1:6">
      <c r="A864" s="57"/>
      <c r="B864" s="244" t="s">
        <v>1273</v>
      </c>
      <c r="C864" s="244" t="s">
        <v>184</v>
      </c>
      <c r="D864" s="84">
        <f t="shared" ref="D864:D869" si="85">D816</f>
        <v>4.44</v>
      </c>
      <c r="E864" s="84">
        <v>5.87</v>
      </c>
      <c r="F864" s="84">
        <f t="shared" si="84"/>
        <v>26.0628</v>
      </c>
    </row>
    <row r="865" ht="14.45" customHeight="1" spans="1:6">
      <c r="A865" s="57"/>
      <c r="B865" s="244" t="s">
        <v>1274</v>
      </c>
      <c r="C865" s="244" t="s">
        <v>184</v>
      </c>
      <c r="D865" s="84">
        <f t="shared" si="85"/>
        <v>4.5</v>
      </c>
      <c r="E865" s="84">
        <v>14.02</v>
      </c>
      <c r="F865" s="84">
        <f t="shared" si="84"/>
        <v>63.09</v>
      </c>
    </row>
    <row r="866" ht="14.45" customHeight="1" spans="1:6">
      <c r="A866" s="57"/>
      <c r="B866" s="244" t="s">
        <v>1275</v>
      </c>
      <c r="C866" s="244" t="s">
        <v>184</v>
      </c>
      <c r="D866" s="84">
        <f t="shared" si="85"/>
        <v>5.15</v>
      </c>
      <c r="E866" s="84">
        <v>18.83</v>
      </c>
      <c r="F866" s="84">
        <f t="shared" si="84"/>
        <v>96.9745</v>
      </c>
    </row>
    <row r="867" ht="14.45" customHeight="1" spans="1:6">
      <c r="A867" s="57"/>
      <c r="B867" s="244" t="s">
        <v>1276</v>
      </c>
      <c r="C867" s="244" t="s">
        <v>184</v>
      </c>
      <c r="D867" s="84">
        <f t="shared" si="85"/>
        <v>4.5</v>
      </c>
      <c r="E867" s="84">
        <v>0.44</v>
      </c>
      <c r="F867" s="84">
        <f t="shared" si="84"/>
        <v>1.98</v>
      </c>
    </row>
    <row r="868" ht="14.45" customHeight="1" spans="1:6">
      <c r="A868" s="57"/>
      <c r="B868" s="244" t="s">
        <v>1277</v>
      </c>
      <c r="C868" s="244" t="s">
        <v>184</v>
      </c>
      <c r="D868" s="84">
        <f t="shared" si="85"/>
        <v>6.39</v>
      </c>
      <c r="E868" s="84">
        <v>21.87</v>
      </c>
      <c r="F868" s="84">
        <f t="shared" si="84"/>
        <v>139.7493</v>
      </c>
    </row>
    <row r="869" ht="14.45" customHeight="1" spans="1:6">
      <c r="A869" s="57"/>
      <c r="B869" s="244" t="s">
        <v>1278</v>
      </c>
      <c r="C869" s="244" t="s">
        <v>184</v>
      </c>
      <c r="D869" s="84">
        <f t="shared" si="85"/>
        <v>5.97</v>
      </c>
      <c r="E869" s="84">
        <v>0.46</v>
      </c>
      <c r="F869" s="84">
        <f t="shared" si="84"/>
        <v>2.7462</v>
      </c>
    </row>
    <row r="870" ht="14.45" customHeight="1" spans="1:6">
      <c r="A870" s="57"/>
      <c r="B870" s="57" t="s">
        <v>1292</v>
      </c>
      <c r="C870" s="245" t="s">
        <v>1188</v>
      </c>
      <c r="D870" s="84">
        <f>配合比!M10</f>
        <v>183.3858985</v>
      </c>
      <c r="E870" s="84">
        <v>103</v>
      </c>
      <c r="F870" s="84">
        <f t="shared" si="84"/>
        <v>18888.7475455</v>
      </c>
    </row>
    <row r="871" ht="14.45" customHeight="1" spans="1:6">
      <c r="A871" s="57"/>
      <c r="B871" s="57" t="s">
        <v>1022</v>
      </c>
      <c r="C871" s="245" t="s">
        <v>1188</v>
      </c>
      <c r="D871" s="84">
        <f>材料预算价!K14</f>
        <v>4.37</v>
      </c>
      <c r="E871" s="84">
        <v>180</v>
      </c>
      <c r="F871" s="84">
        <f t="shared" si="84"/>
        <v>786.6</v>
      </c>
    </row>
    <row r="872" ht="14.45" customHeight="1" spans="1:6">
      <c r="A872" s="57"/>
      <c r="B872" s="57" t="s">
        <v>1163</v>
      </c>
      <c r="C872" s="59" t="s">
        <v>423</v>
      </c>
      <c r="D872" s="84">
        <f>F863+F864+F865+F866+F867+F868+F869+F870+F871</f>
        <v>20407.83005</v>
      </c>
      <c r="E872" s="84">
        <v>2</v>
      </c>
      <c r="F872" s="84">
        <f>D872*E872/100</f>
        <v>408.156601</v>
      </c>
    </row>
    <row r="873" ht="14.45" customHeight="1" spans="1:6">
      <c r="A873" s="57">
        <v>3</v>
      </c>
      <c r="B873" s="57" t="s">
        <v>1171</v>
      </c>
      <c r="C873" s="57"/>
      <c r="D873" s="84"/>
      <c r="E873" s="84"/>
      <c r="F873" s="84">
        <f>SUM(F874:F880)</f>
        <v>770.624653637615</v>
      </c>
    </row>
    <row r="874" ht="14.45" customHeight="1" spans="1:6">
      <c r="A874" s="57"/>
      <c r="B874" s="57" t="s">
        <v>1280</v>
      </c>
      <c r="C874" s="57" t="s">
        <v>988</v>
      </c>
      <c r="D874" s="84">
        <f t="shared" ref="D874:D879" si="86">D826</f>
        <v>49.389824491424</v>
      </c>
      <c r="E874" s="84">
        <v>0.42</v>
      </c>
      <c r="F874" s="84">
        <f t="shared" ref="F874:F879" si="87">D874*E874</f>
        <v>20.7437262863981</v>
      </c>
    </row>
    <row r="875" ht="14.45" customHeight="1" spans="1:6">
      <c r="A875" s="57"/>
      <c r="B875" s="57" t="s">
        <v>1281</v>
      </c>
      <c r="C875" s="57" t="s">
        <v>988</v>
      </c>
      <c r="D875" s="84">
        <f t="shared" si="86"/>
        <v>62.3342780215397</v>
      </c>
      <c r="E875" s="84">
        <v>0.78</v>
      </c>
      <c r="F875" s="84">
        <f t="shared" si="87"/>
        <v>48.620736856801</v>
      </c>
    </row>
    <row r="876" ht="14.45" customHeight="1" spans="1:6">
      <c r="A876" s="57"/>
      <c r="B876" s="57" t="s">
        <v>1282</v>
      </c>
      <c r="C876" s="57" t="s">
        <v>988</v>
      </c>
      <c r="D876" s="84">
        <f t="shared" si="86"/>
        <v>8.0471858795373</v>
      </c>
      <c r="E876" s="204">
        <v>0.45</v>
      </c>
      <c r="F876" s="84">
        <f t="shared" si="87"/>
        <v>3.62123364579178</v>
      </c>
    </row>
    <row r="877" ht="14.45" customHeight="1" spans="1:6">
      <c r="A877" s="57"/>
      <c r="B877" s="57" t="s">
        <v>1283</v>
      </c>
      <c r="C877" s="57" t="s">
        <v>988</v>
      </c>
      <c r="D877" s="84">
        <f t="shared" si="86"/>
        <v>23.7459521340247</v>
      </c>
      <c r="E877" s="84">
        <v>18.54</v>
      </c>
      <c r="F877" s="84">
        <f t="shared" si="87"/>
        <v>440.249952564819</v>
      </c>
    </row>
    <row r="878" ht="14.45" customHeight="1" spans="1:6">
      <c r="A878" s="57"/>
      <c r="B878" s="57" t="s">
        <v>1284</v>
      </c>
      <c r="C878" s="57" t="s">
        <v>988</v>
      </c>
      <c r="D878" s="84">
        <f t="shared" si="86"/>
        <v>1.80552692461109</v>
      </c>
      <c r="E878" s="84">
        <v>49.5</v>
      </c>
      <c r="F878" s="84">
        <f t="shared" si="87"/>
        <v>89.373582768249</v>
      </c>
    </row>
    <row r="879" ht="14.45" customHeight="1" spans="1:6">
      <c r="A879" s="57"/>
      <c r="B879" s="57" t="s">
        <v>1190</v>
      </c>
      <c r="C879" s="57" t="s">
        <v>988</v>
      </c>
      <c r="D879" s="84">
        <f t="shared" si="86"/>
        <v>0.813242919824491</v>
      </c>
      <c r="E879" s="84">
        <v>83</v>
      </c>
      <c r="F879" s="84">
        <f t="shared" si="87"/>
        <v>67.4991623454328</v>
      </c>
    </row>
    <row r="880" ht="14.45" customHeight="1" spans="1:6">
      <c r="A880" s="57"/>
      <c r="B880" s="57" t="s">
        <v>1223</v>
      </c>
      <c r="C880" s="59" t="s">
        <v>423</v>
      </c>
      <c r="D880" s="84">
        <f>SUM(F874:F879)</f>
        <v>670.108394467491</v>
      </c>
      <c r="E880" s="84">
        <v>15</v>
      </c>
      <c r="F880" s="84">
        <f>D880*E880/100</f>
        <v>100.516259170124</v>
      </c>
    </row>
    <row r="881" ht="14.45" customHeight="1" spans="1:6">
      <c r="A881" s="57">
        <v>4</v>
      </c>
      <c r="B881" s="57" t="s">
        <v>1285</v>
      </c>
      <c r="C881" s="59"/>
      <c r="D881" s="84"/>
      <c r="E881" s="84"/>
      <c r="F881" s="84">
        <f>SUM(F882:F883)</f>
        <v>1986.41142067271</v>
      </c>
    </row>
    <row r="882" ht="14.45" customHeight="1" spans="1:6">
      <c r="A882" s="57"/>
      <c r="B882" s="245" t="s">
        <v>1286</v>
      </c>
      <c r="C882" s="245" t="s">
        <v>1188</v>
      </c>
      <c r="D882" s="246">
        <f>$F$2253/100</f>
        <v>5.03319379720782</v>
      </c>
      <c r="E882" s="246">
        <v>103</v>
      </c>
      <c r="F882" s="84">
        <f>D882*E882</f>
        <v>518.418961112405</v>
      </c>
    </row>
    <row r="883" ht="14.45" customHeight="1" spans="1:6">
      <c r="A883" s="57"/>
      <c r="B883" s="245" t="s">
        <v>1287</v>
      </c>
      <c r="C883" s="245" t="s">
        <v>1188</v>
      </c>
      <c r="D883" s="246">
        <f>$F$2271/100</f>
        <v>14.2523539763136</v>
      </c>
      <c r="E883" s="246">
        <v>103</v>
      </c>
      <c r="F883" s="84">
        <f>D883*E883</f>
        <v>1467.99245956031</v>
      </c>
    </row>
    <row r="884" ht="14.45" customHeight="1" spans="1:6">
      <c r="A884" s="57" t="s">
        <v>70</v>
      </c>
      <c r="B884" s="57" t="s">
        <v>977</v>
      </c>
      <c r="C884" s="194">
        <f>取费表!$C$7</f>
        <v>0.048</v>
      </c>
      <c r="D884" s="246"/>
      <c r="E884" s="246">
        <f>F858</f>
        <v>32055.7887253103</v>
      </c>
      <c r="F884" s="84">
        <f t="shared" ref="F884:F887" si="88">E884*C884</f>
        <v>1538.6778588149</v>
      </c>
    </row>
    <row r="885" ht="14.45" customHeight="1" spans="1:6">
      <c r="A885" s="57"/>
      <c r="B885" s="57"/>
      <c r="C885" s="194"/>
      <c r="D885" s="246"/>
      <c r="E885" s="246"/>
      <c r="F885" s="84"/>
    </row>
    <row r="886" ht="14.45" customHeight="1" spans="1:6">
      <c r="A886" s="57" t="s">
        <v>979</v>
      </c>
      <c r="B886" s="57" t="s">
        <v>973</v>
      </c>
      <c r="C886" s="194">
        <f>取费表!$E$7</f>
        <v>0.07</v>
      </c>
      <c r="D886" s="246"/>
      <c r="E886" s="246">
        <f>F857</f>
        <v>33594.4665841252</v>
      </c>
      <c r="F886" s="84">
        <f t="shared" si="88"/>
        <v>2351.61266088877</v>
      </c>
    </row>
    <row r="887" ht="14.45" customHeight="1" spans="1:6">
      <c r="A887" s="57" t="s">
        <v>162</v>
      </c>
      <c r="B887" s="57" t="s">
        <v>980</v>
      </c>
      <c r="C887" s="194">
        <f>取费表!$F$7</f>
        <v>0.07</v>
      </c>
      <c r="D887" s="246"/>
      <c r="E887" s="246">
        <f>F886+F857</f>
        <v>35946.079245014</v>
      </c>
      <c r="F887" s="84">
        <f t="shared" si="88"/>
        <v>2516.22554715098</v>
      </c>
    </row>
    <row r="888" ht="14.45" customHeight="1" spans="1:6">
      <c r="A888" s="55" t="s">
        <v>214</v>
      </c>
      <c r="B888" s="55" t="s">
        <v>1173</v>
      </c>
      <c r="C888" s="253"/>
      <c r="D888" s="254"/>
      <c r="E888" s="55"/>
      <c r="F888" s="255">
        <f>F889+F894</f>
        <v>9759.56399560639</v>
      </c>
    </row>
    <row r="889" ht="14.45" customHeight="1" spans="1:6">
      <c r="A889" s="57">
        <v>1</v>
      </c>
      <c r="B889" s="57" t="s">
        <v>1288</v>
      </c>
      <c r="C889" s="59"/>
      <c r="D889" s="84"/>
      <c r="E889" s="57"/>
      <c r="F889" s="113">
        <f>SUM(F890:F893)</f>
        <v>9712.57769560639</v>
      </c>
    </row>
    <row r="890" ht="14.45" customHeight="1" spans="1:6">
      <c r="A890" s="57"/>
      <c r="B890" s="57"/>
      <c r="C890" s="245"/>
      <c r="D890" s="84"/>
      <c r="E890" s="84"/>
      <c r="F890" s="113"/>
    </row>
    <row r="891" ht="14.45" customHeight="1" spans="1:6">
      <c r="A891" s="57"/>
      <c r="B891" s="57" t="s">
        <v>1141</v>
      </c>
      <c r="C891" s="57" t="s">
        <v>69</v>
      </c>
      <c r="D891" s="84">
        <f>材料预算价!K5-材料预算价!L5</f>
        <v>156.64017</v>
      </c>
      <c r="E891" s="84">
        <f>E870*配合比!E10</f>
        <v>35.035759</v>
      </c>
      <c r="F891" s="113">
        <f t="shared" ref="F891:F893" si="89">D891*E891</f>
        <v>5488.00724583903</v>
      </c>
    </row>
    <row r="892" ht="14.45" customHeight="1" spans="1:6">
      <c r="A892" s="57"/>
      <c r="B892" s="57" t="s">
        <v>1142</v>
      </c>
      <c r="C892" s="245" t="s">
        <v>1188</v>
      </c>
      <c r="D892" s="84">
        <f>D844</f>
        <v>44.826214</v>
      </c>
      <c r="E892" s="84">
        <f>E870*配合比!G10</f>
        <v>54.40666</v>
      </c>
      <c r="F892" s="113">
        <f t="shared" si="89"/>
        <v>2438.84458418524</v>
      </c>
    </row>
    <row r="893" ht="14.45" customHeight="1" spans="1:6">
      <c r="A893" s="57"/>
      <c r="B893" s="57" t="s">
        <v>1110</v>
      </c>
      <c r="C893" s="245" t="s">
        <v>1188</v>
      </c>
      <c r="D893" s="84">
        <f>材料预算价!K8-材料预算价!L8</f>
        <v>20.60443</v>
      </c>
      <c r="E893" s="84">
        <f>E870*配合比!I10</f>
        <v>86.667084</v>
      </c>
      <c r="F893" s="113">
        <f t="shared" si="89"/>
        <v>1785.72586558212</v>
      </c>
    </row>
    <row r="894" ht="14.45" customHeight="1" spans="1:6">
      <c r="A894" s="57">
        <v>2</v>
      </c>
      <c r="B894" s="57" t="s">
        <v>1289</v>
      </c>
      <c r="C894" s="57"/>
      <c r="D894" s="84"/>
      <c r="E894" s="88"/>
      <c r="F894" s="113">
        <f>SUM(F895:F896)</f>
        <v>46.9863</v>
      </c>
    </row>
    <row r="895" ht="14.45" customHeight="1" spans="1:6">
      <c r="A895" s="57"/>
      <c r="B895" s="57" t="s">
        <v>1290</v>
      </c>
      <c r="C895" s="57" t="s">
        <v>184</v>
      </c>
      <c r="D895" s="84">
        <f>材料预算价!K13-材料预算价!L13</f>
        <v>6.225</v>
      </c>
      <c r="E895" s="88">
        <f>(E874*7.2+E875*5.8)</f>
        <v>7.548</v>
      </c>
      <c r="F895" s="113">
        <f>D895*E895</f>
        <v>46.9863</v>
      </c>
    </row>
    <row r="896" ht="14.45" customHeight="1" spans="1:6">
      <c r="A896" s="57"/>
      <c r="B896" s="57" t="s">
        <v>1174</v>
      </c>
      <c r="C896" s="57" t="s">
        <v>184</v>
      </c>
      <c r="D896" s="84">
        <f>材料预算价!K12-材料预算价!L12</f>
        <v>4.86</v>
      </c>
      <c r="E896" s="88"/>
      <c r="F896" s="113">
        <f>D896*E896</f>
        <v>0</v>
      </c>
    </row>
    <row r="897" ht="14.45" customHeight="1" spans="1:6">
      <c r="A897" s="57" t="s">
        <v>327</v>
      </c>
      <c r="B897" s="57" t="s">
        <v>976</v>
      </c>
      <c r="C897" s="195">
        <f>C849</f>
        <v>0.09</v>
      </c>
      <c r="D897" s="84"/>
      <c r="E897" s="84">
        <f>F888+F887+F886+F857</f>
        <v>48221.8687877713</v>
      </c>
      <c r="F897" s="84">
        <f>E897*C897</f>
        <v>4339.96819089942</v>
      </c>
    </row>
    <row r="898" ht="14.45" customHeight="1" spans="1:6">
      <c r="A898" s="57"/>
      <c r="B898" s="57" t="s">
        <v>984</v>
      </c>
      <c r="C898" s="195"/>
      <c r="D898" s="84"/>
      <c r="E898" s="84"/>
      <c r="F898" s="84">
        <f>(F857+F886+F887+F888+F897)*取费表!H4</f>
        <v>1576.85510936012</v>
      </c>
    </row>
    <row r="899" ht="14.45" customHeight="1" spans="1:6">
      <c r="A899" s="57"/>
      <c r="B899" s="57" t="s">
        <v>278</v>
      </c>
      <c r="C899" s="57"/>
      <c r="D899" s="84"/>
      <c r="E899" s="84"/>
      <c r="F899" s="84">
        <f>F897+E897+F898</f>
        <v>54138.6920880309</v>
      </c>
    </row>
    <row r="900" ht="15" customHeight="1" spans="1:11">
      <c r="A900" s="312" t="s">
        <v>1155</v>
      </c>
      <c r="B900" s="312"/>
      <c r="C900" s="312"/>
      <c r="D900" s="312"/>
      <c r="E900" s="312"/>
      <c r="F900" s="312"/>
      <c r="G900" s="312"/>
      <c r="H900" s="312"/>
      <c r="I900" s="312"/>
      <c r="J900" s="312"/>
      <c r="K900" s="312"/>
    </row>
    <row r="901" ht="15" customHeight="1" spans="1:11">
      <c r="A901" s="333" t="s">
        <v>1293</v>
      </c>
      <c r="C901" s="243"/>
      <c r="D901" s="243"/>
      <c r="E901" s="243"/>
      <c r="F901" s="243"/>
      <c r="G901" s="243"/>
      <c r="H901" s="243"/>
      <c r="I901" s="243"/>
      <c r="J901" s="243"/>
      <c r="K901" s="243"/>
    </row>
    <row r="902" ht="15" customHeight="1" spans="1:11">
      <c r="A902" s="190" t="s">
        <v>1294</v>
      </c>
      <c r="B902" s="191"/>
      <c r="C902" s="243"/>
      <c r="D902" s="243"/>
      <c r="E902" s="191" t="s">
        <v>1159</v>
      </c>
      <c r="F902" s="191"/>
      <c r="G902" s="191"/>
      <c r="H902" s="243"/>
      <c r="I902" s="243"/>
      <c r="J902" s="191" t="s">
        <v>1159</v>
      </c>
      <c r="K902" s="191"/>
    </row>
    <row r="903" ht="15" customHeight="1" spans="1:11">
      <c r="A903" s="197" t="s">
        <v>1295</v>
      </c>
      <c r="B903" s="192"/>
      <c r="C903" s="192"/>
      <c r="D903" s="192"/>
      <c r="E903" s="192"/>
      <c r="F903" s="118"/>
      <c r="G903" s="192"/>
      <c r="H903" s="192"/>
      <c r="I903" s="192"/>
      <c r="J903" s="192"/>
      <c r="K903" s="118"/>
    </row>
    <row r="904" ht="15" customHeight="1" spans="1:11">
      <c r="A904" s="57" t="s">
        <v>354</v>
      </c>
      <c r="B904" s="57" t="s">
        <v>956</v>
      </c>
      <c r="C904" s="57" t="s">
        <v>52</v>
      </c>
      <c r="D904" s="57" t="s">
        <v>855</v>
      </c>
      <c r="E904" s="57" t="s">
        <v>53</v>
      </c>
      <c r="F904" s="57" t="s">
        <v>306</v>
      </c>
      <c r="G904" s="57" t="s">
        <v>956</v>
      </c>
      <c r="H904" s="57" t="s">
        <v>52</v>
      </c>
      <c r="I904" s="57" t="s">
        <v>855</v>
      </c>
      <c r="J904" s="57" t="s">
        <v>53</v>
      </c>
      <c r="K904" s="57" t="s">
        <v>306</v>
      </c>
    </row>
    <row r="905" ht="15" customHeight="1" spans="1:11">
      <c r="A905" s="57" t="s">
        <v>959</v>
      </c>
      <c r="B905" s="57" t="s">
        <v>960</v>
      </c>
      <c r="C905" s="57"/>
      <c r="D905" s="57"/>
      <c r="E905" s="57"/>
      <c r="F905" s="84">
        <f>F906+F930+F931</f>
        <v>45576.2911232191</v>
      </c>
      <c r="G905" s="57" t="s">
        <v>960</v>
      </c>
      <c r="H905" s="57"/>
      <c r="I905" s="57"/>
      <c r="J905" s="57"/>
      <c r="K905" s="84">
        <f>K906+K930+K931</f>
        <v>38985.271987249</v>
      </c>
    </row>
    <row r="906" ht="15" customHeight="1" spans="1:11">
      <c r="A906" s="57" t="s">
        <v>59</v>
      </c>
      <c r="B906" s="57" t="s">
        <v>957</v>
      </c>
      <c r="C906" s="57"/>
      <c r="D906" s="57"/>
      <c r="E906" s="57"/>
      <c r="F906" s="84">
        <f>F907+F910+F920+F927</f>
        <v>43488.8274076518</v>
      </c>
      <c r="G906" s="57" t="s">
        <v>957</v>
      </c>
      <c r="H906" s="57"/>
      <c r="I906" s="57"/>
      <c r="J906" s="57"/>
      <c r="K906" s="84">
        <f>K907+K910+K920+K927</f>
        <v>37199.6870107338</v>
      </c>
    </row>
    <row r="907" ht="15" customHeight="1" spans="1:11">
      <c r="A907" s="57">
        <v>1</v>
      </c>
      <c r="B907" s="57" t="s">
        <v>964</v>
      </c>
      <c r="C907" s="57" t="s">
        <v>965</v>
      </c>
      <c r="D907" s="84"/>
      <c r="E907" s="92">
        <f>SUM(E908:E909)</f>
        <v>2057.3</v>
      </c>
      <c r="F907" s="113">
        <f>SUM(F908:F909)</f>
        <v>15609.106</v>
      </c>
      <c r="G907" s="57" t="s">
        <v>964</v>
      </c>
      <c r="H907" s="57" t="s">
        <v>965</v>
      </c>
      <c r="I907" s="84"/>
      <c r="J907" s="92">
        <f>SUM(J908:J909)</f>
        <v>1505.7</v>
      </c>
      <c r="K907" s="113">
        <f>SUM(K908:K909)</f>
        <v>11341.06</v>
      </c>
    </row>
    <row r="908" ht="15" customHeight="1" spans="1:11">
      <c r="A908" s="57"/>
      <c r="B908" s="57" t="s">
        <v>966</v>
      </c>
      <c r="C908" s="57" t="s">
        <v>965</v>
      </c>
      <c r="D908" s="113">
        <f t="shared" ref="D908:D911" si="90">D860</f>
        <v>8.1</v>
      </c>
      <c r="E908" s="92">
        <v>1604.5</v>
      </c>
      <c r="F908" s="113">
        <f>D908*E908</f>
        <v>12996.45</v>
      </c>
      <c r="G908" s="57" t="s">
        <v>966</v>
      </c>
      <c r="H908" s="57" t="s">
        <v>965</v>
      </c>
      <c r="I908" s="113">
        <f t="shared" ref="I908:I911" si="91">D908</f>
        <v>8.1</v>
      </c>
      <c r="J908" s="92">
        <v>1138.7</v>
      </c>
      <c r="K908" s="113">
        <f>I908*J908</f>
        <v>9223.47</v>
      </c>
    </row>
    <row r="909" ht="15" customHeight="1" spans="1:11">
      <c r="A909" s="57"/>
      <c r="B909" s="57" t="s">
        <v>968</v>
      </c>
      <c r="C909" s="57" t="s">
        <v>965</v>
      </c>
      <c r="D909" s="113">
        <f t="shared" si="90"/>
        <v>5.77</v>
      </c>
      <c r="E909" s="92">
        <v>452.8</v>
      </c>
      <c r="F909" s="113">
        <f>D909*E909</f>
        <v>2612.656</v>
      </c>
      <c r="G909" s="57" t="s">
        <v>968</v>
      </c>
      <c r="H909" s="57" t="s">
        <v>965</v>
      </c>
      <c r="I909" s="113">
        <f t="shared" si="91"/>
        <v>5.77</v>
      </c>
      <c r="J909" s="92">
        <v>367</v>
      </c>
      <c r="K909" s="113">
        <f>I909*J909</f>
        <v>2117.59</v>
      </c>
    </row>
    <row r="910" ht="15" customHeight="1" spans="1:11">
      <c r="A910" s="57">
        <v>2</v>
      </c>
      <c r="B910" s="57" t="s">
        <v>1219</v>
      </c>
      <c r="C910" s="57"/>
      <c r="D910" s="84"/>
      <c r="E910" s="84"/>
      <c r="F910" s="84">
        <f>SUM(F911:F919)</f>
        <v>25084.81935708</v>
      </c>
      <c r="G910" s="57" t="s">
        <v>1219</v>
      </c>
      <c r="H910" s="57"/>
      <c r="I910" s="84"/>
      <c r="J910" s="84"/>
      <c r="K910" s="84">
        <f>SUM(K911:K919)</f>
        <v>23119.032362295</v>
      </c>
    </row>
    <row r="911" ht="15" customHeight="1" spans="1:11">
      <c r="A911" s="57"/>
      <c r="B911" s="244" t="s">
        <v>1272</v>
      </c>
      <c r="C911" s="244" t="s">
        <v>1188</v>
      </c>
      <c r="D911" s="84">
        <f t="shared" si="90"/>
        <v>2232.665025</v>
      </c>
      <c r="E911" s="84">
        <v>0.14</v>
      </c>
      <c r="F911" s="84">
        <f t="shared" ref="F911:F918" si="92">D911*E911</f>
        <v>312.5731035</v>
      </c>
      <c r="G911" s="244" t="s">
        <v>1272</v>
      </c>
      <c r="H911" s="244" t="s">
        <v>1188</v>
      </c>
      <c r="I911" s="84">
        <f t="shared" si="91"/>
        <v>2232.665025</v>
      </c>
      <c r="J911" s="84">
        <v>0.07</v>
      </c>
      <c r="K911" s="84">
        <f t="shared" ref="K911:K918" si="93">I911*J911</f>
        <v>156.28655175</v>
      </c>
    </row>
    <row r="912" ht="15" customHeight="1" spans="1:11">
      <c r="A912" s="57"/>
      <c r="B912" s="244" t="s">
        <v>1273</v>
      </c>
      <c r="C912" s="244" t="s">
        <v>184</v>
      </c>
      <c r="D912" s="84">
        <v>4.44</v>
      </c>
      <c r="E912" s="84">
        <v>339.3</v>
      </c>
      <c r="F912" s="84">
        <f t="shared" si="92"/>
        <v>1506.492</v>
      </c>
      <c r="G912" s="244" t="s">
        <v>1273</v>
      </c>
      <c r="H912" s="244" t="s">
        <v>184</v>
      </c>
      <c r="I912" s="84">
        <v>4.44</v>
      </c>
      <c r="J912" s="84">
        <v>203.58</v>
      </c>
      <c r="K912" s="84">
        <f t="shared" si="93"/>
        <v>903.8952</v>
      </c>
    </row>
    <row r="913" ht="15" customHeight="1" spans="1:11">
      <c r="A913" s="57"/>
      <c r="B913" s="244" t="s">
        <v>1274</v>
      </c>
      <c r="C913" s="244" t="s">
        <v>184</v>
      </c>
      <c r="D913" s="84">
        <v>4.5</v>
      </c>
      <c r="E913" s="84">
        <v>148.47</v>
      </c>
      <c r="F913" s="84">
        <f t="shared" si="92"/>
        <v>668.115</v>
      </c>
      <c r="G913" s="244" t="s">
        <v>1274</v>
      </c>
      <c r="H913" s="244" t="s">
        <v>184</v>
      </c>
      <c r="I913" s="84">
        <v>4.5</v>
      </c>
      <c r="J913" s="84">
        <v>89</v>
      </c>
      <c r="K913" s="84">
        <f t="shared" si="93"/>
        <v>400.5</v>
      </c>
    </row>
    <row r="914" ht="15" customHeight="1" spans="1:11">
      <c r="A914" s="57"/>
      <c r="B914" s="244" t="s">
        <v>1275</v>
      </c>
      <c r="C914" s="244" t="s">
        <v>184</v>
      </c>
      <c r="D914" s="84">
        <v>5.15</v>
      </c>
      <c r="E914" s="84">
        <v>167.84</v>
      </c>
      <c r="F914" s="84">
        <f t="shared" si="92"/>
        <v>864.376</v>
      </c>
      <c r="G914" s="244" t="s">
        <v>1275</v>
      </c>
      <c r="H914" s="244" t="s">
        <v>184</v>
      </c>
      <c r="I914" s="84">
        <v>5.15</v>
      </c>
      <c r="J914" s="84">
        <v>100.64</v>
      </c>
      <c r="K914" s="84">
        <f t="shared" si="93"/>
        <v>518.296</v>
      </c>
    </row>
    <row r="915" ht="15" customHeight="1" spans="1:11">
      <c r="A915" s="57"/>
      <c r="B915" s="244" t="s">
        <v>1277</v>
      </c>
      <c r="C915" s="244" t="s">
        <v>184</v>
      </c>
      <c r="D915" s="84">
        <v>6.39</v>
      </c>
      <c r="E915" s="84">
        <v>180.9</v>
      </c>
      <c r="F915" s="84">
        <f t="shared" si="92"/>
        <v>1155.951</v>
      </c>
      <c r="G915" s="244" t="s">
        <v>1277</v>
      </c>
      <c r="H915" s="244" t="s">
        <v>184</v>
      </c>
      <c r="I915" s="84">
        <v>6.39</v>
      </c>
      <c r="J915" s="84">
        <v>108</v>
      </c>
      <c r="K915" s="84">
        <f t="shared" si="93"/>
        <v>690.12</v>
      </c>
    </row>
    <row r="916" ht="15" customHeight="1" spans="1:11">
      <c r="A916" s="57"/>
      <c r="B916" s="244" t="s">
        <v>1278</v>
      </c>
      <c r="C916" s="244" t="s">
        <v>184</v>
      </c>
      <c r="D916" s="84">
        <v>5.97</v>
      </c>
      <c r="E916" s="84">
        <v>0.63</v>
      </c>
      <c r="F916" s="84">
        <f t="shared" si="92"/>
        <v>3.7611</v>
      </c>
      <c r="G916" s="244" t="s">
        <v>1278</v>
      </c>
      <c r="H916" s="244" t="s">
        <v>184</v>
      </c>
      <c r="I916" s="84">
        <v>5.97</v>
      </c>
      <c r="J916" s="84">
        <v>0.39</v>
      </c>
      <c r="K916" s="84">
        <f t="shared" si="93"/>
        <v>2.3283</v>
      </c>
    </row>
    <row r="917" ht="15" customHeight="1" spans="1:11">
      <c r="A917" s="57"/>
      <c r="B917" s="57" t="s">
        <v>1296</v>
      </c>
      <c r="C917" s="57" t="s">
        <v>1188</v>
      </c>
      <c r="D917" s="84">
        <f>配合比!M11</f>
        <v>188.1795335</v>
      </c>
      <c r="E917" s="84">
        <v>103</v>
      </c>
      <c r="F917" s="84">
        <f t="shared" si="92"/>
        <v>19382.4919505</v>
      </c>
      <c r="G917" s="57" t="s">
        <v>1296</v>
      </c>
      <c r="H917" s="57" t="s">
        <v>1188</v>
      </c>
      <c r="I917" s="84">
        <f>配合比!M11</f>
        <v>188.1795335</v>
      </c>
      <c r="J917" s="84">
        <v>103</v>
      </c>
      <c r="K917" s="84">
        <f t="shared" si="93"/>
        <v>19382.4919505</v>
      </c>
    </row>
    <row r="918" ht="15" customHeight="1" spans="1:11">
      <c r="A918" s="57"/>
      <c r="B918" s="57" t="s">
        <v>1022</v>
      </c>
      <c r="C918" s="57" t="s">
        <v>1188</v>
      </c>
      <c r="D918" s="84">
        <f>材料预算价!K14</f>
        <v>4.37</v>
      </c>
      <c r="E918" s="84">
        <v>160</v>
      </c>
      <c r="F918" s="84">
        <f t="shared" si="92"/>
        <v>699.2</v>
      </c>
      <c r="G918" s="57" t="s">
        <v>1022</v>
      </c>
      <c r="H918" s="57" t="s">
        <v>1188</v>
      </c>
      <c r="I918" s="84">
        <f t="shared" ref="I918:I925" si="94">D918</f>
        <v>4.37</v>
      </c>
      <c r="J918" s="84">
        <v>140</v>
      </c>
      <c r="K918" s="84">
        <f t="shared" si="93"/>
        <v>611.8</v>
      </c>
    </row>
    <row r="919" ht="15" customHeight="1" spans="1:11">
      <c r="A919" s="57"/>
      <c r="B919" s="57" t="s">
        <v>1163</v>
      </c>
      <c r="C919" s="59" t="s">
        <v>423</v>
      </c>
      <c r="D919" s="84">
        <f>F911+F912+F913+F914+F915+F916+F917++F918</f>
        <v>24592.960154</v>
      </c>
      <c r="E919" s="84">
        <v>2</v>
      </c>
      <c r="F919" s="84">
        <f>D919*E919/100</f>
        <v>491.85920308</v>
      </c>
      <c r="G919" s="57" t="s">
        <v>1163</v>
      </c>
      <c r="H919" s="59" t="s">
        <v>423</v>
      </c>
      <c r="I919" s="84">
        <f>K911+K912+K913+K914+K915+K916+K917++K918</f>
        <v>22665.71800225</v>
      </c>
      <c r="J919" s="84">
        <v>2</v>
      </c>
      <c r="K919" s="84">
        <f>I919*J919/100</f>
        <v>453.314360045</v>
      </c>
    </row>
    <row r="920" ht="15" customHeight="1" spans="1:11">
      <c r="A920" s="57">
        <v>3</v>
      </c>
      <c r="B920" s="57" t="s">
        <v>1171</v>
      </c>
      <c r="C920" s="57"/>
      <c r="D920" s="84"/>
      <c r="E920" s="84"/>
      <c r="F920" s="84">
        <f>SUM(F921:F926)</f>
        <v>808.490629899082</v>
      </c>
      <c r="G920" s="57" t="s">
        <v>1171</v>
      </c>
      <c r="H920" s="57"/>
      <c r="I920" s="84"/>
      <c r="J920" s="84"/>
      <c r="K920" s="84">
        <f>SUM(K921:K926)</f>
        <v>753.183227766055</v>
      </c>
    </row>
    <row r="921" ht="15" customHeight="1" spans="1:11">
      <c r="A921" s="57"/>
      <c r="B921" s="57" t="s">
        <v>1280</v>
      </c>
      <c r="C921" s="57" t="s">
        <v>988</v>
      </c>
      <c r="D921" s="84">
        <f>D874</f>
        <v>49.389824491424</v>
      </c>
      <c r="E921" s="84">
        <v>1.17</v>
      </c>
      <c r="F921" s="84">
        <f t="shared" ref="F921:F925" si="95">D921*E921</f>
        <v>57.7860946549661</v>
      </c>
      <c r="G921" s="57" t="s">
        <v>1280</v>
      </c>
      <c r="H921" s="57" t="s">
        <v>988</v>
      </c>
      <c r="I921" s="84">
        <f t="shared" si="94"/>
        <v>49.389824491424</v>
      </c>
      <c r="J921" s="84">
        <v>0.71</v>
      </c>
      <c r="K921" s="84">
        <f t="shared" ref="K921:K925" si="96">I921*J921</f>
        <v>35.066775388911</v>
      </c>
    </row>
    <row r="922" ht="15" customHeight="1" spans="1:11">
      <c r="A922" s="57"/>
      <c r="B922" s="57" t="s">
        <v>1282</v>
      </c>
      <c r="C922" s="57" t="s">
        <v>988</v>
      </c>
      <c r="D922" s="84">
        <f t="shared" ref="D922:D925" si="97">D876</f>
        <v>8.0471858795373</v>
      </c>
      <c r="E922" s="204">
        <v>0.94</v>
      </c>
      <c r="F922" s="84">
        <f t="shared" si="95"/>
        <v>7.56435472676506</v>
      </c>
      <c r="G922" s="57" t="s">
        <v>1282</v>
      </c>
      <c r="H922" s="57" t="s">
        <v>988</v>
      </c>
      <c r="I922" s="84">
        <f t="shared" si="94"/>
        <v>8.0471858795373</v>
      </c>
      <c r="J922" s="204">
        <v>0.58</v>
      </c>
      <c r="K922" s="84">
        <f t="shared" si="96"/>
        <v>4.66736781013163</v>
      </c>
    </row>
    <row r="923" ht="15" customHeight="1" spans="1:11">
      <c r="A923" s="57"/>
      <c r="B923" s="57" t="s">
        <v>1283</v>
      </c>
      <c r="C923" s="57" t="s">
        <v>988</v>
      </c>
      <c r="D923" s="84">
        <f t="shared" si="97"/>
        <v>23.7459521340247</v>
      </c>
      <c r="E923" s="84">
        <v>18.54</v>
      </c>
      <c r="F923" s="84">
        <f t="shared" si="95"/>
        <v>440.249952564819</v>
      </c>
      <c r="G923" s="57" t="s">
        <v>1283</v>
      </c>
      <c r="H923" s="57" t="s">
        <v>988</v>
      </c>
      <c r="I923" s="84">
        <f t="shared" si="94"/>
        <v>23.7459521340247</v>
      </c>
      <c r="J923" s="84">
        <v>18.54</v>
      </c>
      <c r="K923" s="84">
        <f t="shared" si="96"/>
        <v>440.249952564819</v>
      </c>
    </row>
    <row r="924" ht="15" customHeight="1" spans="1:11">
      <c r="A924" s="57"/>
      <c r="B924" s="57" t="s">
        <v>1297</v>
      </c>
      <c r="C924" s="57" t="s">
        <v>988</v>
      </c>
      <c r="D924" s="84">
        <f>台时!C84</f>
        <v>2.37852772237734</v>
      </c>
      <c r="E924" s="84">
        <v>49.5</v>
      </c>
      <c r="F924" s="84">
        <f t="shared" si="95"/>
        <v>117.737122257678</v>
      </c>
      <c r="G924" s="57" t="s">
        <v>1297</v>
      </c>
      <c r="H924" s="57" t="s">
        <v>988</v>
      </c>
      <c r="I924" s="84">
        <f t="shared" si="94"/>
        <v>2.37852772237734</v>
      </c>
      <c r="J924" s="84">
        <v>40.05</v>
      </c>
      <c r="K924" s="84">
        <f t="shared" si="96"/>
        <v>95.2600352812125</v>
      </c>
    </row>
    <row r="925" ht="15" customHeight="1" spans="1:11">
      <c r="A925" s="57"/>
      <c r="B925" s="57" t="s">
        <v>1190</v>
      </c>
      <c r="C925" s="57" t="s">
        <v>988</v>
      </c>
      <c r="D925" s="84">
        <f t="shared" si="97"/>
        <v>0.813242919824491</v>
      </c>
      <c r="E925" s="84">
        <v>98</v>
      </c>
      <c r="F925" s="84">
        <f t="shared" si="95"/>
        <v>79.6978061428001</v>
      </c>
      <c r="G925" s="57" t="s">
        <v>1190</v>
      </c>
      <c r="H925" s="57" t="s">
        <v>988</v>
      </c>
      <c r="I925" s="84">
        <f t="shared" si="94"/>
        <v>0.813242919824491</v>
      </c>
      <c r="J925" s="84">
        <v>98</v>
      </c>
      <c r="K925" s="84">
        <f t="shared" si="96"/>
        <v>79.6978061428001</v>
      </c>
    </row>
    <row r="926" ht="15" customHeight="1" spans="1:11">
      <c r="A926" s="57"/>
      <c r="B926" s="57" t="s">
        <v>1223</v>
      </c>
      <c r="C926" s="59" t="s">
        <v>423</v>
      </c>
      <c r="D926" s="84">
        <f>SUM(F921:F925)</f>
        <v>703.035330347028</v>
      </c>
      <c r="E926" s="196">
        <v>15</v>
      </c>
      <c r="F926" s="84">
        <f>D926*E926/100</f>
        <v>105.455299552054</v>
      </c>
      <c r="G926" s="57" t="s">
        <v>1223</v>
      </c>
      <c r="H926" s="59" t="s">
        <v>423</v>
      </c>
      <c r="I926" s="84">
        <f>SUM(K921:K925)</f>
        <v>654.941937187874</v>
      </c>
      <c r="J926" s="196">
        <v>15</v>
      </c>
      <c r="K926" s="84">
        <f>I926*J926/100</f>
        <v>98.2412905781811</v>
      </c>
    </row>
    <row r="927" ht="15" customHeight="1" spans="1:11">
      <c r="A927" s="55">
        <v>4</v>
      </c>
      <c r="B927" s="55" t="s">
        <v>1285</v>
      </c>
      <c r="C927" s="253"/>
      <c r="D927" s="254"/>
      <c r="E927" s="254"/>
      <c r="F927" s="254">
        <f>SUM(F928:F929)</f>
        <v>1986.41142067271</v>
      </c>
      <c r="G927" s="55" t="s">
        <v>1285</v>
      </c>
      <c r="H927" s="253"/>
      <c r="I927" s="254"/>
      <c r="J927" s="254"/>
      <c r="K927" s="254">
        <f>SUM(K928:K929)</f>
        <v>1986.41142067271</v>
      </c>
    </row>
    <row r="928" ht="15" customHeight="1" spans="1:11">
      <c r="A928" s="57"/>
      <c r="B928" s="245" t="s">
        <v>1286</v>
      </c>
      <c r="C928" s="245" t="s">
        <v>1188</v>
      </c>
      <c r="D928" s="246">
        <f>$F$2253/100</f>
        <v>5.03319379720782</v>
      </c>
      <c r="E928" s="246">
        <v>103</v>
      </c>
      <c r="F928" s="84">
        <f>D928*E928</f>
        <v>518.418961112405</v>
      </c>
      <c r="G928" s="245" t="s">
        <v>1286</v>
      </c>
      <c r="H928" s="245" t="s">
        <v>1188</v>
      </c>
      <c r="I928" s="246">
        <f>$F$2253/100</f>
        <v>5.03319379720782</v>
      </c>
      <c r="J928" s="246">
        <v>103</v>
      </c>
      <c r="K928" s="84">
        <f>I928*J928</f>
        <v>518.418961112405</v>
      </c>
    </row>
    <row r="929" ht="15" customHeight="1" spans="1:11">
      <c r="A929" s="57"/>
      <c r="B929" s="245" t="s">
        <v>1287</v>
      </c>
      <c r="C929" s="245" t="s">
        <v>1188</v>
      </c>
      <c r="D929" s="246">
        <f>$F$2271/100</f>
        <v>14.2523539763136</v>
      </c>
      <c r="E929" s="246">
        <v>103</v>
      </c>
      <c r="F929" s="84">
        <f>D929*E929</f>
        <v>1467.99245956031</v>
      </c>
      <c r="G929" s="245" t="s">
        <v>1287</v>
      </c>
      <c r="H929" s="245" t="s">
        <v>1188</v>
      </c>
      <c r="I929" s="246">
        <f>$F$2271/100</f>
        <v>14.2523539763136</v>
      </c>
      <c r="J929" s="246">
        <v>103</v>
      </c>
      <c r="K929" s="84">
        <f>I929*J929</f>
        <v>1467.99245956031</v>
      </c>
    </row>
    <row r="930" ht="15" customHeight="1" spans="1:11">
      <c r="A930" s="57" t="s">
        <v>70</v>
      </c>
      <c r="B930" s="57" t="s">
        <v>977</v>
      </c>
      <c r="C930" s="194">
        <f>取费表!$C$7</f>
        <v>0.048</v>
      </c>
      <c r="D930" s="246"/>
      <c r="E930" s="246">
        <f>F906</f>
        <v>43488.8274076518</v>
      </c>
      <c r="F930" s="84">
        <f t="shared" ref="F930:F933" si="98">E930*C930</f>
        <v>2087.46371556729</v>
      </c>
      <c r="G930" s="57" t="s">
        <v>977</v>
      </c>
      <c r="H930" s="194">
        <f>取费表!$C$7</f>
        <v>0.048</v>
      </c>
      <c r="I930" s="246"/>
      <c r="J930" s="246">
        <f>K906</f>
        <v>37199.6870107338</v>
      </c>
      <c r="K930" s="84">
        <f t="shared" ref="K930:K933" si="99">J930*H930</f>
        <v>1785.58497651522</v>
      </c>
    </row>
    <row r="931" ht="15" customHeight="1" spans="1:11">
      <c r="A931" s="57"/>
      <c r="B931" s="57"/>
      <c r="C931" s="194"/>
      <c r="D931" s="246"/>
      <c r="E931" s="246"/>
      <c r="F931" s="84"/>
      <c r="G931" s="57"/>
      <c r="H931" s="194"/>
      <c r="I931" s="246"/>
      <c r="J931" s="246"/>
      <c r="K931" s="84"/>
    </row>
    <row r="932" ht="15" customHeight="1" spans="1:11">
      <c r="A932" s="57" t="s">
        <v>979</v>
      </c>
      <c r="B932" s="57" t="s">
        <v>973</v>
      </c>
      <c r="C932" s="194">
        <f>取费表!$E$7</f>
        <v>0.07</v>
      </c>
      <c r="D932" s="246"/>
      <c r="E932" s="246">
        <f>F905</f>
        <v>45576.2911232191</v>
      </c>
      <c r="F932" s="84">
        <f t="shared" si="98"/>
        <v>3190.34037862534</v>
      </c>
      <c r="G932" s="57" t="s">
        <v>973</v>
      </c>
      <c r="H932" s="194">
        <f>取费表!$E$7</f>
        <v>0.07</v>
      </c>
      <c r="I932" s="246"/>
      <c r="J932" s="246">
        <f>K905</f>
        <v>38985.271987249</v>
      </c>
      <c r="K932" s="84">
        <f t="shared" si="99"/>
        <v>2728.96903910743</v>
      </c>
    </row>
    <row r="933" ht="15" customHeight="1" spans="1:11">
      <c r="A933" s="57" t="s">
        <v>162</v>
      </c>
      <c r="B933" s="57" t="s">
        <v>980</v>
      </c>
      <c r="C933" s="194">
        <f>取费表!$F$7</f>
        <v>0.07</v>
      </c>
      <c r="D933" s="246"/>
      <c r="E933" s="246">
        <f>F932+F905</f>
        <v>48766.6315018444</v>
      </c>
      <c r="F933" s="84">
        <f t="shared" si="98"/>
        <v>3413.66420512911</v>
      </c>
      <c r="G933" s="57" t="s">
        <v>980</v>
      </c>
      <c r="H933" s="194">
        <f>取费表!$F$7</f>
        <v>0.07</v>
      </c>
      <c r="I933" s="246"/>
      <c r="J933" s="246">
        <f>K932+K905</f>
        <v>41714.2410263564</v>
      </c>
      <c r="K933" s="84">
        <f t="shared" si="99"/>
        <v>2919.99687184495</v>
      </c>
    </row>
    <row r="934" ht="15" customHeight="1" spans="1:11">
      <c r="A934" s="55" t="s">
        <v>214</v>
      </c>
      <c r="B934" s="55" t="s">
        <v>1173</v>
      </c>
      <c r="C934" s="253"/>
      <c r="D934" s="254"/>
      <c r="E934" s="55"/>
      <c r="F934" s="255">
        <f>F935+F940</f>
        <v>10064.2549521355</v>
      </c>
      <c r="G934" s="55" t="s">
        <v>1173</v>
      </c>
      <c r="H934" s="253"/>
      <c r="I934" s="254"/>
      <c r="J934" s="55"/>
      <c r="K934" s="255">
        <f>K935+K940</f>
        <v>10064.2549521355</v>
      </c>
    </row>
    <row r="935" ht="15" customHeight="1" spans="1:11">
      <c r="A935" s="57">
        <v>1</v>
      </c>
      <c r="B935" s="57" t="s">
        <v>1288</v>
      </c>
      <c r="C935" s="59"/>
      <c r="D935" s="84"/>
      <c r="E935" s="57"/>
      <c r="F935" s="113">
        <f>SUM(F936:F939)</f>
        <v>10011.8155521355</v>
      </c>
      <c r="G935" s="57" t="s">
        <v>1288</v>
      </c>
      <c r="H935" s="59"/>
      <c r="I935" s="84"/>
      <c r="J935" s="57"/>
      <c r="K935" s="113">
        <f>SUM(K936:K939)</f>
        <v>10011.8155521355</v>
      </c>
    </row>
    <row r="936" ht="15" customHeight="1" spans="1:11">
      <c r="A936" s="57"/>
      <c r="B936" s="57"/>
      <c r="C936" s="57"/>
      <c r="D936" s="84"/>
      <c r="E936" s="84"/>
      <c r="F936" s="113"/>
      <c r="G936" s="57"/>
      <c r="H936" s="57"/>
      <c r="I936" s="84"/>
      <c r="J936" s="84"/>
      <c r="K936" s="113"/>
    </row>
    <row r="937" ht="15" customHeight="1" spans="1:11">
      <c r="A937" s="57"/>
      <c r="B937" s="57" t="s">
        <v>1141</v>
      </c>
      <c r="C937" s="57" t="s">
        <v>69</v>
      </c>
      <c r="D937" s="84">
        <f>材料预算价!K5-材料预算价!L5</f>
        <v>156.64017</v>
      </c>
      <c r="E937" s="84">
        <f>E917*配合比!E11</f>
        <v>37.58161</v>
      </c>
      <c r="F937" s="113">
        <f t="shared" ref="F937:F939" si="100">D937*E937</f>
        <v>5886.7897792737</v>
      </c>
      <c r="G937" s="57" t="s">
        <v>1141</v>
      </c>
      <c r="H937" s="57" t="s">
        <v>69</v>
      </c>
      <c r="I937" s="84">
        <f t="shared" ref="I937:I939" si="101">D937</f>
        <v>156.64017</v>
      </c>
      <c r="J937" s="84">
        <f>J917*配合比!E11</f>
        <v>37.58161</v>
      </c>
      <c r="K937" s="113">
        <f t="shared" ref="K937:K939" si="102">I937*J937</f>
        <v>5886.7897792737</v>
      </c>
    </row>
    <row r="938" ht="15" customHeight="1" spans="1:11">
      <c r="A938" s="57"/>
      <c r="B938" s="57" t="s">
        <v>1142</v>
      </c>
      <c r="C938" s="57" t="s">
        <v>1188</v>
      </c>
      <c r="D938" s="84">
        <f>D892</f>
        <v>44.826214</v>
      </c>
      <c r="E938" s="84">
        <f>E917*配合比!G11</f>
        <v>52.18598</v>
      </c>
      <c r="F938" s="113">
        <f t="shared" si="100"/>
        <v>2339.29990727972</v>
      </c>
      <c r="G938" s="57" t="s">
        <v>1142</v>
      </c>
      <c r="H938" s="57" t="s">
        <v>1188</v>
      </c>
      <c r="I938" s="84">
        <f t="shared" si="101"/>
        <v>44.826214</v>
      </c>
      <c r="J938" s="84">
        <f>J917*配合比!G11</f>
        <v>52.18598</v>
      </c>
      <c r="K938" s="113">
        <f t="shared" si="102"/>
        <v>2339.29990727972</v>
      </c>
    </row>
    <row r="939" ht="15" customHeight="1" spans="1:11">
      <c r="A939" s="57"/>
      <c r="B939" s="57" t="s">
        <v>1110</v>
      </c>
      <c r="C939" s="57" t="s">
        <v>1188</v>
      </c>
      <c r="D939" s="84">
        <f>材料预算价!K8-材料预算价!L8</f>
        <v>20.60443</v>
      </c>
      <c r="E939" s="84">
        <f>E917*配合比!I11</f>
        <v>86.667084</v>
      </c>
      <c r="F939" s="113">
        <f t="shared" si="100"/>
        <v>1785.72586558212</v>
      </c>
      <c r="G939" s="57" t="s">
        <v>1110</v>
      </c>
      <c r="H939" s="57" t="s">
        <v>1188</v>
      </c>
      <c r="I939" s="84">
        <f t="shared" si="101"/>
        <v>20.60443</v>
      </c>
      <c r="J939" s="84">
        <f>J917*配合比!I11</f>
        <v>86.667084</v>
      </c>
      <c r="K939" s="113">
        <f t="shared" si="102"/>
        <v>1785.72586558212</v>
      </c>
    </row>
    <row r="940" ht="15" customHeight="1" spans="1:11">
      <c r="A940" s="57">
        <v>2</v>
      </c>
      <c r="B940" s="57" t="s">
        <v>1289</v>
      </c>
      <c r="C940" s="57"/>
      <c r="D940" s="84"/>
      <c r="E940" s="88"/>
      <c r="F940" s="113">
        <f>SUM(F941:F942)</f>
        <v>52.4394</v>
      </c>
      <c r="G940" s="57" t="s">
        <v>1289</v>
      </c>
      <c r="H940" s="57"/>
      <c r="I940" s="84"/>
      <c r="J940" s="88"/>
      <c r="K940" s="113">
        <f>SUM(K941:K942)</f>
        <v>52.4394</v>
      </c>
    </row>
    <row r="941" ht="15" customHeight="1" spans="1:11">
      <c r="A941" s="57"/>
      <c r="B941" s="57" t="s">
        <v>1290</v>
      </c>
      <c r="C941" s="57" t="s">
        <v>184</v>
      </c>
      <c r="D941" s="84">
        <f>材料预算价!K13-材料预算价!L13</f>
        <v>6.225</v>
      </c>
      <c r="E941" s="88">
        <f>E921*台时!H34</f>
        <v>8.424</v>
      </c>
      <c r="F941" s="113">
        <f>D941*E941</f>
        <v>52.4394</v>
      </c>
      <c r="G941" s="57" t="s">
        <v>1290</v>
      </c>
      <c r="H941" s="57" t="s">
        <v>184</v>
      </c>
      <c r="I941" s="84">
        <f>D941</f>
        <v>6.225</v>
      </c>
      <c r="J941" s="88">
        <f>E941</f>
        <v>8.424</v>
      </c>
      <c r="K941" s="113">
        <f>I941*J941</f>
        <v>52.4394</v>
      </c>
    </row>
    <row r="942" ht="15" customHeight="1" spans="1:11">
      <c r="A942" s="57"/>
      <c r="B942" s="57" t="s">
        <v>1174</v>
      </c>
      <c r="C942" s="57" t="s">
        <v>184</v>
      </c>
      <c r="D942" s="84">
        <f>材料预算价!K12-材料预算价!L12</f>
        <v>4.86</v>
      </c>
      <c r="E942" s="88"/>
      <c r="F942" s="113">
        <f>D942*E942</f>
        <v>0</v>
      </c>
      <c r="G942" s="57" t="s">
        <v>1174</v>
      </c>
      <c r="H942" s="57" t="s">
        <v>184</v>
      </c>
      <c r="I942" s="84">
        <f>D942</f>
        <v>4.86</v>
      </c>
      <c r="J942" s="88"/>
      <c r="K942" s="113">
        <f>I942*J942</f>
        <v>0</v>
      </c>
    </row>
    <row r="943" ht="15" customHeight="1" spans="1:11">
      <c r="A943" s="57" t="s">
        <v>327</v>
      </c>
      <c r="B943" s="57" t="s">
        <v>976</v>
      </c>
      <c r="C943" s="195">
        <f>C897</f>
        <v>0.09</v>
      </c>
      <c r="D943" s="84"/>
      <c r="E943" s="84">
        <f>F934+F933+F932+F905</f>
        <v>62244.5506591091</v>
      </c>
      <c r="F943" s="84">
        <f>E943*C943</f>
        <v>5602.00955931982</v>
      </c>
      <c r="G943" s="57" t="s">
        <v>976</v>
      </c>
      <c r="H943" s="195">
        <f>C943</f>
        <v>0.09</v>
      </c>
      <c r="I943" s="84"/>
      <c r="J943" s="84">
        <f>K934+K933+K932+K905</f>
        <v>54698.4928503369</v>
      </c>
      <c r="K943" s="84">
        <f>J943*H943</f>
        <v>4922.86435653032</v>
      </c>
    </row>
    <row r="944" ht="15" customHeight="1" spans="1:11">
      <c r="A944" s="57"/>
      <c r="B944" s="57" t="s">
        <v>984</v>
      </c>
      <c r="C944" s="195"/>
      <c r="D944" s="84"/>
      <c r="E944" s="84"/>
      <c r="F944" s="84">
        <f>(F905+F932+F933+F934+F943)*取费表!H4</f>
        <v>2035.39680655287</v>
      </c>
      <c r="G944" s="57" t="s">
        <v>984</v>
      </c>
      <c r="H944" s="195"/>
      <c r="I944" s="84"/>
      <c r="J944" s="84"/>
      <c r="K944" s="84">
        <f>(K905+K932+K933+K934+K943)*取费表!H7</f>
        <v>1788.64071620602</v>
      </c>
    </row>
    <row r="945" ht="15" customHeight="1" spans="1:11">
      <c r="A945" s="57"/>
      <c r="B945" s="57" t="s">
        <v>278</v>
      </c>
      <c r="C945" s="57"/>
      <c r="D945" s="84"/>
      <c r="E945" s="84"/>
      <c r="F945" s="84">
        <f>F943+E943+F944</f>
        <v>69881.9570249818</v>
      </c>
      <c r="G945" s="57" t="s">
        <v>278</v>
      </c>
      <c r="H945" s="57"/>
      <c r="I945" s="84"/>
      <c r="J945" s="84"/>
      <c r="K945" s="84">
        <f>K943+J943+K944</f>
        <v>61409.9979230733</v>
      </c>
    </row>
    <row r="946" ht="15" customHeight="1" spans="1:12">
      <c r="A946" s="312" t="s">
        <v>1155</v>
      </c>
      <c r="B946" s="312"/>
      <c r="C946" s="312"/>
      <c r="D946" s="312"/>
      <c r="E946" s="312"/>
      <c r="F946" s="312"/>
      <c r="G946" s="176"/>
      <c r="H946" s="176"/>
      <c r="I946" s="176"/>
      <c r="J946" s="176"/>
      <c r="K946" s="176"/>
      <c r="L946" s="243"/>
    </row>
    <row r="947" ht="15" customHeight="1" spans="1:12">
      <c r="A947" s="247" t="s">
        <v>1298</v>
      </c>
      <c r="B947" s="247"/>
      <c r="C947" s="247"/>
      <c r="D947" s="247"/>
      <c r="E947" s="247"/>
      <c r="F947" s="247"/>
      <c r="G947" s="256" t="s">
        <v>1299</v>
      </c>
      <c r="H947" s="247"/>
      <c r="I947" s="247"/>
      <c r="J947" s="247"/>
      <c r="K947" s="247"/>
      <c r="L947" s="247"/>
    </row>
    <row r="948" ht="15" customHeight="1" spans="1:11">
      <c r="A948" s="324" t="s">
        <v>1294</v>
      </c>
      <c r="B948" s="191"/>
      <c r="C948" s="243"/>
      <c r="D948" s="243"/>
      <c r="E948" s="191" t="s">
        <v>1159</v>
      </c>
      <c r="F948" s="191"/>
      <c r="G948" s="334" t="s">
        <v>1300</v>
      </c>
      <c r="H948" s="243"/>
      <c r="I948" s="243"/>
      <c r="J948" s="191" t="s">
        <v>1159</v>
      </c>
      <c r="K948" s="191"/>
    </row>
    <row r="949" ht="15" customHeight="1" spans="1:11">
      <c r="A949" s="197" t="s">
        <v>1301</v>
      </c>
      <c r="B949" s="192"/>
      <c r="C949" s="192"/>
      <c r="D949" s="192"/>
      <c r="E949" s="192"/>
      <c r="F949" s="118"/>
      <c r="G949" s="192"/>
      <c r="H949" s="192"/>
      <c r="I949" s="192"/>
      <c r="J949" s="192"/>
      <c r="K949" s="118"/>
    </row>
    <row r="950" ht="15" customHeight="1" spans="1:11">
      <c r="A950" s="57" t="s">
        <v>354</v>
      </c>
      <c r="B950" s="57" t="s">
        <v>956</v>
      </c>
      <c r="C950" s="57" t="s">
        <v>52</v>
      </c>
      <c r="D950" s="57" t="s">
        <v>855</v>
      </c>
      <c r="E950" s="57" t="s">
        <v>53</v>
      </c>
      <c r="F950" s="57" t="s">
        <v>306</v>
      </c>
      <c r="G950" s="57" t="s">
        <v>956</v>
      </c>
      <c r="H950" s="57" t="s">
        <v>52</v>
      </c>
      <c r="I950" s="57" t="s">
        <v>855</v>
      </c>
      <c r="J950" s="57" t="s">
        <v>53</v>
      </c>
      <c r="K950" s="57" t="s">
        <v>306</v>
      </c>
    </row>
    <row r="951" ht="15" customHeight="1" spans="1:11">
      <c r="A951" s="57" t="s">
        <v>959</v>
      </c>
      <c r="B951" s="57" t="s">
        <v>960</v>
      </c>
      <c r="C951" s="57"/>
      <c r="D951" s="57"/>
      <c r="E951" s="57"/>
      <c r="F951" s="84">
        <f>F952+F977+F978</f>
        <v>37578.3391841831</v>
      </c>
      <c r="G951" s="57" t="s">
        <v>960</v>
      </c>
      <c r="H951" s="57"/>
      <c r="I951" s="57"/>
      <c r="J951" s="57"/>
      <c r="K951" s="84">
        <f>K952+K977+K978</f>
        <v>33674.2361852017</v>
      </c>
    </row>
    <row r="952" ht="15" customHeight="1" spans="1:11">
      <c r="A952" s="57" t="s">
        <v>59</v>
      </c>
      <c r="B952" s="57" t="s">
        <v>957</v>
      </c>
      <c r="C952" s="57"/>
      <c r="D952" s="57"/>
      <c r="E952" s="57"/>
      <c r="F952" s="84">
        <f>F953+F956+F966+F974</f>
        <v>35857.1938780373</v>
      </c>
      <c r="G952" s="57" t="s">
        <v>957</v>
      </c>
      <c r="H952" s="57"/>
      <c r="I952" s="57"/>
      <c r="J952" s="57"/>
      <c r="K952" s="84">
        <f>K953+K956+K966+K974</f>
        <v>32131.9047568718</v>
      </c>
    </row>
    <row r="953" ht="15" customHeight="1" spans="1:11">
      <c r="A953" s="57">
        <v>1</v>
      </c>
      <c r="B953" s="57" t="s">
        <v>964</v>
      </c>
      <c r="C953" s="57" t="s">
        <v>965</v>
      </c>
      <c r="D953" s="84"/>
      <c r="E953" s="92">
        <f>SUM(E954:E955)</f>
        <v>1505.7</v>
      </c>
      <c r="F953" s="113">
        <f>SUM(F954:F955)</f>
        <v>11341.06</v>
      </c>
      <c r="G953" s="57" t="s">
        <v>964</v>
      </c>
      <c r="H953" s="57" t="s">
        <v>965</v>
      </c>
      <c r="I953" s="84"/>
      <c r="J953" s="92">
        <f>SUM(J954:J955)</f>
        <v>1219.4</v>
      </c>
      <c r="K953" s="113">
        <f>SUM(K954:K955)</f>
        <v>8850.076</v>
      </c>
    </row>
    <row r="954" ht="15" customHeight="1" spans="1:11">
      <c r="A954" s="57"/>
      <c r="B954" s="57" t="s">
        <v>966</v>
      </c>
      <c r="C954" s="57" t="s">
        <v>965</v>
      </c>
      <c r="D954" s="113">
        <f t="shared" ref="D954:D957" si="103">D908</f>
        <v>8.1</v>
      </c>
      <c r="E954" s="92">
        <v>1138.7</v>
      </c>
      <c r="F954" s="113">
        <f>D954*E954</f>
        <v>9223.47</v>
      </c>
      <c r="G954" s="57" t="s">
        <v>966</v>
      </c>
      <c r="H954" s="57" t="s">
        <v>965</v>
      </c>
      <c r="I954" s="113">
        <f t="shared" ref="I954:I957" si="104">D954</f>
        <v>8.1</v>
      </c>
      <c r="J954" s="92">
        <v>778.6</v>
      </c>
      <c r="K954" s="113">
        <f>I954*J954</f>
        <v>6306.66</v>
      </c>
    </row>
    <row r="955" ht="15" customHeight="1" spans="1:11">
      <c r="A955" s="57"/>
      <c r="B955" s="57" t="s">
        <v>968</v>
      </c>
      <c r="C955" s="57" t="s">
        <v>965</v>
      </c>
      <c r="D955" s="113">
        <f t="shared" si="103"/>
        <v>5.77</v>
      </c>
      <c r="E955" s="92">
        <v>367</v>
      </c>
      <c r="F955" s="113">
        <f>D955*E955</f>
        <v>2117.59</v>
      </c>
      <c r="G955" s="57" t="s">
        <v>968</v>
      </c>
      <c r="H955" s="57" t="s">
        <v>965</v>
      </c>
      <c r="I955" s="113">
        <f t="shared" si="104"/>
        <v>5.77</v>
      </c>
      <c r="J955" s="92">
        <v>440.8</v>
      </c>
      <c r="K955" s="113">
        <f>I955*J955</f>
        <v>2543.416</v>
      </c>
    </row>
    <row r="956" ht="15" customHeight="1" spans="1:11">
      <c r="A956" s="57">
        <v>2</v>
      </c>
      <c r="B956" s="57" t="s">
        <v>1219</v>
      </c>
      <c r="C956" s="57"/>
      <c r="D956" s="84"/>
      <c r="E956" s="84"/>
      <c r="F956" s="84">
        <f>SUM(F957:F965)</f>
        <v>24360.890572785</v>
      </c>
      <c r="G956" s="57" t="s">
        <v>1219</v>
      </c>
      <c r="H956" s="57"/>
      <c r="I956" s="84"/>
      <c r="J956" s="84"/>
      <c r="K956" s="84">
        <f>SUM(K957:K965)</f>
        <v>23039.40535467</v>
      </c>
    </row>
    <row r="957" ht="15" customHeight="1" spans="1:11">
      <c r="A957" s="57"/>
      <c r="B957" s="244" t="s">
        <v>1272</v>
      </c>
      <c r="C957" s="244" t="s">
        <v>1188</v>
      </c>
      <c r="D957" s="84">
        <f t="shared" si="103"/>
        <v>2232.665025</v>
      </c>
      <c r="E957" s="84">
        <v>0.07</v>
      </c>
      <c r="F957" s="84">
        <f t="shared" ref="F957:F964" si="105">D957*E957</f>
        <v>156.28655175</v>
      </c>
      <c r="G957" s="244" t="s">
        <v>1272</v>
      </c>
      <c r="H957" s="244" t="s">
        <v>1188</v>
      </c>
      <c r="I957" s="84">
        <f t="shared" si="104"/>
        <v>2232.665025</v>
      </c>
      <c r="J957" s="84">
        <v>0.34</v>
      </c>
      <c r="K957" s="84">
        <f t="shared" ref="K957:K964" si="106">I957*J957</f>
        <v>759.1061085</v>
      </c>
    </row>
    <row r="958" ht="15" customHeight="1" spans="1:11">
      <c r="A958" s="57"/>
      <c r="B958" s="244" t="s">
        <v>1273</v>
      </c>
      <c r="C958" s="244" t="s">
        <v>184</v>
      </c>
      <c r="D958" s="84">
        <v>4.44</v>
      </c>
      <c r="E958" s="84">
        <v>203.58</v>
      </c>
      <c r="F958" s="84">
        <f t="shared" si="105"/>
        <v>903.8952</v>
      </c>
      <c r="G958" s="244" t="s">
        <v>1273</v>
      </c>
      <c r="H958" s="244" t="s">
        <v>184</v>
      </c>
      <c r="I958" s="84">
        <v>4.44</v>
      </c>
      <c r="J958" s="84">
        <v>7.82</v>
      </c>
      <c r="K958" s="84">
        <f t="shared" si="106"/>
        <v>34.7208</v>
      </c>
    </row>
    <row r="959" ht="15" customHeight="1" spans="1:11">
      <c r="A959" s="57"/>
      <c r="B959" s="244" t="s">
        <v>1274</v>
      </c>
      <c r="C959" s="244" t="s">
        <v>184</v>
      </c>
      <c r="D959" s="84">
        <v>4.5</v>
      </c>
      <c r="E959" s="84">
        <v>89</v>
      </c>
      <c r="F959" s="84">
        <f t="shared" si="105"/>
        <v>400.5</v>
      </c>
      <c r="G959" s="244" t="s">
        <v>1274</v>
      </c>
      <c r="H959" s="244" t="s">
        <v>184</v>
      </c>
      <c r="I959" s="84">
        <v>4.5</v>
      </c>
      <c r="J959" s="84">
        <v>18.69</v>
      </c>
      <c r="K959" s="84">
        <f t="shared" si="106"/>
        <v>84.105</v>
      </c>
    </row>
    <row r="960" ht="15" customHeight="1" spans="1:11">
      <c r="A960" s="57"/>
      <c r="B960" s="244" t="s">
        <v>1275</v>
      </c>
      <c r="C960" s="244" t="s">
        <v>184</v>
      </c>
      <c r="D960" s="84">
        <v>5.15</v>
      </c>
      <c r="E960" s="84">
        <v>100.64</v>
      </c>
      <c r="F960" s="84">
        <f t="shared" si="105"/>
        <v>518.296</v>
      </c>
      <c r="G960" s="244" t="s">
        <v>1275</v>
      </c>
      <c r="H960" s="244" t="s">
        <v>184</v>
      </c>
      <c r="I960" s="84">
        <v>5.15</v>
      </c>
      <c r="J960" s="84">
        <v>25.11</v>
      </c>
      <c r="K960" s="84">
        <f t="shared" si="106"/>
        <v>129.3165</v>
      </c>
    </row>
    <row r="961" ht="15" customHeight="1" spans="1:11">
      <c r="A961" s="57"/>
      <c r="B961" s="244" t="s">
        <v>1277</v>
      </c>
      <c r="C961" s="244" t="s">
        <v>184</v>
      </c>
      <c r="D961" s="84">
        <v>6.39</v>
      </c>
      <c r="E961" s="84">
        <v>108</v>
      </c>
      <c r="F961" s="84">
        <f t="shared" si="105"/>
        <v>690.12</v>
      </c>
      <c r="G961" s="244" t="s">
        <v>1277</v>
      </c>
      <c r="H961" s="244" t="s">
        <v>184</v>
      </c>
      <c r="I961" s="84">
        <v>6.39</v>
      </c>
      <c r="J961" s="84">
        <f>0.58+29.17</f>
        <v>29.75</v>
      </c>
      <c r="K961" s="84">
        <f t="shared" si="106"/>
        <v>190.1025</v>
      </c>
    </row>
    <row r="962" ht="15" customHeight="1" spans="1:11">
      <c r="A962" s="57"/>
      <c r="B962" s="244" t="s">
        <v>1278</v>
      </c>
      <c r="C962" s="244" t="s">
        <v>184</v>
      </c>
      <c r="D962" s="84">
        <v>5.97</v>
      </c>
      <c r="E962" s="84">
        <v>0.39</v>
      </c>
      <c r="F962" s="84">
        <f t="shared" si="105"/>
        <v>2.3283</v>
      </c>
      <c r="G962" s="244" t="s">
        <v>1278</v>
      </c>
      <c r="H962" s="244" t="s">
        <v>184</v>
      </c>
      <c r="I962" s="84">
        <v>5.97</v>
      </c>
      <c r="J962" s="84">
        <v>0.62</v>
      </c>
      <c r="K962" s="84">
        <f t="shared" si="106"/>
        <v>3.7014</v>
      </c>
    </row>
    <row r="963" ht="15" customHeight="1" spans="1:11">
      <c r="A963" s="57"/>
      <c r="B963" s="57" t="s">
        <v>1302</v>
      </c>
      <c r="C963" s="57" t="s">
        <v>1188</v>
      </c>
      <c r="D963" s="84">
        <v>200</v>
      </c>
      <c r="E963" s="84">
        <v>103</v>
      </c>
      <c r="F963" s="84">
        <f t="shared" si="105"/>
        <v>20600</v>
      </c>
      <c r="G963" s="57" t="s">
        <v>1303</v>
      </c>
      <c r="H963" s="57" t="s">
        <v>1188</v>
      </c>
      <c r="I963" s="84">
        <v>200</v>
      </c>
      <c r="J963" s="84">
        <v>103</v>
      </c>
      <c r="K963" s="84">
        <f t="shared" si="106"/>
        <v>20600</v>
      </c>
    </row>
    <row r="964" ht="15" customHeight="1" spans="1:11">
      <c r="A964" s="57"/>
      <c r="B964" s="57" t="s">
        <v>1022</v>
      </c>
      <c r="C964" s="57" t="s">
        <v>1188</v>
      </c>
      <c r="D964" s="84">
        <f t="shared" ref="D964:D967" si="107">D918</f>
        <v>4.37</v>
      </c>
      <c r="E964" s="84">
        <v>140</v>
      </c>
      <c r="F964" s="84">
        <f t="shared" si="105"/>
        <v>611.8</v>
      </c>
      <c r="G964" s="57" t="s">
        <v>1022</v>
      </c>
      <c r="H964" s="57" t="s">
        <v>1188</v>
      </c>
      <c r="I964" s="84">
        <f t="shared" ref="I964:I972" si="108">D964</f>
        <v>4.37</v>
      </c>
      <c r="J964" s="84">
        <v>180</v>
      </c>
      <c r="K964" s="84">
        <f t="shared" si="106"/>
        <v>786.6</v>
      </c>
    </row>
    <row r="965" ht="15" customHeight="1" spans="1:11">
      <c r="A965" s="57"/>
      <c r="B965" s="57" t="s">
        <v>1163</v>
      </c>
      <c r="C965" s="59" t="s">
        <v>423</v>
      </c>
      <c r="D965" s="84">
        <f>F957+F958+F959+F960+F961+F962+F963++F964</f>
        <v>23883.22605175</v>
      </c>
      <c r="E965" s="84">
        <v>2</v>
      </c>
      <c r="F965" s="84">
        <f>D965*E965/100</f>
        <v>477.664521035</v>
      </c>
      <c r="G965" s="57" t="s">
        <v>1163</v>
      </c>
      <c r="H965" s="59" t="s">
        <v>423</v>
      </c>
      <c r="I965" s="84">
        <f>K957+K958+K959+K960+K961+K962+K963++K964</f>
        <v>22587.6523085</v>
      </c>
      <c r="J965" s="84">
        <v>2</v>
      </c>
      <c r="K965" s="84">
        <f>I965*J965/100</f>
        <v>451.75304617</v>
      </c>
    </row>
    <row r="966" ht="15" customHeight="1" spans="1:11">
      <c r="A966" s="57">
        <v>3</v>
      </c>
      <c r="B966" s="57" t="s">
        <v>1171</v>
      </c>
      <c r="C966" s="57"/>
      <c r="D966" s="84"/>
      <c r="E966" s="84"/>
      <c r="F966" s="84">
        <f>SUM(F967:F973)</f>
        <v>155.243305252293</v>
      </c>
      <c r="G966" s="57" t="s">
        <v>1171</v>
      </c>
      <c r="H966" s="57"/>
      <c r="I966" s="84"/>
      <c r="J966" s="84"/>
      <c r="K966" s="84">
        <f>SUM(K967:K973)</f>
        <v>242.423402201835</v>
      </c>
    </row>
    <row r="967" ht="15" customHeight="1" spans="1:11">
      <c r="A967" s="57"/>
      <c r="B967" s="57" t="s">
        <v>1280</v>
      </c>
      <c r="C967" s="57" t="s">
        <v>988</v>
      </c>
      <c r="D967" s="84">
        <f t="shared" si="107"/>
        <v>49.389824491424</v>
      </c>
      <c r="E967" s="84">
        <v>0.71</v>
      </c>
      <c r="F967" s="84">
        <f t="shared" ref="F967:F972" si="109">D967*E967</f>
        <v>35.066775388911</v>
      </c>
      <c r="G967" s="57" t="s">
        <v>1280</v>
      </c>
      <c r="H967" s="57" t="s">
        <v>988</v>
      </c>
      <c r="I967" s="84">
        <f t="shared" si="108"/>
        <v>49.389824491424</v>
      </c>
      <c r="J967" s="84">
        <v>0.5</v>
      </c>
      <c r="K967" s="84">
        <f t="shared" ref="K967:K972" si="110">I967*J967</f>
        <v>24.694912245712</v>
      </c>
    </row>
    <row r="968" ht="15" customHeight="1" spans="1:11">
      <c r="A968" s="57"/>
      <c r="B968" s="57"/>
      <c r="C968" s="57"/>
      <c r="D968" s="84"/>
      <c r="E968" s="204"/>
      <c r="F968" s="84"/>
      <c r="G968" s="57" t="s">
        <v>1304</v>
      </c>
      <c r="H968" s="57" t="s">
        <v>988</v>
      </c>
      <c r="I968" s="84">
        <f>台时!F84</f>
        <v>62.3342780215397</v>
      </c>
      <c r="J968" s="204">
        <v>0.96</v>
      </c>
      <c r="K968" s="84">
        <f t="shared" si="110"/>
        <v>59.8409069006781</v>
      </c>
    </row>
    <row r="969" ht="15" customHeight="1" spans="1:11">
      <c r="A969" s="57"/>
      <c r="B969" s="57" t="s">
        <v>1282</v>
      </c>
      <c r="C969" s="57" t="s">
        <v>988</v>
      </c>
      <c r="D969" s="84">
        <f>D922</f>
        <v>8.0471858795373</v>
      </c>
      <c r="E969" s="204">
        <v>0.58</v>
      </c>
      <c r="F969" s="84">
        <f t="shared" si="109"/>
        <v>4.66736781013163</v>
      </c>
      <c r="G969" s="57" t="s">
        <v>1282</v>
      </c>
      <c r="H969" s="57" t="s">
        <v>988</v>
      </c>
      <c r="I969" s="84">
        <f t="shared" si="108"/>
        <v>8.0471858795373</v>
      </c>
      <c r="J969" s="204">
        <v>1.06</v>
      </c>
      <c r="K969" s="84">
        <f t="shared" si="110"/>
        <v>8.53001703230954</v>
      </c>
    </row>
    <row r="970" ht="15" customHeight="1" spans="1:11">
      <c r="A970" s="57"/>
      <c r="B970" s="57" t="s">
        <v>1283</v>
      </c>
      <c r="C970" s="57" t="s">
        <v>988</v>
      </c>
      <c r="D970" s="84">
        <f>D923</f>
        <v>23.7459521340247</v>
      </c>
      <c r="E970" s="84"/>
      <c r="F970" s="84">
        <f t="shared" si="109"/>
        <v>0</v>
      </c>
      <c r="G970" s="57" t="s">
        <v>1283</v>
      </c>
      <c r="H970" s="57" t="s">
        <v>988</v>
      </c>
      <c r="I970" s="84">
        <f t="shared" si="108"/>
        <v>23.7459521340247</v>
      </c>
      <c r="J970" s="84"/>
      <c r="K970" s="84">
        <f t="shared" si="110"/>
        <v>0</v>
      </c>
    </row>
    <row r="971" ht="15" customHeight="1" spans="1:11">
      <c r="A971" s="57"/>
      <c r="B971" s="57" t="s">
        <v>1297</v>
      </c>
      <c r="C971" s="57" t="s">
        <v>988</v>
      </c>
      <c r="D971" s="84">
        <f>D924</f>
        <v>2.37852772237734</v>
      </c>
      <c r="E971" s="84">
        <v>40.05</v>
      </c>
      <c r="F971" s="84">
        <f t="shared" si="109"/>
        <v>95.2600352812125</v>
      </c>
      <c r="G971" s="57" t="s">
        <v>1297</v>
      </c>
      <c r="H971" s="57" t="s">
        <v>988</v>
      </c>
      <c r="I971" s="84">
        <f t="shared" si="108"/>
        <v>2.37852772237734</v>
      </c>
      <c r="J971" s="84">
        <v>49.5</v>
      </c>
      <c r="K971" s="84">
        <f t="shared" si="110"/>
        <v>117.737122257678</v>
      </c>
    </row>
    <row r="972" ht="15" customHeight="1" spans="1:11">
      <c r="A972" s="57"/>
      <c r="B972" s="57" t="s">
        <v>1190</v>
      </c>
      <c r="C972" s="57" t="s">
        <v>988</v>
      </c>
      <c r="D972" s="84">
        <f>D925</f>
        <v>0.813242919824491</v>
      </c>
      <c r="E972" s="84"/>
      <c r="F972" s="84">
        <f t="shared" si="109"/>
        <v>0</v>
      </c>
      <c r="G972" s="57" t="s">
        <v>1190</v>
      </c>
      <c r="H972" s="57" t="s">
        <v>988</v>
      </c>
      <c r="I972" s="84">
        <f t="shared" si="108"/>
        <v>0.813242919824491</v>
      </c>
      <c r="J972" s="84"/>
      <c r="K972" s="84">
        <f t="shared" si="110"/>
        <v>0</v>
      </c>
    </row>
    <row r="973" ht="15" customHeight="1" spans="1:11">
      <c r="A973" s="57"/>
      <c r="B973" s="57" t="s">
        <v>1223</v>
      </c>
      <c r="C973" s="59" t="s">
        <v>423</v>
      </c>
      <c r="D973" s="84">
        <f>SUM(F967:F972)</f>
        <v>134.994178480255</v>
      </c>
      <c r="E973" s="196">
        <v>15</v>
      </c>
      <c r="F973" s="84">
        <f>D973*E973/100</f>
        <v>20.2491267720383</v>
      </c>
      <c r="G973" s="57" t="s">
        <v>1223</v>
      </c>
      <c r="H973" s="59" t="s">
        <v>423</v>
      </c>
      <c r="I973" s="84">
        <f>SUM(K967:K972)</f>
        <v>210.802958436378</v>
      </c>
      <c r="J973" s="196">
        <v>15</v>
      </c>
      <c r="K973" s="84">
        <f>I973*J973/100</f>
        <v>31.6204437654567</v>
      </c>
    </row>
    <row r="974" ht="15" customHeight="1" spans="1:11">
      <c r="A974" s="55">
        <v>4</v>
      </c>
      <c r="B974" s="55" t="s">
        <v>1285</v>
      </c>
      <c r="C974" s="253"/>
      <c r="D974" s="254"/>
      <c r="E974" s="254"/>
      <c r="F974" s="254">
        <f>SUM(F975:F976)</f>
        <v>0</v>
      </c>
      <c r="G974" s="55" t="s">
        <v>1285</v>
      </c>
      <c r="H974" s="253"/>
      <c r="I974" s="254"/>
      <c r="J974" s="254"/>
      <c r="K974" s="254">
        <f>SUM(K975:K976)</f>
        <v>0</v>
      </c>
    </row>
    <row r="975" ht="15" customHeight="1" spans="1:11">
      <c r="A975" s="57"/>
      <c r="B975" s="245" t="s">
        <v>1286</v>
      </c>
      <c r="C975" s="245" t="s">
        <v>1188</v>
      </c>
      <c r="D975" s="246">
        <f>$F$2253/100</f>
        <v>5.03319379720782</v>
      </c>
      <c r="E975" s="246"/>
      <c r="F975" s="84">
        <f>D975*E975</f>
        <v>0</v>
      </c>
      <c r="G975" s="245" t="s">
        <v>1286</v>
      </c>
      <c r="H975" s="245" t="s">
        <v>1188</v>
      </c>
      <c r="I975" s="246">
        <f>$F$2253/100</f>
        <v>5.03319379720782</v>
      </c>
      <c r="J975" s="246"/>
      <c r="K975" s="84">
        <f>I975*J975</f>
        <v>0</v>
      </c>
    </row>
    <row r="976" ht="15" customHeight="1" spans="1:11">
      <c r="A976" s="57"/>
      <c r="B976" s="245" t="s">
        <v>1287</v>
      </c>
      <c r="C976" s="245" t="s">
        <v>1188</v>
      </c>
      <c r="D976" s="246">
        <f>$F$2271/100</f>
        <v>14.2523539763136</v>
      </c>
      <c r="E976" s="246"/>
      <c r="F976" s="84">
        <f>D976*E976</f>
        <v>0</v>
      </c>
      <c r="G976" s="245" t="s">
        <v>1287</v>
      </c>
      <c r="H976" s="245" t="s">
        <v>1188</v>
      </c>
      <c r="I976" s="246">
        <f>$F$2271/100</f>
        <v>14.2523539763136</v>
      </c>
      <c r="J976" s="246"/>
      <c r="K976" s="84">
        <f>I976*J976</f>
        <v>0</v>
      </c>
    </row>
    <row r="977" ht="15" customHeight="1" spans="1:11">
      <c r="A977" s="57" t="s">
        <v>70</v>
      </c>
      <c r="B977" s="57" t="s">
        <v>977</v>
      </c>
      <c r="C977" s="194">
        <f>取费表!$C$7</f>
        <v>0.048</v>
      </c>
      <c r="D977" s="246"/>
      <c r="E977" s="246">
        <f>F952</f>
        <v>35857.1938780373</v>
      </c>
      <c r="F977" s="84">
        <f t="shared" ref="F977:F980" si="111">E977*C977</f>
        <v>1721.14530614579</v>
      </c>
      <c r="G977" s="57" t="s">
        <v>977</v>
      </c>
      <c r="H977" s="194">
        <f>取费表!$C$7</f>
        <v>0.048</v>
      </c>
      <c r="I977" s="246"/>
      <c r="J977" s="246">
        <f>K952</f>
        <v>32131.9047568718</v>
      </c>
      <c r="K977" s="84">
        <f t="shared" ref="K977:K980" si="112">J977*H977</f>
        <v>1542.33142832985</v>
      </c>
    </row>
    <row r="978" ht="15" customHeight="1" spans="1:11">
      <c r="A978" s="57"/>
      <c r="B978" s="57"/>
      <c r="C978" s="194"/>
      <c r="D978" s="246"/>
      <c r="E978" s="246"/>
      <c r="F978" s="84"/>
      <c r="G978" s="57"/>
      <c r="H978" s="194"/>
      <c r="I978" s="246"/>
      <c r="J978" s="246"/>
      <c r="K978" s="84"/>
    </row>
    <row r="979" ht="15" customHeight="1" spans="1:11">
      <c r="A979" s="57" t="s">
        <v>979</v>
      </c>
      <c r="B979" s="57" t="s">
        <v>973</v>
      </c>
      <c r="C979" s="194">
        <f>取费表!$E$7</f>
        <v>0.07</v>
      </c>
      <c r="D979" s="246"/>
      <c r="E979" s="246">
        <f>F951</f>
        <v>37578.3391841831</v>
      </c>
      <c r="F979" s="84">
        <f t="shared" si="111"/>
        <v>2630.48374289282</v>
      </c>
      <c r="G979" s="57" t="s">
        <v>973</v>
      </c>
      <c r="H979" s="194">
        <f>取费表!$E$7</f>
        <v>0.07</v>
      </c>
      <c r="I979" s="246"/>
      <c r="J979" s="246">
        <f>K951</f>
        <v>33674.2361852017</v>
      </c>
      <c r="K979" s="84">
        <f t="shared" si="112"/>
        <v>2357.19653296412</v>
      </c>
    </row>
    <row r="980" ht="15" customHeight="1" spans="1:11">
      <c r="A980" s="57" t="s">
        <v>162</v>
      </c>
      <c r="B980" s="57" t="s">
        <v>980</v>
      </c>
      <c r="C980" s="194">
        <f>取费表!$F$7</f>
        <v>0.07</v>
      </c>
      <c r="D980" s="246"/>
      <c r="E980" s="246">
        <f>F979+F951</f>
        <v>40208.8229270759</v>
      </c>
      <c r="F980" s="84">
        <f t="shared" si="111"/>
        <v>2814.61760489531</v>
      </c>
      <c r="G980" s="57" t="s">
        <v>980</v>
      </c>
      <c r="H980" s="194">
        <f>取费表!$F$7</f>
        <v>0.07</v>
      </c>
      <c r="I980" s="246"/>
      <c r="J980" s="246">
        <f>K979+K951</f>
        <v>36031.4327181658</v>
      </c>
      <c r="K980" s="84">
        <f t="shared" si="112"/>
        <v>2522.20029027161</v>
      </c>
    </row>
    <row r="981" ht="15" customHeight="1" spans="1:11">
      <c r="A981" s="55" t="s">
        <v>214</v>
      </c>
      <c r="B981" s="55" t="s">
        <v>1173</v>
      </c>
      <c r="C981" s="253"/>
      <c r="D981" s="254"/>
      <c r="E981" s="55"/>
      <c r="F981" s="255" t="e">
        <f>F982+F987</f>
        <v>#REF!</v>
      </c>
      <c r="G981" s="55" t="s">
        <v>1173</v>
      </c>
      <c r="H981" s="253"/>
      <c r="I981" s="254"/>
      <c r="J981" s="55"/>
      <c r="K981" s="255" t="e">
        <f>K982+K987</f>
        <v>#REF!</v>
      </c>
    </row>
    <row r="982" ht="15" customHeight="1" spans="1:11">
      <c r="A982" s="57">
        <v>1</v>
      </c>
      <c r="B982" s="57" t="s">
        <v>1288</v>
      </c>
      <c r="C982" s="59"/>
      <c r="D982" s="84"/>
      <c r="E982" s="57"/>
      <c r="F982" s="113" t="e">
        <f>SUM(F983:F987)</f>
        <v>#REF!</v>
      </c>
      <c r="G982" s="57" t="s">
        <v>1288</v>
      </c>
      <c r="H982" s="59"/>
      <c r="I982" s="84"/>
      <c r="J982" s="57"/>
      <c r="K982" s="113" t="e">
        <f>SUM(K983:K987)</f>
        <v>#REF!</v>
      </c>
    </row>
    <row r="983" ht="15" customHeight="1" spans="1:11">
      <c r="A983" s="57"/>
      <c r="B983" s="57" t="str">
        <f>B963</f>
        <v>混凝土C25（商砼）</v>
      </c>
      <c r="C983" s="57" t="s">
        <v>1188</v>
      </c>
      <c r="D983" s="84" t="e">
        <f>材料预算价!#REF!-200</f>
        <v>#REF!</v>
      </c>
      <c r="E983" s="84">
        <f>E963</f>
        <v>103</v>
      </c>
      <c r="F983" s="113" t="e">
        <f t="shared" ref="F983:F986" si="113">D983*E983</f>
        <v>#REF!</v>
      </c>
      <c r="G983" s="57" t="str">
        <f>G963</f>
        <v>混凝土C35（商砼）</v>
      </c>
      <c r="H983" s="57" t="s">
        <v>1188</v>
      </c>
      <c r="I983" s="84" t="e">
        <f>材料预算价!#REF!-200</f>
        <v>#REF!</v>
      </c>
      <c r="J983" s="84">
        <f>J963</f>
        <v>103</v>
      </c>
      <c r="K983" s="113" t="e">
        <f>I983*J983</f>
        <v>#REF!</v>
      </c>
    </row>
    <row r="984" ht="15" customHeight="1" spans="1:11">
      <c r="A984" s="57"/>
      <c r="B984" s="57" t="s">
        <v>1305</v>
      </c>
      <c r="C984" s="57" t="s">
        <v>1188</v>
      </c>
      <c r="D984" s="84"/>
      <c r="E984" s="84"/>
      <c r="F984" s="113">
        <f t="shared" si="113"/>
        <v>0</v>
      </c>
      <c r="G984" s="57" t="s">
        <v>1305</v>
      </c>
      <c r="H984" s="57" t="s">
        <v>1188</v>
      </c>
      <c r="I984" s="84"/>
      <c r="J984" s="84"/>
      <c r="K984" s="113">
        <f t="shared" ref="K984:K986" si="114">I984*J984</f>
        <v>0</v>
      </c>
    </row>
    <row r="985" ht="15" customHeight="1" spans="1:11">
      <c r="A985" s="57"/>
      <c r="B985" s="57" t="s">
        <v>1306</v>
      </c>
      <c r="C985" s="57" t="s">
        <v>1188</v>
      </c>
      <c r="D985" s="84"/>
      <c r="E985" s="84"/>
      <c r="F985" s="113">
        <f t="shared" si="113"/>
        <v>0</v>
      </c>
      <c r="G985" s="57" t="s">
        <v>1306</v>
      </c>
      <c r="H985" s="57" t="s">
        <v>1188</v>
      </c>
      <c r="I985" s="84"/>
      <c r="J985" s="84"/>
      <c r="K985" s="113">
        <f t="shared" si="114"/>
        <v>0</v>
      </c>
    </row>
    <row r="986" ht="15" customHeight="1" spans="1:11">
      <c r="A986" s="57"/>
      <c r="B986" s="57" t="s">
        <v>1307</v>
      </c>
      <c r="C986" s="57" t="s">
        <v>1188</v>
      </c>
      <c r="D986" s="84"/>
      <c r="E986" s="84"/>
      <c r="F986" s="113">
        <f t="shared" si="113"/>
        <v>0</v>
      </c>
      <c r="G986" s="57" t="s">
        <v>1307</v>
      </c>
      <c r="H986" s="57" t="s">
        <v>1188</v>
      </c>
      <c r="I986" s="84"/>
      <c r="J986" s="84"/>
      <c r="K986" s="113">
        <f t="shared" si="114"/>
        <v>0</v>
      </c>
    </row>
    <row r="987" ht="15" customHeight="1" spans="1:11">
      <c r="A987" s="57">
        <v>2</v>
      </c>
      <c r="B987" s="57" t="s">
        <v>1289</v>
      </c>
      <c r="C987" s="57"/>
      <c r="D987" s="84"/>
      <c r="E987" s="88"/>
      <c r="F987" s="113">
        <f>SUM(F988:F989)</f>
        <v>52.4394</v>
      </c>
      <c r="G987" s="57" t="s">
        <v>1289</v>
      </c>
      <c r="H987" s="57"/>
      <c r="I987" s="84"/>
      <c r="J987" s="84"/>
      <c r="K987" s="113">
        <f>SUM(K988:K989)</f>
        <v>57.0708</v>
      </c>
    </row>
    <row r="988" ht="15" customHeight="1" spans="1:11">
      <c r="A988" s="57"/>
      <c r="B988" s="57" t="s">
        <v>1290</v>
      </c>
      <c r="C988" s="57" t="s">
        <v>184</v>
      </c>
      <c r="D988" s="84">
        <f>D941</f>
        <v>6.225</v>
      </c>
      <c r="E988" s="88">
        <f>E941</f>
        <v>8.424</v>
      </c>
      <c r="F988" s="113">
        <f>D988*E988</f>
        <v>52.4394</v>
      </c>
      <c r="G988" s="57" t="s">
        <v>1290</v>
      </c>
      <c r="H988" s="57" t="s">
        <v>184</v>
      </c>
      <c r="I988" s="84">
        <f>材料预算价!K13-材料预算价!L13</f>
        <v>6.225</v>
      </c>
      <c r="J988" s="84">
        <f>J967*7.2+J968*5.8</f>
        <v>9.168</v>
      </c>
      <c r="K988" s="113">
        <f>I988*J988</f>
        <v>57.0708</v>
      </c>
    </row>
    <row r="989" ht="15" customHeight="1" spans="1:11">
      <c r="A989" s="57"/>
      <c r="B989" s="57" t="s">
        <v>1174</v>
      </c>
      <c r="C989" s="57" t="s">
        <v>184</v>
      </c>
      <c r="D989" s="84">
        <f>D942</f>
        <v>4.86</v>
      </c>
      <c r="E989" s="88"/>
      <c r="F989" s="113">
        <f>D989*E989</f>
        <v>0</v>
      </c>
      <c r="G989" s="57" t="s">
        <v>1174</v>
      </c>
      <c r="H989" s="57" t="s">
        <v>184</v>
      </c>
      <c r="I989" s="84">
        <f t="shared" ref="I989:J989" si="115">D989</f>
        <v>4.86</v>
      </c>
      <c r="J989" s="84">
        <f t="shared" si="115"/>
        <v>0</v>
      </c>
      <c r="K989" s="113">
        <f>I989*J989</f>
        <v>0</v>
      </c>
    </row>
    <row r="990" ht="15" customHeight="1" spans="1:11">
      <c r="A990" s="57" t="s">
        <v>327</v>
      </c>
      <c r="B990" s="57" t="s">
        <v>976</v>
      </c>
      <c r="C990" s="195">
        <f>C943</f>
        <v>0.09</v>
      </c>
      <c r="D990" s="84"/>
      <c r="E990" s="84" t="e">
        <f>F981+F980+F979+F951</f>
        <v>#REF!</v>
      </c>
      <c r="F990" s="84" t="e">
        <f>E990*C990</f>
        <v>#REF!</v>
      </c>
      <c r="G990" s="57" t="s">
        <v>976</v>
      </c>
      <c r="H990" s="195">
        <f>C990</f>
        <v>0.09</v>
      </c>
      <c r="I990" s="84"/>
      <c r="J990" s="84" t="e">
        <f>K981+K980+K979+K951</f>
        <v>#REF!</v>
      </c>
      <c r="K990" s="84" t="e">
        <f>J990*H990</f>
        <v>#REF!</v>
      </c>
    </row>
    <row r="991" ht="15" customHeight="1" spans="1:11">
      <c r="A991" s="57"/>
      <c r="B991" s="57" t="s">
        <v>984</v>
      </c>
      <c r="C991" s="195"/>
      <c r="D991" s="84"/>
      <c r="E991" s="84"/>
      <c r="F991" s="84" t="e">
        <f>(F951+F979+F980+F981+F990)*取费表!H7</f>
        <v>#REF!</v>
      </c>
      <c r="G991" s="57" t="s">
        <v>984</v>
      </c>
      <c r="H991" s="195"/>
      <c r="I991" s="84"/>
      <c r="J991" s="84"/>
      <c r="K991" s="84" t="e">
        <f>(K951+K979+K980+K981+K990)*取费表!H7</f>
        <v>#REF!</v>
      </c>
    </row>
    <row r="992" ht="15" customHeight="1" spans="1:11">
      <c r="A992" s="57"/>
      <c r="B992" s="57" t="s">
        <v>278</v>
      </c>
      <c r="C992" s="57"/>
      <c r="D992" s="84"/>
      <c r="E992" s="84"/>
      <c r="F992" s="84" t="e">
        <f>F990+E990+F991</f>
        <v>#REF!</v>
      </c>
      <c r="G992" s="57" t="s">
        <v>278</v>
      </c>
      <c r="H992" s="57"/>
      <c r="I992" s="84"/>
      <c r="J992" s="84"/>
      <c r="K992" s="84" t="e">
        <f>K990+J990+K991</f>
        <v>#REF!</v>
      </c>
    </row>
    <row r="993" ht="18.75" customHeight="1" spans="1:19">
      <c r="A993" s="312" t="s">
        <v>1155</v>
      </c>
      <c r="B993" s="312"/>
      <c r="C993" s="312"/>
      <c r="D993" s="312"/>
      <c r="E993" s="312"/>
      <c r="F993" s="312"/>
      <c r="G993" s="312" t="s">
        <v>1155</v>
      </c>
      <c r="H993" s="312"/>
      <c r="I993" s="312"/>
      <c r="J993" s="312"/>
      <c r="K993" s="312"/>
      <c r="L993" s="312"/>
      <c r="N993"/>
      <c r="O993"/>
      <c r="P993"/>
      <c r="Q993"/>
      <c r="R993"/>
      <c r="S993"/>
    </row>
    <row r="994" ht="14.45" customHeight="1" spans="1:19">
      <c r="A994" s="242" t="s">
        <v>1308</v>
      </c>
      <c r="C994" s="243"/>
      <c r="D994" s="243"/>
      <c r="E994" s="243"/>
      <c r="F994" s="243"/>
      <c r="G994" s="242" t="s">
        <v>1309</v>
      </c>
      <c r="H994" s="243"/>
      <c r="I994" s="243"/>
      <c r="J994" s="243"/>
      <c r="K994" s="243"/>
      <c r="L994" s="243"/>
      <c r="N994"/>
      <c r="O994"/>
      <c r="P994"/>
      <c r="Q994"/>
      <c r="R994"/>
      <c r="S994"/>
    </row>
    <row r="995" ht="14.45" customHeight="1" spans="1:19">
      <c r="A995" s="191" t="s">
        <v>1310</v>
      </c>
      <c r="B995" s="191"/>
      <c r="C995" s="168"/>
      <c r="D995" s="168"/>
      <c r="E995" s="191" t="s">
        <v>1159</v>
      </c>
      <c r="F995" s="191"/>
      <c r="G995" s="191" t="s">
        <v>1310</v>
      </c>
      <c r="H995" s="191"/>
      <c r="I995" s="168"/>
      <c r="J995" s="168"/>
      <c r="K995" s="191" t="s">
        <v>1159</v>
      </c>
      <c r="L995" s="191"/>
      <c r="N995"/>
      <c r="O995"/>
      <c r="P995"/>
      <c r="Q995"/>
      <c r="R995"/>
      <c r="S995"/>
    </row>
    <row r="996" ht="14.45" customHeight="1" spans="1:19">
      <c r="A996" s="117" t="s">
        <v>1218</v>
      </c>
      <c r="B996" s="192"/>
      <c r="C996" s="192"/>
      <c r="D996" s="192"/>
      <c r="E996" s="192"/>
      <c r="F996" s="118"/>
      <c r="G996" s="117" t="s">
        <v>1218</v>
      </c>
      <c r="H996" s="192"/>
      <c r="I996" s="192"/>
      <c r="J996" s="192"/>
      <c r="K996" s="192"/>
      <c r="L996" s="118"/>
      <c r="N996"/>
      <c r="O996"/>
      <c r="P996"/>
      <c r="Q996"/>
      <c r="R996"/>
      <c r="S996"/>
    </row>
    <row r="997" ht="14.45" customHeight="1" spans="1:19">
      <c r="A997" s="57" t="s">
        <v>354</v>
      </c>
      <c r="B997" s="57" t="s">
        <v>956</v>
      </c>
      <c r="C997" s="57" t="s">
        <v>52</v>
      </c>
      <c r="D997" s="57" t="s">
        <v>855</v>
      </c>
      <c r="E997" s="57" t="s">
        <v>53</v>
      </c>
      <c r="F997" s="57" t="s">
        <v>306</v>
      </c>
      <c r="G997" s="57" t="s">
        <v>354</v>
      </c>
      <c r="H997" s="57" t="s">
        <v>956</v>
      </c>
      <c r="I997" s="57" t="s">
        <v>52</v>
      </c>
      <c r="J997" s="57" t="s">
        <v>855</v>
      </c>
      <c r="K997" s="57" t="s">
        <v>53</v>
      </c>
      <c r="L997" s="57" t="s">
        <v>306</v>
      </c>
      <c r="N997"/>
      <c r="O997"/>
      <c r="P997"/>
      <c r="Q997"/>
      <c r="R997"/>
      <c r="S997"/>
    </row>
    <row r="998" ht="14.45" customHeight="1" spans="1:19">
      <c r="A998" s="57" t="s">
        <v>959</v>
      </c>
      <c r="B998" s="57" t="s">
        <v>960</v>
      </c>
      <c r="C998" s="57"/>
      <c r="D998" s="57"/>
      <c r="E998" s="57"/>
      <c r="F998" s="84">
        <f>F999+F1024+F1025</f>
        <v>39801.756239713</v>
      </c>
      <c r="G998" s="57" t="s">
        <v>959</v>
      </c>
      <c r="H998" s="57" t="s">
        <v>960</v>
      </c>
      <c r="I998" s="57"/>
      <c r="J998" s="57"/>
      <c r="K998" s="57"/>
      <c r="L998" s="84">
        <f>L999+L1024+L1025</f>
        <v>42225.2438116151</v>
      </c>
      <c r="N998"/>
      <c r="O998"/>
      <c r="P998"/>
      <c r="Q998"/>
      <c r="R998"/>
      <c r="S998"/>
    </row>
    <row r="999" ht="14.45" customHeight="1" spans="1:19">
      <c r="A999" s="57" t="s">
        <v>59</v>
      </c>
      <c r="B999" s="57" t="s">
        <v>957</v>
      </c>
      <c r="C999" s="57"/>
      <c r="D999" s="57"/>
      <c r="E999" s="57"/>
      <c r="F999" s="84">
        <f>F1000+F1003+F1013+F1021</f>
        <v>37978.7750378941</v>
      </c>
      <c r="G999" s="57" t="s">
        <v>59</v>
      </c>
      <c r="H999" s="57" t="s">
        <v>957</v>
      </c>
      <c r="I999" s="57"/>
      <c r="J999" s="57"/>
      <c r="K999" s="57"/>
      <c r="L999" s="84">
        <f>L1000+L1003+L1013+L1021</f>
        <v>40291.2631790221</v>
      </c>
      <c r="N999"/>
      <c r="O999"/>
      <c r="P999"/>
      <c r="Q999"/>
      <c r="R999"/>
      <c r="S999"/>
    </row>
    <row r="1000" ht="14.45" customHeight="1" spans="1:19">
      <c r="A1000" s="57">
        <v>1</v>
      </c>
      <c r="B1000" s="57" t="s">
        <v>964</v>
      </c>
      <c r="C1000" s="57" t="s">
        <v>965</v>
      </c>
      <c r="D1000" s="84"/>
      <c r="E1000" s="92">
        <f>SUM(E1001:E1002)</f>
        <v>1750</v>
      </c>
      <c r="F1000" s="113">
        <f>SUM(F1001:F1002)</f>
        <v>13059.396</v>
      </c>
      <c r="G1000" s="57">
        <v>1</v>
      </c>
      <c r="H1000" s="57" t="s">
        <v>964</v>
      </c>
      <c r="I1000" s="57" t="s">
        <v>965</v>
      </c>
      <c r="J1000" s="84"/>
      <c r="K1000" s="92">
        <f>SUM(K1001:K1002)</f>
        <v>1750</v>
      </c>
      <c r="L1000" s="113">
        <f>SUM(L1001:L1002)</f>
        <v>13059.396</v>
      </c>
      <c r="N1000"/>
      <c r="O1000"/>
      <c r="P1000"/>
      <c r="Q1000"/>
      <c r="R1000"/>
      <c r="S1000"/>
    </row>
    <row r="1001" ht="14.45" customHeight="1" spans="1:19">
      <c r="A1001" s="57"/>
      <c r="B1001" s="57" t="s">
        <v>966</v>
      </c>
      <c r="C1001" s="57" t="s">
        <v>965</v>
      </c>
      <c r="D1001" s="113">
        <f>D908</f>
        <v>8.1</v>
      </c>
      <c r="E1001" s="335">
        <f>1271.2</f>
        <v>1271.2</v>
      </c>
      <c r="F1001" s="113">
        <f>D1001*E1001</f>
        <v>10296.72</v>
      </c>
      <c r="G1001" s="57"/>
      <c r="H1001" s="57" t="s">
        <v>966</v>
      </c>
      <c r="I1001" s="57" t="s">
        <v>965</v>
      </c>
      <c r="J1001" s="113">
        <f t="shared" ref="J1001:J1009" si="116">D1001</f>
        <v>8.1</v>
      </c>
      <c r="K1001" s="92">
        <f>1271.2</f>
        <v>1271.2</v>
      </c>
      <c r="L1001" s="113">
        <f t="shared" ref="L1001:L1011" si="117">J1001*K1001</f>
        <v>10296.72</v>
      </c>
      <c r="N1001"/>
      <c r="O1001"/>
      <c r="P1001"/>
      <c r="Q1001"/>
      <c r="R1001"/>
      <c r="S1001"/>
    </row>
    <row r="1002" ht="14.45" customHeight="1" spans="1:19">
      <c r="A1002" s="57"/>
      <c r="B1002" s="57" t="s">
        <v>968</v>
      </c>
      <c r="C1002" s="57" t="s">
        <v>965</v>
      </c>
      <c r="D1002" s="113">
        <f>D909</f>
        <v>5.77</v>
      </c>
      <c r="E1002" s="335">
        <f>478.8</f>
        <v>478.8</v>
      </c>
      <c r="F1002" s="113">
        <f>D1002*E1002</f>
        <v>2762.676</v>
      </c>
      <c r="G1002" s="57"/>
      <c r="H1002" s="57" t="s">
        <v>968</v>
      </c>
      <c r="I1002" s="57" t="s">
        <v>965</v>
      </c>
      <c r="J1002" s="113">
        <f t="shared" si="116"/>
        <v>5.77</v>
      </c>
      <c r="K1002" s="92">
        <f>478.8</f>
        <v>478.8</v>
      </c>
      <c r="L1002" s="113">
        <f t="shared" si="117"/>
        <v>2762.676</v>
      </c>
      <c r="N1002"/>
      <c r="O1002"/>
      <c r="P1002"/>
      <c r="Q1002"/>
      <c r="R1002"/>
      <c r="S1002"/>
    </row>
    <row r="1003" ht="14.45" customHeight="1" spans="1:19">
      <c r="A1003" s="57">
        <v>2</v>
      </c>
      <c r="B1003" s="57" t="s">
        <v>1219</v>
      </c>
      <c r="C1003" s="57"/>
      <c r="D1003" s="84"/>
      <c r="E1003" s="84"/>
      <c r="F1003" s="84">
        <f>SUM(F1004:F1012)</f>
        <v>22111.122148272</v>
      </c>
      <c r="G1003" s="57">
        <v>2</v>
      </c>
      <c r="H1003" s="57" t="s">
        <v>1219</v>
      </c>
      <c r="I1003" s="57"/>
      <c r="J1003" s="84"/>
      <c r="K1003" s="84"/>
      <c r="L1003" s="84">
        <f>SUM(L1004:L1012)</f>
        <v>24423.6102894</v>
      </c>
      <c r="N1003"/>
      <c r="O1003"/>
      <c r="P1003"/>
      <c r="Q1003"/>
      <c r="R1003"/>
      <c r="S1003"/>
    </row>
    <row r="1004" ht="14.45" customHeight="1" spans="1:19">
      <c r="A1004" s="57"/>
      <c r="B1004" s="244" t="s">
        <v>1272</v>
      </c>
      <c r="C1004" s="244" t="s">
        <v>1188</v>
      </c>
      <c r="D1004" s="84">
        <f>D957</f>
        <v>2232.665025</v>
      </c>
      <c r="E1004" s="84">
        <v>0.98</v>
      </c>
      <c r="F1004" s="84">
        <f t="shared" ref="F1004:F1011" si="118">D1004*E1004</f>
        <v>2188.0117245</v>
      </c>
      <c r="G1004" s="57"/>
      <c r="H1004" s="244" t="s">
        <v>1272</v>
      </c>
      <c r="I1004" s="244" t="s">
        <v>1188</v>
      </c>
      <c r="J1004" s="84">
        <f t="shared" si="116"/>
        <v>2232.665025</v>
      </c>
      <c r="K1004" s="84">
        <v>0.98</v>
      </c>
      <c r="L1004" s="84">
        <f t="shared" si="117"/>
        <v>2188.0117245</v>
      </c>
      <c r="N1004"/>
      <c r="O1004"/>
      <c r="P1004"/>
      <c r="Q1004"/>
      <c r="R1004"/>
      <c r="S1004"/>
    </row>
    <row r="1005" ht="14.45" customHeight="1" spans="1:19">
      <c r="A1005" s="57"/>
      <c r="B1005" s="244" t="s">
        <v>1273</v>
      </c>
      <c r="C1005" s="244" t="s">
        <v>184</v>
      </c>
      <c r="D1005" s="84">
        <v>4.44</v>
      </c>
      <c r="E1005" s="84">
        <v>103.85</v>
      </c>
      <c r="F1005" s="84">
        <f t="shared" si="118"/>
        <v>461.094</v>
      </c>
      <c r="G1005" s="57"/>
      <c r="H1005" s="244" t="s">
        <v>1273</v>
      </c>
      <c r="I1005" s="244" t="s">
        <v>184</v>
      </c>
      <c r="J1005" s="84">
        <f t="shared" si="116"/>
        <v>4.44</v>
      </c>
      <c r="K1005" s="84">
        <v>103.85</v>
      </c>
      <c r="L1005" s="84">
        <f t="shared" si="117"/>
        <v>461.094</v>
      </c>
      <c r="N1005"/>
      <c r="O1005"/>
      <c r="P1005"/>
      <c r="Q1005"/>
      <c r="R1005"/>
      <c r="S1005"/>
    </row>
    <row r="1006" ht="14.45" customHeight="1" spans="1:19">
      <c r="A1006" s="57"/>
      <c r="B1006" s="244" t="s">
        <v>1274</v>
      </c>
      <c r="C1006" s="244" t="s">
        <v>184</v>
      </c>
      <c r="D1006" s="84">
        <v>4.5</v>
      </c>
      <c r="E1006" s="84">
        <v>73.88</v>
      </c>
      <c r="F1006" s="84">
        <f t="shared" si="118"/>
        <v>332.46</v>
      </c>
      <c r="G1006" s="57"/>
      <c r="H1006" s="244" t="s">
        <v>1274</v>
      </c>
      <c r="I1006" s="244" t="s">
        <v>184</v>
      </c>
      <c r="J1006" s="84">
        <f t="shared" si="116"/>
        <v>4.5</v>
      </c>
      <c r="K1006" s="84">
        <v>73.88</v>
      </c>
      <c r="L1006" s="84">
        <f t="shared" si="117"/>
        <v>332.46</v>
      </c>
      <c r="N1006"/>
      <c r="O1006"/>
      <c r="P1006"/>
      <c r="Q1006"/>
      <c r="R1006"/>
      <c r="S1006"/>
    </row>
    <row r="1007" ht="14.45" customHeight="1" spans="1:19">
      <c r="A1007" s="57"/>
      <c r="B1007" s="244" t="s">
        <v>1275</v>
      </c>
      <c r="C1007" s="244" t="s">
        <v>184</v>
      </c>
      <c r="D1007" s="84">
        <v>5.15</v>
      </c>
      <c r="E1007" s="84">
        <v>48</v>
      </c>
      <c r="F1007" s="84">
        <f t="shared" si="118"/>
        <v>247.2</v>
      </c>
      <c r="G1007" s="57"/>
      <c r="H1007" s="244" t="s">
        <v>1275</v>
      </c>
      <c r="I1007" s="244" t="s">
        <v>184</v>
      </c>
      <c r="J1007" s="84">
        <f t="shared" si="116"/>
        <v>5.15</v>
      </c>
      <c r="K1007" s="84">
        <v>48</v>
      </c>
      <c r="L1007" s="84">
        <f t="shared" si="117"/>
        <v>247.2</v>
      </c>
      <c r="N1007"/>
      <c r="O1007"/>
      <c r="P1007"/>
      <c r="Q1007"/>
      <c r="R1007"/>
      <c r="S1007"/>
    </row>
    <row r="1008" ht="14.45" customHeight="1" spans="1:19">
      <c r="A1008" s="57"/>
      <c r="B1008" s="244" t="s">
        <v>1276</v>
      </c>
      <c r="C1008" s="244" t="s">
        <v>184</v>
      </c>
      <c r="D1008" s="84">
        <v>4.5</v>
      </c>
      <c r="E1008" s="84">
        <v>328.9</v>
      </c>
      <c r="F1008" s="84">
        <f t="shared" si="118"/>
        <v>1480.05</v>
      </c>
      <c r="G1008" s="57"/>
      <c r="H1008" s="244" t="s">
        <v>1276</v>
      </c>
      <c r="I1008" s="244" t="s">
        <v>184</v>
      </c>
      <c r="J1008" s="84">
        <f t="shared" si="116"/>
        <v>4.5</v>
      </c>
      <c r="K1008" s="84">
        <v>328.9</v>
      </c>
      <c r="L1008" s="84">
        <f t="shared" si="117"/>
        <v>1480.05</v>
      </c>
      <c r="N1008"/>
      <c r="O1008"/>
      <c r="P1008"/>
      <c r="Q1008"/>
      <c r="R1008"/>
      <c r="S1008"/>
    </row>
    <row r="1009" ht="14.45" customHeight="1" spans="1:19">
      <c r="A1009" s="57"/>
      <c r="B1009" s="244" t="s">
        <v>1278</v>
      </c>
      <c r="C1009" s="244" t="s">
        <v>184</v>
      </c>
      <c r="D1009" s="84">
        <v>5.97</v>
      </c>
      <c r="E1009" s="84">
        <v>6.91</v>
      </c>
      <c r="F1009" s="84">
        <f t="shared" si="118"/>
        <v>41.2527</v>
      </c>
      <c r="G1009" s="57"/>
      <c r="H1009" s="244" t="s">
        <v>1278</v>
      </c>
      <c r="I1009" s="244" t="s">
        <v>184</v>
      </c>
      <c r="J1009" s="84">
        <f t="shared" si="116"/>
        <v>5.97</v>
      </c>
      <c r="K1009" s="84">
        <v>6.91</v>
      </c>
      <c r="L1009" s="84">
        <f t="shared" si="117"/>
        <v>41.2527</v>
      </c>
      <c r="N1009"/>
      <c r="O1009"/>
      <c r="P1009"/>
      <c r="Q1009"/>
      <c r="R1009"/>
      <c r="S1009"/>
    </row>
    <row r="1010" ht="14.45" customHeight="1" spans="1:19">
      <c r="A1010" s="57"/>
      <c r="B1010" s="57" t="s">
        <v>1311</v>
      </c>
      <c r="C1010" s="57" t="s">
        <v>1188</v>
      </c>
      <c r="D1010" s="84">
        <f>配合比!M6</f>
        <v>161.3747797</v>
      </c>
      <c r="E1010" s="84">
        <v>103</v>
      </c>
      <c r="F1010" s="84">
        <f t="shared" si="118"/>
        <v>16621.6023091</v>
      </c>
      <c r="G1010" s="57"/>
      <c r="H1010" s="57" t="s">
        <v>1311</v>
      </c>
      <c r="I1010" s="57" t="s">
        <v>1188</v>
      </c>
      <c r="J1010" s="84">
        <f>配合比!M10</f>
        <v>183.3858985</v>
      </c>
      <c r="K1010" s="84">
        <v>103</v>
      </c>
      <c r="L1010" s="84">
        <f t="shared" si="117"/>
        <v>18888.7475455</v>
      </c>
      <c r="N1010"/>
      <c r="O1010"/>
      <c r="P1010"/>
      <c r="Q1010"/>
      <c r="R1010"/>
      <c r="S1010"/>
    </row>
    <row r="1011" ht="14.45" customHeight="1" spans="1:19">
      <c r="A1011" s="57"/>
      <c r="B1011" s="57" t="s">
        <v>1022</v>
      </c>
      <c r="C1011" s="57" t="s">
        <v>1188</v>
      </c>
      <c r="D1011" s="84">
        <f>材料预算价!K14</f>
        <v>4.37</v>
      </c>
      <c r="E1011" s="84">
        <v>70</v>
      </c>
      <c r="F1011" s="84">
        <f t="shared" si="118"/>
        <v>305.9</v>
      </c>
      <c r="G1011" s="57"/>
      <c r="H1011" s="57" t="s">
        <v>1022</v>
      </c>
      <c r="I1011" s="57" t="s">
        <v>1188</v>
      </c>
      <c r="J1011" s="84">
        <f t="shared" ref="J1011:J1019" si="119">D1011</f>
        <v>4.37</v>
      </c>
      <c r="K1011" s="84">
        <v>70</v>
      </c>
      <c r="L1011" s="84">
        <f t="shared" si="117"/>
        <v>305.9</v>
      </c>
      <c r="N1011"/>
      <c r="O1011"/>
      <c r="P1011"/>
      <c r="Q1011"/>
      <c r="R1011"/>
      <c r="S1011"/>
    </row>
    <row r="1012" ht="14.45" customHeight="1" spans="1:19">
      <c r="A1012" s="57"/>
      <c r="B1012" s="57" t="s">
        <v>1163</v>
      </c>
      <c r="C1012" s="59" t="s">
        <v>423</v>
      </c>
      <c r="D1012" s="84">
        <f>SUM(F1004:F1011)</f>
        <v>21677.5707336</v>
      </c>
      <c r="E1012" s="84">
        <v>2</v>
      </c>
      <c r="F1012" s="84">
        <f>D1012*E1012/100</f>
        <v>433.551414672</v>
      </c>
      <c r="G1012" s="57"/>
      <c r="H1012" s="57" t="s">
        <v>1163</v>
      </c>
      <c r="I1012" s="59" t="s">
        <v>423</v>
      </c>
      <c r="J1012" s="84">
        <f>SUM(L1004:L1011)</f>
        <v>23944.71597</v>
      </c>
      <c r="K1012" s="84">
        <v>2</v>
      </c>
      <c r="L1012" s="84">
        <f>J1012*K1012/100</f>
        <v>478.8943194</v>
      </c>
      <c r="N1012"/>
      <c r="O1012"/>
      <c r="P1012"/>
      <c r="Q1012"/>
      <c r="R1012"/>
      <c r="S1012"/>
    </row>
    <row r="1013" ht="14.45" customHeight="1" spans="1:19">
      <c r="A1013" s="57">
        <v>3</v>
      </c>
      <c r="B1013" s="57" t="s">
        <v>1171</v>
      </c>
      <c r="C1013" s="57"/>
      <c r="D1013" s="84"/>
      <c r="E1013" s="84"/>
      <c r="F1013" s="84">
        <f>SUM(F1014:F1020)</f>
        <v>821.845468949342</v>
      </c>
      <c r="G1013" s="57">
        <v>3</v>
      </c>
      <c r="H1013" s="57" t="s">
        <v>1171</v>
      </c>
      <c r="I1013" s="57"/>
      <c r="J1013" s="84"/>
      <c r="K1013" s="84"/>
      <c r="L1013" s="84">
        <f>SUM(L1014:L1020)</f>
        <v>821.845468949342</v>
      </c>
      <c r="N1013"/>
      <c r="O1013"/>
      <c r="P1013"/>
      <c r="Q1013"/>
      <c r="R1013"/>
      <c r="S1013"/>
    </row>
    <row r="1014" ht="14.45" customHeight="1" spans="1:19">
      <c r="A1014" s="57"/>
      <c r="B1014" s="57" t="s">
        <v>1280</v>
      </c>
      <c r="C1014" s="57" t="s">
        <v>988</v>
      </c>
      <c r="D1014" s="84">
        <f>D921</f>
        <v>49.389824491424</v>
      </c>
      <c r="E1014" s="84">
        <v>0.46</v>
      </c>
      <c r="F1014" s="84">
        <f t="shared" ref="F1014:F1019" si="120">D1014*E1014</f>
        <v>22.719319266055</v>
      </c>
      <c r="G1014" s="57"/>
      <c r="H1014" s="57" t="s">
        <v>1280</v>
      </c>
      <c r="I1014" s="57" t="s">
        <v>988</v>
      </c>
      <c r="J1014" s="84">
        <f t="shared" si="119"/>
        <v>49.389824491424</v>
      </c>
      <c r="K1014" s="84">
        <v>0.46</v>
      </c>
      <c r="L1014" s="84">
        <f t="shared" ref="L1014:L1019" si="121">J1014*K1014</f>
        <v>22.719319266055</v>
      </c>
      <c r="N1014"/>
      <c r="O1014"/>
      <c r="P1014"/>
      <c r="Q1014"/>
      <c r="R1014"/>
      <c r="S1014"/>
    </row>
    <row r="1015" ht="14.45" customHeight="1" spans="1:19">
      <c r="A1015" s="57"/>
      <c r="B1015" s="57" t="s">
        <v>1281</v>
      </c>
      <c r="C1015" s="57" t="s">
        <v>988</v>
      </c>
      <c r="D1015" s="84">
        <f>台时!F84</f>
        <v>62.3342780215397</v>
      </c>
      <c r="E1015" s="84"/>
      <c r="F1015" s="84">
        <f t="shared" si="120"/>
        <v>0</v>
      </c>
      <c r="G1015" s="57"/>
      <c r="H1015" s="57" t="s">
        <v>1281</v>
      </c>
      <c r="I1015" s="57" t="s">
        <v>988</v>
      </c>
      <c r="J1015" s="84">
        <f t="shared" si="119"/>
        <v>62.3342780215397</v>
      </c>
      <c r="K1015" s="84"/>
      <c r="L1015" s="84">
        <f t="shared" si="121"/>
        <v>0</v>
      </c>
      <c r="N1015"/>
      <c r="O1015"/>
      <c r="P1015"/>
      <c r="Q1015"/>
      <c r="R1015"/>
      <c r="S1015"/>
    </row>
    <row r="1016" ht="14.45" customHeight="1" spans="1:19">
      <c r="A1016" s="57"/>
      <c r="B1016" s="57" t="s">
        <v>1282</v>
      </c>
      <c r="C1016" s="57" t="s">
        <v>988</v>
      </c>
      <c r="D1016" s="84">
        <f>台时!E84</f>
        <v>8.0471858795373</v>
      </c>
      <c r="E1016" s="204">
        <v>10.32</v>
      </c>
      <c r="F1016" s="84">
        <f t="shared" si="120"/>
        <v>83.0469582768249</v>
      </c>
      <c r="G1016" s="57"/>
      <c r="H1016" s="57" t="s">
        <v>1282</v>
      </c>
      <c r="I1016" s="57" t="s">
        <v>988</v>
      </c>
      <c r="J1016" s="84">
        <f t="shared" si="119"/>
        <v>8.0471858795373</v>
      </c>
      <c r="K1016" s="204">
        <v>10.32</v>
      </c>
      <c r="L1016" s="84">
        <f t="shared" si="121"/>
        <v>83.0469582768249</v>
      </c>
      <c r="N1016"/>
      <c r="O1016"/>
      <c r="P1016"/>
      <c r="Q1016"/>
      <c r="R1016"/>
      <c r="S1016"/>
    </row>
    <row r="1017" ht="14.45" customHeight="1" spans="1:19">
      <c r="A1017" s="57"/>
      <c r="B1017" s="57" t="s">
        <v>1283</v>
      </c>
      <c r="C1017" s="57" t="s">
        <v>988</v>
      </c>
      <c r="D1017" s="84">
        <f>台时!D42</f>
        <v>23.7459521340247</v>
      </c>
      <c r="E1017" s="84">
        <v>18.54</v>
      </c>
      <c r="F1017" s="84">
        <f t="shared" si="120"/>
        <v>440.249952564819</v>
      </c>
      <c r="G1017" s="57"/>
      <c r="H1017" s="57" t="s">
        <v>1283</v>
      </c>
      <c r="I1017" s="57" t="s">
        <v>988</v>
      </c>
      <c r="J1017" s="84">
        <f t="shared" si="119"/>
        <v>23.7459521340247</v>
      </c>
      <c r="K1017" s="84">
        <v>18.54</v>
      </c>
      <c r="L1017" s="84">
        <f t="shared" si="121"/>
        <v>440.249952564819</v>
      </c>
      <c r="N1017"/>
      <c r="O1017"/>
      <c r="P1017"/>
      <c r="Q1017"/>
      <c r="R1017"/>
      <c r="S1017"/>
    </row>
    <row r="1018" ht="14.45" customHeight="1" spans="1:19">
      <c r="A1018" s="57"/>
      <c r="B1018" s="57" t="s">
        <v>1297</v>
      </c>
      <c r="C1018" s="57" t="s">
        <v>988</v>
      </c>
      <c r="D1018" s="84">
        <f>台时!C84</f>
        <v>2.37852772237734</v>
      </c>
      <c r="E1018" s="84">
        <v>30</v>
      </c>
      <c r="F1018" s="84">
        <f t="shared" si="120"/>
        <v>71.3558316713202</v>
      </c>
      <c r="G1018" s="57"/>
      <c r="H1018" s="57" t="s">
        <v>1297</v>
      </c>
      <c r="I1018" s="57" t="s">
        <v>988</v>
      </c>
      <c r="J1018" s="84">
        <f t="shared" si="119"/>
        <v>2.37852772237734</v>
      </c>
      <c r="K1018" s="84">
        <v>30</v>
      </c>
      <c r="L1018" s="84">
        <f t="shared" si="121"/>
        <v>71.3558316713202</v>
      </c>
      <c r="N1018"/>
      <c r="O1018"/>
      <c r="P1018"/>
      <c r="Q1018"/>
      <c r="R1018"/>
      <c r="S1018"/>
    </row>
    <row r="1019" ht="14.45" customHeight="1" spans="1:19">
      <c r="A1019" s="57"/>
      <c r="B1019" s="57" t="s">
        <v>1190</v>
      </c>
      <c r="C1019" s="57" t="s">
        <v>988</v>
      </c>
      <c r="D1019" s="84">
        <f>D925</f>
        <v>0.813242919824491</v>
      </c>
      <c r="E1019" s="84">
        <v>83</v>
      </c>
      <c r="F1019" s="84">
        <f t="shared" si="120"/>
        <v>67.4991623454328</v>
      </c>
      <c r="G1019" s="57"/>
      <c r="H1019" s="57" t="s">
        <v>1190</v>
      </c>
      <c r="I1019" s="57" t="s">
        <v>988</v>
      </c>
      <c r="J1019" s="84">
        <f t="shared" si="119"/>
        <v>0.813242919824491</v>
      </c>
      <c r="K1019" s="84">
        <v>83</v>
      </c>
      <c r="L1019" s="84">
        <f t="shared" si="121"/>
        <v>67.4991623454328</v>
      </c>
      <c r="N1019"/>
      <c r="O1019"/>
      <c r="P1019"/>
      <c r="Q1019"/>
      <c r="R1019"/>
      <c r="S1019"/>
    </row>
    <row r="1020" ht="14.45" customHeight="1" spans="1:19">
      <c r="A1020" s="57"/>
      <c r="B1020" s="57" t="s">
        <v>1223</v>
      </c>
      <c r="C1020" s="59" t="s">
        <v>423</v>
      </c>
      <c r="D1020" s="84">
        <f>SUM(F1014:F1019)</f>
        <v>684.871224124451</v>
      </c>
      <c r="E1020" s="196">
        <v>20</v>
      </c>
      <c r="F1020" s="84">
        <f>D1020*E1020/100</f>
        <v>136.97424482489</v>
      </c>
      <c r="G1020" s="57"/>
      <c r="H1020" s="57" t="s">
        <v>1223</v>
      </c>
      <c r="I1020" s="59" t="s">
        <v>423</v>
      </c>
      <c r="J1020" s="84">
        <f>SUM(L1014:L1019)</f>
        <v>684.871224124451</v>
      </c>
      <c r="K1020" s="196">
        <v>20</v>
      </c>
      <c r="L1020" s="84">
        <f>J1020*K1020/100</f>
        <v>136.97424482489</v>
      </c>
      <c r="N1020"/>
      <c r="O1020"/>
      <c r="P1020"/>
      <c r="Q1020"/>
      <c r="R1020"/>
      <c r="S1020"/>
    </row>
    <row r="1021" ht="14.45" customHeight="1" spans="1:19">
      <c r="A1021" s="55">
        <v>4</v>
      </c>
      <c r="B1021" s="55" t="s">
        <v>1285</v>
      </c>
      <c r="C1021" s="253"/>
      <c r="D1021" s="254"/>
      <c r="E1021" s="254"/>
      <c r="F1021" s="254">
        <f>SUM(F1022:F1023)</f>
        <v>1986.41142067271</v>
      </c>
      <c r="G1021" s="55">
        <v>4</v>
      </c>
      <c r="H1021" s="55" t="s">
        <v>1285</v>
      </c>
      <c r="I1021" s="253"/>
      <c r="J1021" s="254"/>
      <c r="K1021" s="254"/>
      <c r="L1021" s="254">
        <f>SUM(L1022:L1023)</f>
        <v>1986.41142067271</v>
      </c>
      <c r="N1021"/>
      <c r="O1021"/>
      <c r="P1021"/>
      <c r="Q1021"/>
      <c r="R1021"/>
      <c r="S1021"/>
    </row>
    <row r="1022" ht="14.45" customHeight="1" spans="1:19">
      <c r="A1022" s="57"/>
      <c r="B1022" s="245" t="s">
        <v>1286</v>
      </c>
      <c r="C1022" s="245" t="s">
        <v>1188</v>
      </c>
      <c r="D1022" s="246">
        <f>$F$2253/100</f>
        <v>5.03319379720782</v>
      </c>
      <c r="E1022" s="246">
        <v>103</v>
      </c>
      <c r="F1022" s="84">
        <f>D1022*E1022</f>
        <v>518.418961112405</v>
      </c>
      <c r="G1022" s="57"/>
      <c r="H1022" s="245" t="s">
        <v>1286</v>
      </c>
      <c r="I1022" s="245" t="s">
        <v>1188</v>
      </c>
      <c r="J1022" s="246">
        <f>$F$2253/100</f>
        <v>5.03319379720782</v>
      </c>
      <c r="K1022" s="246">
        <v>103</v>
      </c>
      <c r="L1022" s="84">
        <f>J1022*K1022</f>
        <v>518.418961112405</v>
      </c>
      <c r="N1022"/>
      <c r="O1022"/>
      <c r="P1022"/>
      <c r="Q1022"/>
      <c r="R1022"/>
      <c r="S1022"/>
    </row>
    <row r="1023" ht="14.45" customHeight="1" spans="1:19">
      <c r="A1023" s="57"/>
      <c r="B1023" s="245" t="s">
        <v>1287</v>
      </c>
      <c r="C1023" s="245" t="s">
        <v>1188</v>
      </c>
      <c r="D1023" s="246">
        <f>$F$2271/100</f>
        <v>14.2523539763136</v>
      </c>
      <c r="E1023" s="246">
        <v>103</v>
      </c>
      <c r="F1023" s="84">
        <f>D1023*E1023</f>
        <v>1467.99245956031</v>
      </c>
      <c r="G1023" s="57"/>
      <c r="H1023" s="245" t="s">
        <v>1287</v>
      </c>
      <c r="I1023" s="245" t="s">
        <v>1188</v>
      </c>
      <c r="J1023" s="246">
        <f>$F$2271/100</f>
        <v>14.2523539763136</v>
      </c>
      <c r="K1023" s="246">
        <v>103</v>
      </c>
      <c r="L1023" s="84">
        <f>J1023*K1023</f>
        <v>1467.99245956031</v>
      </c>
      <c r="N1023"/>
      <c r="O1023"/>
      <c r="P1023"/>
      <c r="Q1023"/>
      <c r="R1023"/>
      <c r="S1023"/>
    </row>
    <row r="1024" ht="14.45" customHeight="1" spans="1:19">
      <c r="A1024" s="57" t="s">
        <v>70</v>
      </c>
      <c r="B1024" s="57" t="s">
        <v>977</v>
      </c>
      <c r="C1024" s="194">
        <f>取费表!$C$7</f>
        <v>0.048</v>
      </c>
      <c r="D1024" s="246"/>
      <c r="E1024" s="246">
        <f>F999</f>
        <v>37978.7750378941</v>
      </c>
      <c r="F1024" s="84">
        <f t="shared" ref="F1024:F1027" si="122">E1024*C1024</f>
        <v>1822.98120181891</v>
      </c>
      <c r="G1024" s="57" t="s">
        <v>70</v>
      </c>
      <c r="H1024" s="57" t="s">
        <v>977</v>
      </c>
      <c r="I1024" s="194">
        <f>取费表!$C$7</f>
        <v>0.048</v>
      </c>
      <c r="J1024" s="246"/>
      <c r="K1024" s="246">
        <f>L999</f>
        <v>40291.2631790221</v>
      </c>
      <c r="L1024" s="84">
        <f t="shared" ref="L1024:L1027" si="123">K1024*I1024</f>
        <v>1933.98063259306</v>
      </c>
      <c r="N1024"/>
      <c r="O1024"/>
      <c r="P1024"/>
      <c r="Q1024"/>
      <c r="R1024"/>
      <c r="S1024"/>
    </row>
    <row r="1025" ht="14.45" customHeight="1" spans="1:19">
      <c r="A1025" s="57"/>
      <c r="B1025" s="57"/>
      <c r="C1025" s="194"/>
      <c r="D1025" s="246"/>
      <c r="E1025" s="246"/>
      <c r="F1025" s="84"/>
      <c r="G1025" s="57"/>
      <c r="H1025" s="57"/>
      <c r="I1025" s="194"/>
      <c r="J1025" s="246"/>
      <c r="K1025" s="246"/>
      <c r="L1025" s="84"/>
      <c r="N1025"/>
      <c r="O1025"/>
      <c r="P1025"/>
      <c r="Q1025"/>
      <c r="R1025"/>
      <c r="S1025"/>
    </row>
    <row r="1026" ht="14.45" customHeight="1" spans="1:19">
      <c r="A1026" s="57" t="s">
        <v>979</v>
      </c>
      <c r="B1026" s="57" t="s">
        <v>973</v>
      </c>
      <c r="C1026" s="194">
        <f>取费表!$E$7</f>
        <v>0.07</v>
      </c>
      <c r="D1026" s="246"/>
      <c r="E1026" s="246">
        <f>F998</f>
        <v>39801.756239713</v>
      </c>
      <c r="F1026" s="84">
        <f t="shared" si="122"/>
        <v>2786.12293677991</v>
      </c>
      <c r="G1026" s="57" t="s">
        <v>979</v>
      </c>
      <c r="H1026" s="57" t="s">
        <v>973</v>
      </c>
      <c r="I1026" s="194">
        <f>取费表!$E$7</f>
        <v>0.07</v>
      </c>
      <c r="J1026" s="246"/>
      <c r="K1026" s="246">
        <f>L998</f>
        <v>42225.2438116151</v>
      </c>
      <c r="L1026" s="84">
        <f t="shared" si="123"/>
        <v>2955.76706681306</v>
      </c>
      <c r="N1026"/>
      <c r="O1026"/>
      <c r="P1026"/>
      <c r="Q1026"/>
      <c r="R1026"/>
      <c r="S1026"/>
    </row>
    <row r="1027" ht="14.45" customHeight="1" spans="1:19">
      <c r="A1027" s="57" t="s">
        <v>162</v>
      </c>
      <c r="B1027" s="57" t="s">
        <v>980</v>
      </c>
      <c r="C1027" s="194">
        <f>取费表!$F$7</f>
        <v>0.07</v>
      </c>
      <c r="D1027" s="246"/>
      <c r="E1027" s="246">
        <f>F1026+F998</f>
        <v>42587.8791764929</v>
      </c>
      <c r="F1027" s="84">
        <f t="shared" si="122"/>
        <v>2981.1515423545</v>
      </c>
      <c r="G1027" s="57" t="s">
        <v>162</v>
      </c>
      <c r="H1027" s="57" t="s">
        <v>980</v>
      </c>
      <c r="I1027" s="194">
        <f>取费表!$F$7</f>
        <v>0.07</v>
      </c>
      <c r="J1027" s="246"/>
      <c r="K1027" s="246">
        <f>L1026+L998</f>
        <v>45181.0108784282</v>
      </c>
      <c r="L1027" s="84">
        <f t="shared" si="123"/>
        <v>3162.67076148997</v>
      </c>
      <c r="N1027"/>
      <c r="O1027"/>
      <c r="P1027"/>
      <c r="Q1027"/>
      <c r="R1027"/>
      <c r="S1027"/>
    </row>
    <row r="1028" ht="14.45" customHeight="1" spans="1:19">
      <c r="A1028" s="55" t="s">
        <v>214</v>
      </c>
      <c r="B1028" s="55" t="s">
        <v>1173</v>
      </c>
      <c r="C1028" s="253"/>
      <c r="D1028" s="254"/>
      <c r="E1028" s="55"/>
      <c r="F1028" s="255">
        <f>F1029+F1034</f>
        <v>8346.62946790771</v>
      </c>
      <c r="G1028" s="55" t="s">
        <v>214</v>
      </c>
      <c r="H1028" s="55" t="s">
        <v>1173</v>
      </c>
      <c r="I1028" s="253"/>
      <c r="J1028" s="254"/>
      <c r="K1028" s="55"/>
      <c r="L1028" s="255">
        <f>L1029+L1034</f>
        <v>9733.19489560639</v>
      </c>
      <c r="N1028"/>
      <c r="O1028"/>
      <c r="P1028"/>
      <c r="Q1028"/>
      <c r="R1028"/>
      <c r="S1028"/>
    </row>
    <row r="1029" ht="14.45" customHeight="1" spans="1:19">
      <c r="A1029" s="57">
        <v>1</v>
      </c>
      <c r="B1029" s="57" t="s">
        <v>1288</v>
      </c>
      <c r="C1029" s="59"/>
      <c r="D1029" s="84"/>
      <c r="E1029" s="57"/>
      <c r="F1029" s="113">
        <f>SUM(F1030:F1033)</f>
        <v>8326.01226790771</v>
      </c>
      <c r="G1029" s="57">
        <v>1</v>
      </c>
      <c r="H1029" s="57" t="s">
        <v>1288</v>
      </c>
      <c r="I1029" s="59"/>
      <c r="J1029" s="84"/>
      <c r="K1029" s="57"/>
      <c r="L1029" s="113">
        <f>SUM(L1030:L1033)</f>
        <v>9712.57769560639</v>
      </c>
      <c r="N1029"/>
      <c r="O1029"/>
      <c r="P1029"/>
      <c r="Q1029"/>
      <c r="R1029"/>
      <c r="S1029"/>
    </row>
    <row r="1030" ht="14.45" customHeight="1" spans="1:19">
      <c r="A1030" s="57"/>
      <c r="B1030" s="57"/>
      <c r="C1030" s="57"/>
      <c r="D1030" s="84"/>
      <c r="E1030" s="84"/>
      <c r="F1030" s="113"/>
      <c r="G1030" s="57"/>
      <c r="H1030" s="57"/>
      <c r="I1030" s="57"/>
      <c r="J1030" s="84"/>
      <c r="K1030" s="84"/>
      <c r="L1030" s="113"/>
      <c r="N1030"/>
      <c r="O1030"/>
      <c r="P1030"/>
      <c r="Q1030"/>
      <c r="R1030"/>
      <c r="S1030"/>
    </row>
    <row r="1031" ht="14.45" customHeight="1" spans="1:19">
      <c r="A1031" s="57"/>
      <c r="B1031" s="57" t="s">
        <v>1141</v>
      </c>
      <c r="C1031" s="57" t="s">
        <v>69</v>
      </c>
      <c r="D1031" s="84">
        <f>材料预算价!K5-材料预算价!L5</f>
        <v>156.64017</v>
      </c>
      <c r="E1031" s="84">
        <f>E1010*配合比!E6</f>
        <v>25.23059572</v>
      </c>
      <c r="F1031" s="113">
        <f t="shared" ref="F1031:F1033" si="124">D1031*E1031</f>
        <v>3952.12480278207</v>
      </c>
      <c r="G1031" s="57"/>
      <c r="H1031" s="57" t="s">
        <v>1141</v>
      </c>
      <c r="I1031" s="57" t="s">
        <v>69</v>
      </c>
      <c r="J1031" s="84">
        <f t="shared" ref="J1031:J1033" si="125">D1031</f>
        <v>156.64017</v>
      </c>
      <c r="K1031" s="84">
        <f>K1010*配合比!E10</f>
        <v>35.035759</v>
      </c>
      <c r="L1031" s="113">
        <f t="shared" ref="L1031:L1033" si="126">J1031*K1031</f>
        <v>5488.00724583903</v>
      </c>
      <c r="N1031"/>
      <c r="O1031"/>
      <c r="P1031"/>
      <c r="Q1031"/>
      <c r="R1031"/>
      <c r="S1031"/>
    </row>
    <row r="1032" ht="14.45" customHeight="1" spans="1:19">
      <c r="A1032" s="57"/>
      <c r="B1032" s="57" t="s">
        <v>1142</v>
      </c>
      <c r="C1032" s="57" t="s">
        <v>1188</v>
      </c>
      <c r="D1032" s="84">
        <f>材料预算价!K7-材料预算价!L7</f>
        <v>44.826214</v>
      </c>
      <c r="E1032" s="84">
        <f>E1010*配合比!G6</f>
        <v>57.73768</v>
      </c>
      <c r="F1032" s="113">
        <f t="shared" si="124"/>
        <v>2588.16159954352</v>
      </c>
      <c r="G1032" s="57"/>
      <c r="H1032" s="57" t="s">
        <v>1142</v>
      </c>
      <c r="I1032" s="57" t="s">
        <v>1188</v>
      </c>
      <c r="J1032" s="84">
        <f t="shared" si="125"/>
        <v>44.826214</v>
      </c>
      <c r="K1032" s="84">
        <f>K1010*配合比!G10</f>
        <v>54.40666</v>
      </c>
      <c r="L1032" s="113">
        <f t="shared" si="126"/>
        <v>2438.84458418524</v>
      </c>
      <c r="N1032"/>
      <c r="O1032"/>
      <c r="P1032"/>
      <c r="Q1032"/>
      <c r="R1032"/>
      <c r="S1032"/>
    </row>
    <row r="1033" ht="14.45" customHeight="1" spans="1:19">
      <c r="A1033" s="57"/>
      <c r="B1033" s="57" t="s">
        <v>1110</v>
      </c>
      <c r="C1033" s="57" t="s">
        <v>1188</v>
      </c>
      <c r="D1033" s="84">
        <f>材料预算价!K8-材料预算价!L8</f>
        <v>20.60443</v>
      </c>
      <c r="E1033" s="84">
        <f>E1010*配合比!I6</f>
        <v>86.667084</v>
      </c>
      <c r="F1033" s="113">
        <f t="shared" si="124"/>
        <v>1785.72586558212</v>
      </c>
      <c r="G1033" s="57"/>
      <c r="H1033" s="57" t="s">
        <v>1110</v>
      </c>
      <c r="I1033" s="57" t="s">
        <v>1188</v>
      </c>
      <c r="J1033" s="84">
        <f t="shared" si="125"/>
        <v>20.60443</v>
      </c>
      <c r="K1033" s="84">
        <f>K1010*配合比!I10</f>
        <v>86.667084</v>
      </c>
      <c r="L1033" s="113">
        <f t="shared" si="126"/>
        <v>1785.72586558212</v>
      </c>
      <c r="N1033"/>
      <c r="O1033"/>
      <c r="P1033"/>
      <c r="Q1033"/>
      <c r="R1033"/>
      <c r="S1033"/>
    </row>
    <row r="1034" ht="14.45" customHeight="1" spans="1:19">
      <c r="A1034" s="57">
        <v>2</v>
      </c>
      <c r="B1034" s="57" t="s">
        <v>1289</v>
      </c>
      <c r="C1034" s="57"/>
      <c r="D1034" s="84"/>
      <c r="E1034" s="88"/>
      <c r="F1034" s="113">
        <f>SUM(F1035:F1036)</f>
        <v>20.6172</v>
      </c>
      <c r="G1034" s="57">
        <v>2</v>
      </c>
      <c r="H1034" s="57" t="s">
        <v>1289</v>
      </c>
      <c r="I1034" s="57"/>
      <c r="J1034" s="84"/>
      <c r="K1034" s="88"/>
      <c r="L1034" s="113">
        <f>SUM(L1035:L1036)</f>
        <v>20.6172</v>
      </c>
      <c r="N1034"/>
      <c r="O1034"/>
      <c r="P1034"/>
      <c r="Q1034"/>
      <c r="R1034"/>
      <c r="S1034"/>
    </row>
    <row r="1035" ht="14.45" customHeight="1" spans="1:19">
      <c r="A1035" s="57"/>
      <c r="B1035" s="57" t="s">
        <v>1290</v>
      </c>
      <c r="C1035" s="57" t="s">
        <v>184</v>
      </c>
      <c r="D1035" s="84">
        <f>材料预算价!K13-材料预算价!L13</f>
        <v>6.225</v>
      </c>
      <c r="E1035" s="88">
        <f>(E1014*7.2+E1015*5.8)</f>
        <v>3.312</v>
      </c>
      <c r="F1035" s="113">
        <f>D1035*E1035</f>
        <v>20.6172</v>
      </c>
      <c r="G1035" s="57"/>
      <c r="H1035" s="57" t="s">
        <v>1290</v>
      </c>
      <c r="I1035" s="57" t="s">
        <v>184</v>
      </c>
      <c r="J1035" s="84">
        <f>D1035</f>
        <v>6.225</v>
      </c>
      <c r="K1035" s="88">
        <f>(K1014*7.2+K1015*5.8)</f>
        <v>3.312</v>
      </c>
      <c r="L1035" s="113">
        <f>J1035*K1035</f>
        <v>20.6172</v>
      </c>
      <c r="N1035"/>
      <c r="O1035"/>
      <c r="P1035"/>
      <c r="Q1035"/>
      <c r="R1035"/>
      <c r="S1035"/>
    </row>
    <row r="1036" ht="14.45" customHeight="1" spans="1:19">
      <c r="A1036" s="57"/>
      <c r="B1036" s="57" t="s">
        <v>1174</v>
      </c>
      <c r="C1036" s="57" t="s">
        <v>184</v>
      </c>
      <c r="D1036" s="84">
        <f>材料预算价!K12-材料预算价!L12</f>
        <v>4.86</v>
      </c>
      <c r="E1036" s="88"/>
      <c r="F1036" s="113">
        <f>D1036*E1036</f>
        <v>0</v>
      </c>
      <c r="G1036" s="57"/>
      <c r="H1036" s="57" t="s">
        <v>1174</v>
      </c>
      <c r="I1036" s="57" t="s">
        <v>184</v>
      </c>
      <c r="J1036" s="84">
        <f>D1036</f>
        <v>4.86</v>
      </c>
      <c r="K1036" s="88"/>
      <c r="L1036" s="113">
        <f>J1036*K1036</f>
        <v>0</v>
      </c>
      <c r="N1036"/>
      <c r="O1036"/>
      <c r="P1036"/>
      <c r="Q1036"/>
      <c r="R1036"/>
      <c r="S1036"/>
    </row>
    <row r="1037" ht="14.45" customHeight="1" spans="1:19">
      <c r="A1037" s="57" t="s">
        <v>327</v>
      </c>
      <c r="B1037" s="57" t="s">
        <v>976</v>
      </c>
      <c r="C1037" s="195">
        <f>C990</f>
        <v>0.09</v>
      </c>
      <c r="D1037" s="84"/>
      <c r="E1037" s="84">
        <f>F1028+F1027+F1026+F998</f>
        <v>53915.6601867551</v>
      </c>
      <c r="F1037" s="84">
        <f>E1037*C1037</f>
        <v>4852.40941680796</v>
      </c>
      <c r="G1037" s="57" t="s">
        <v>327</v>
      </c>
      <c r="H1037" s="57" t="s">
        <v>976</v>
      </c>
      <c r="I1037" s="195">
        <f>C1037</f>
        <v>0.09</v>
      </c>
      <c r="J1037" s="84"/>
      <c r="K1037" s="84">
        <f>L1028+L1027+L1026+L998</f>
        <v>58076.8765355245</v>
      </c>
      <c r="L1037" s="84">
        <f>K1037*I1037</f>
        <v>5226.9188881972</v>
      </c>
      <c r="N1037"/>
      <c r="O1037"/>
      <c r="P1037"/>
      <c r="Q1037"/>
      <c r="R1037"/>
      <c r="S1037"/>
    </row>
    <row r="1038" ht="14.45" customHeight="1" spans="1:19">
      <c r="A1038" s="57"/>
      <c r="B1038" s="57" t="s">
        <v>984</v>
      </c>
      <c r="C1038" s="195"/>
      <c r="D1038" s="84"/>
      <c r="E1038" s="84"/>
      <c r="F1038" s="84">
        <f>(F998+F1026+F1027+F1028+F1037)*取费表!H4</f>
        <v>1763.04208810689</v>
      </c>
      <c r="G1038" s="57"/>
      <c r="H1038" s="57" t="s">
        <v>984</v>
      </c>
      <c r="I1038" s="195"/>
      <c r="J1038" s="84"/>
      <c r="K1038" s="84"/>
      <c r="L1038" s="84">
        <f>(L998+L1026+L1027+L1028+L1037)*取费表!H7</f>
        <v>1899.11386271165</v>
      </c>
      <c r="N1038"/>
      <c r="O1038"/>
      <c r="P1038"/>
      <c r="Q1038"/>
      <c r="R1038"/>
      <c r="S1038"/>
    </row>
    <row r="1039" ht="17.25" customHeight="1" spans="1:19">
      <c r="A1039" s="57"/>
      <c r="B1039" s="57" t="s">
        <v>278</v>
      </c>
      <c r="C1039" s="57"/>
      <c r="D1039" s="84"/>
      <c r="E1039" s="84"/>
      <c r="F1039" s="84">
        <f>F1037+E1037+F1038</f>
        <v>60531.11169167</v>
      </c>
      <c r="G1039" s="57"/>
      <c r="H1039" s="57" t="s">
        <v>278</v>
      </c>
      <c r="I1039" s="57"/>
      <c r="J1039" s="84"/>
      <c r="K1039" s="84"/>
      <c r="L1039" s="84">
        <f>L1037+K1037+L1038</f>
        <v>65202.9092864334</v>
      </c>
      <c r="N1039"/>
      <c r="O1039"/>
      <c r="P1039"/>
      <c r="Q1039"/>
      <c r="R1039"/>
      <c r="S1039"/>
    </row>
    <row r="1040" ht="15" customHeight="1" spans="1:6">
      <c r="A1040" s="312" t="s">
        <v>1155</v>
      </c>
      <c r="B1040" s="312"/>
      <c r="C1040" s="312"/>
      <c r="D1040" s="312"/>
      <c r="E1040" s="312"/>
      <c r="F1040" s="312"/>
    </row>
    <row r="1041" ht="15" customHeight="1" spans="1:6">
      <c r="A1041" s="242" t="s">
        <v>1312</v>
      </c>
      <c r="C1041" s="243"/>
      <c r="D1041" s="243"/>
      <c r="E1041" s="243"/>
      <c r="F1041" s="243"/>
    </row>
    <row r="1042" ht="15" customHeight="1" spans="1:6">
      <c r="A1042" s="191" t="s">
        <v>1313</v>
      </c>
      <c r="B1042" s="191"/>
      <c r="C1042" s="168"/>
      <c r="D1042" s="168"/>
      <c r="E1042" s="191" t="s">
        <v>1159</v>
      </c>
      <c r="F1042" s="191"/>
    </row>
    <row r="1043" ht="15" customHeight="1" spans="1:6">
      <c r="A1043" s="117" t="s">
        <v>1218</v>
      </c>
      <c r="B1043" s="192"/>
      <c r="C1043" s="192"/>
      <c r="D1043" s="192"/>
      <c r="E1043" s="192"/>
      <c r="F1043" s="118"/>
    </row>
    <row r="1044" ht="15" customHeight="1" spans="1:6">
      <c r="A1044" s="57" t="s">
        <v>354</v>
      </c>
      <c r="B1044" s="57" t="s">
        <v>956</v>
      </c>
      <c r="C1044" s="57" t="s">
        <v>52</v>
      </c>
      <c r="D1044" s="57" t="s">
        <v>855</v>
      </c>
      <c r="E1044" s="57" t="s">
        <v>53</v>
      </c>
      <c r="F1044" s="57" t="s">
        <v>306</v>
      </c>
    </row>
    <row r="1045" ht="15" customHeight="1" spans="1:6">
      <c r="A1045" s="57" t="s">
        <v>959</v>
      </c>
      <c r="B1045" s="57" t="s">
        <v>960</v>
      </c>
      <c r="C1045" s="57"/>
      <c r="D1045" s="57"/>
      <c r="E1045" s="57"/>
      <c r="F1045" s="84">
        <f>F1046+F1070+F1071</f>
        <v>37206.7930963311</v>
      </c>
    </row>
    <row r="1046" ht="15" customHeight="1" spans="1:6">
      <c r="A1046" s="57" t="s">
        <v>59</v>
      </c>
      <c r="B1046" s="57" t="s">
        <v>957</v>
      </c>
      <c r="C1046" s="57"/>
      <c r="D1046" s="57"/>
      <c r="E1046" s="57"/>
      <c r="F1046" s="84">
        <f>F1047+F1050+F1060+F1067</f>
        <v>35502.6651682549</v>
      </c>
    </row>
    <row r="1047" ht="15" customHeight="1" spans="1:6">
      <c r="A1047" s="57">
        <v>1</v>
      </c>
      <c r="B1047" s="57" t="s">
        <v>964</v>
      </c>
      <c r="C1047" s="57" t="s">
        <v>965</v>
      </c>
      <c r="D1047" s="84"/>
      <c r="E1047" s="92">
        <f>SUM(E1048:E1049)</f>
        <v>1382.5</v>
      </c>
      <c r="F1047" s="113">
        <f>SUM(F1048:F1049)</f>
        <v>10315.646</v>
      </c>
    </row>
    <row r="1048" ht="15" customHeight="1" spans="1:6">
      <c r="A1048" s="57"/>
      <c r="B1048" s="57" t="s">
        <v>966</v>
      </c>
      <c r="C1048" s="57" t="s">
        <v>965</v>
      </c>
      <c r="D1048" s="113">
        <f t="shared" ref="D1048:D1051" si="127">D1001</f>
        <v>8.1</v>
      </c>
      <c r="E1048" s="335">
        <f>1003.7</f>
        <v>1003.7</v>
      </c>
      <c r="F1048" s="113">
        <f>D1048*E1048</f>
        <v>8129.97</v>
      </c>
    </row>
    <row r="1049" ht="15" customHeight="1" spans="1:6">
      <c r="A1049" s="57"/>
      <c r="B1049" s="57" t="s">
        <v>968</v>
      </c>
      <c r="C1049" s="57" t="s">
        <v>965</v>
      </c>
      <c r="D1049" s="113">
        <f t="shared" si="127"/>
        <v>5.77</v>
      </c>
      <c r="E1049" s="335">
        <f>378.8</f>
        <v>378.8</v>
      </c>
      <c r="F1049" s="113">
        <f>D1049*E1049</f>
        <v>2185.676</v>
      </c>
    </row>
    <row r="1050" ht="15" customHeight="1" spans="1:6">
      <c r="A1050" s="57">
        <v>2</v>
      </c>
      <c r="B1050" s="57" t="s">
        <v>1219</v>
      </c>
      <c r="C1050" s="57"/>
      <c r="D1050" s="84"/>
      <c r="E1050" s="84"/>
      <c r="F1050" s="84">
        <f>SUM(F1051:F1059)</f>
        <v>22405.543760715</v>
      </c>
    </row>
    <row r="1051" ht="15" customHeight="1" spans="1:6">
      <c r="A1051" s="57"/>
      <c r="B1051" s="244" t="s">
        <v>1272</v>
      </c>
      <c r="C1051" s="244" t="s">
        <v>1188</v>
      </c>
      <c r="D1051" s="84">
        <f t="shared" si="127"/>
        <v>2232.665025</v>
      </c>
      <c r="E1051" s="84">
        <v>0.71</v>
      </c>
      <c r="F1051" s="84">
        <f t="shared" ref="F1051:F1058" si="128">D1051*E1051</f>
        <v>1585.19216775</v>
      </c>
    </row>
    <row r="1052" ht="15" customHeight="1" spans="1:6">
      <c r="A1052" s="57"/>
      <c r="B1052" s="244" t="s">
        <v>1273</v>
      </c>
      <c r="C1052" s="244" t="s">
        <v>184</v>
      </c>
      <c r="D1052" s="84">
        <v>4.44</v>
      </c>
      <c r="E1052" s="84">
        <v>68.86</v>
      </c>
      <c r="F1052" s="84">
        <f t="shared" si="128"/>
        <v>305.7384</v>
      </c>
    </row>
    <row r="1053" ht="15" customHeight="1" spans="1:6">
      <c r="A1053" s="57"/>
      <c r="B1053" s="244" t="s">
        <v>1274</v>
      </c>
      <c r="C1053" s="244" t="s">
        <v>184</v>
      </c>
      <c r="D1053" s="84">
        <v>4.5</v>
      </c>
      <c r="E1053" s="84">
        <v>36.77</v>
      </c>
      <c r="F1053" s="84">
        <f t="shared" si="128"/>
        <v>165.465</v>
      </c>
    </row>
    <row r="1054" ht="15" customHeight="1" spans="1:6">
      <c r="A1054" s="57"/>
      <c r="B1054" s="244" t="s">
        <v>1275</v>
      </c>
      <c r="C1054" s="244" t="s">
        <v>184</v>
      </c>
      <c r="D1054" s="84">
        <v>5.15</v>
      </c>
      <c r="E1054" s="84">
        <v>30.87</v>
      </c>
      <c r="F1054" s="84">
        <f t="shared" si="128"/>
        <v>158.9805</v>
      </c>
    </row>
    <row r="1055" ht="15" customHeight="1" spans="1:6">
      <c r="A1055" s="57"/>
      <c r="B1055" s="244" t="s">
        <v>1276</v>
      </c>
      <c r="C1055" s="244" t="s">
        <v>184</v>
      </c>
      <c r="D1055" s="84">
        <v>4.5</v>
      </c>
      <c r="E1055" s="84">
        <v>273.78</v>
      </c>
      <c r="F1055" s="84">
        <f t="shared" si="128"/>
        <v>1232.01</v>
      </c>
    </row>
    <row r="1056" ht="15" customHeight="1" spans="1:6">
      <c r="A1056" s="57"/>
      <c r="B1056" s="244" t="s">
        <v>1278</v>
      </c>
      <c r="C1056" s="244" t="s">
        <v>184</v>
      </c>
      <c r="D1056" s="84">
        <v>5.97</v>
      </c>
      <c r="E1056" s="84">
        <v>5.75</v>
      </c>
      <c r="F1056" s="84">
        <f t="shared" si="128"/>
        <v>34.3275</v>
      </c>
    </row>
    <row r="1057" ht="15" customHeight="1" spans="1:6">
      <c r="A1057" s="57"/>
      <c r="B1057" s="57" t="s">
        <v>1279</v>
      </c>
      <c r="C1057" s="57" t="s">
        <v>1188</v>
      </c>
      <c r="D1057" s="84">
        <f>配合比!M8</f>
        <v>176.4913185</v>
      </c>
      <c r="E1057" s="84">
        <v>103</v>
      </c>
      <c r="F1057" s="84">
        <f t="shared" si="128"/>
        <v>18178.6058055</v>
      </c>
    </row>
    <row r="1058" ht="15" customHeight="1" spans="1:6">
      <c r="A1058" s="57"/>
      <c r="B1058" s="57" t="s">
        <v>1022</v>
      </c>
      <c r="C1058" s="57" t="s">
        <v>1188</v>
      </c>
      <c r="D1058" s="84">
        <f>D1011</f>
        <v>4.37</v>
      </c>
      <c r="E1058" s="84">
        <v>70</v>
      </c>
      <c r="F1058" s="84">
        <f t="shared" si="128"/>
        <v>305.9</v>
      </c>
    </row>
    <row r="1059" ht="15" customHeight="1" spans="1:6">
      <c r="A1059" s="57"/>
      <c r="B1059" s="57" t="s">
        <v>1163</v>
      </c>
      <c r="C1059" s="59" t="s">
        <v>423</v>
      </c>
      <c r="D1059" s="84">
        <f>SUM(F1051:F1058)</f>
        <v>21966.21937325</v>
      </c>
      <c r="E1059" s="84">
        <v>2</v>
      </c>
      <c r="F1059" s="84">
        <f>D1059*E1059/100</f>
        <v>439.324387465</v>
      </c>
    </row>
    <row r="1060" ht="15" customHeight="1" spans="1:6">
      <c r="A1060" s="57">
        <v>3</v>
      </c>
      <c r="B1060" s="57" t="s">
        <v>1171</v>
      </c>
      <c r="C1060" s="57"/>
      <c r="D1060" s="84"/>
      <c r="E1060" s="84"/>
      <c r="F1060" s="84">
        <f>SUM(F1061:F1066)</f>
        <v>795.063986867172</v>
      </c>
    </row>
    <row r="1061" ht="15" customHeight="1" spans="1:6">
      <c r="A1061" s="57"/>
      <c r="B1061" s="57" t="s">
        <v>1280</v>
      </c>
      <c r="C1061" s="57" t="s">
        <v>988</v>
      </c>
      <c r="D1061" s="84">
        <f>D1014</f>
        <v>49.389824491424</v>
      </c>
      <c r="E1061" s="84">
        <v>0.29</v>
      </c>
      <c r="F1061" s="84">
        <f t="shared" ref="F1061:F1065" si="129">D1061*E1061</f>
        <v>14.323049102513</v>
      </c>
    </row>
    <row r="1062" ht="15" customHeight="1" spans="1:6">
      <c r="A1062" s="57"/>
      <c r="B1062" s="57" t="s">
        <v>1282</v>
      </c>
      <c r="C1062" s="57" t="s">
        <v>988</v>
      </c>
      <c r="D1062" s="84">
        <f t="shared" ref="D1062:D1065" si="130">D1016</f>
        <v>8.0471858795373</v>
      </c>
      <c r="E1062" s="204">
        <v>8.59</v>
      </c>
      <c r="F1062" s="84">
        <f t="shared" si="129"/>
        <v>69.1253267052254</v>
      </c>
    </row>
    <row r="1063" ht="15" customHeight="1" spans="1:6">
      <c r="A1063" s="57"/>
      <c r="B1063" s="57" t="s">
        <v>1283</v>
      </c>
      <c r="C1063" s="57" t="s">
        <v>988</v>
      </c>
      <c r="D1063" s="84">
        <f t="shared" si="130"/>
        <v>23.7459521340247</v>
      </c>
      <c r="E1063" s="84">
        <v>18.54</v>
      </c>
      <c r="F1063" s="84">
        <f t="shared" si="129"/>
        <v>440.249952564819</v>
      </c>
    </row>
    <row r="1064" ht="15" customHeight="1" spans="1:6">
      <c r="A1064" s="57"/>
      <c r="B1064" s="57" t="s">
        <v>1297</v>
      </c>
      <c r="C1064" s="57" t="s">
        <v>988</v>
      </c>
      <c r="D1064" s="84">
        <f t="shared" si="130"/>
        <v>2.37852772237734</v>
      </c>
      <c r="E1064" s="84">
        <v>30</v>
      </c>
      <c r="F1064" s="84">
        <f t="shared" si="129"/>
        <v>71.3558316713202</v>
      </c>
    </row>
    <row r="1065" ht="15" customHeight="1" spans="1:6">
      <c r="A1065" s="57"/>
      <c r="B1065" s="57" t="s">
        <v>1190</v>
      </c>
      <c r="C1065" s="57" t="s">
        <v>988</v>
      </c>
      <c r="D1065" s="84">
        <f t="shared" si="130"/>
        <v>0.813242919824491</v>
      </c>
      <c r="E1065" s="84">
        <v>83</v>
      </c>
      <c r="F1065" s="84">
        <f t="shared" si="129"/>
        <v>67.4991623454328</v>
      </c>
    </row>
    <row r="1066" ht="15" customHeight="1" spans="1:6">
      <c r="A1066" s="57"/>
      <c r="B1066" s="57" t="s">
        <v>1223</v>
      </c>
      <c r="C1066" s="59" t="s">
        <v>423</v>
      </c>
      <c r="D1066" s="84">
        <f>SUM(F1061:F1065)</f>
        <v>662.55332238931</v>
      </c>
      <c r="E1066" s="196">
        <v>20</v>
      </c>
      <c r="F1066" s="84">
        <f>D1066*E1066/100</f>
        <v>132.510664477862</v>
      </c>
    </row>
    <row r="1067" ht="15" customHeight="1" spans="1:6">
      <c r="A1067" s="55">
        <v>4</v>
      </c>
      <c r="B1067" s="55" t="s">
        <v>1285</v>
      </c>
      <c r="C1067" s="253"/>
      <c r="D1067" s="254"/>
      <c r="E1067" s="254"/>
      <c r="F1067" s="254">
        <f>SUM(F1068:F1069)</f>
        <v>1986.41142067271</v>
      </c>
    </row>
    <row r="1068" ht="15" customHeight="1" spans="1:6">
      <c r="A1068" s="57"/>
      <c r="B1068" s="245" t="s">
        <v>1286</v>
      </c>
      <c r="C1068" s="245" t="s">
        <v>1188</v>
      </c>
      <c r="D1068" s="246">
        <f>$F$2253/100</f>
        <v>5.03319379720782</v>
      </c>
      <c r="E1068" s="246">
        <v>103</v>
      </c>
      <c r="F1068" s="84">
        <f>D1068*E1068</f>
        <v>518.418961112405</v>
      </c>
    </row>
    <row r="1069" ht="15" customHeight="1" spans="1:6">
      <c r="A1069" s="57"/>
      <c r="B1069" s="245" t="s">
        <v>1287</v>
      </c>
      <c r="C1069" s="245" t="s">
        <v>1188</v>
      </c>
      <c r="D1069" s="246">
        <f>$F$2271/100</f>
        <v>14.2523539763136</v>
      </c>
      <c r="E1069" s="246">
        <v>103</v>
      </c>
      <c r="F1069" s="84">
        <f>D1069*E1069</f>
        <v>1467.99245956031</v>
      </c>
    </row>
    <row r="1070" ht="15" customHeight="1" spans="1:6">
      <c r="A1070" s="57" t="s">
        <v>70</v>
      </c>
      <c r="B1070" s="57" t="s">
        <v>977</v>
      </c>
      <c r="C1070" s="194">
        <f>取费表!$C$7</f>
        <v>0.048</v>
      </c>
      <c r="D1070" s="246"/>
      <c r="E1070" s="246">
        <f>F1046</f>
        <v>35502.6651682549</v>
      </c>
      <c r="F1070" s="84">
        <f t="shared" ref="F1070:F1073" si="131">E1070*C1070</f>
        <v>1704.12792807623</v>
      </c>
    </row>
    <row r="1071" ht="15" customHeight="1" spans="1:6">
      <c r="A1071" s="57"/>
      <c r="B1071" s="57"/>
      <c r="C1071" s="194"/>
      <c r="D1071" s="246"/>
      <c r="E1071" s="246"/>
      <c r="F1071" s="84"/>
    </row>
    <row r="1072" ht="15" customHeight="1" spans="1:6">
      <c r="A1072" s="57" t="s">
        <v>979</v>
      </c>
      <c r="B1072" s="57" t="s">
        <v>973</v>
      </c>
      <c r="C1072" s="194">
        <f>取费表!$E$7</f>
        <v>0.07</v>
      </c>
      <c r="D1072" s="246"/>
      <c r="E1072" s="246">
        <f>F1045</f>
        <v>37206.7930963311</v>
      </c>
      <c r="F1072" s="84">
        <f t="shared" si="131"/>
        <v>2604.47551674318</v>
      </c>
    </row>
    <row r="1073" ht="15" customHeight="1" spans="1:6">
      <c r="A1073" s="57" t="s">
        <v>162</v>
      </c>
      <c r="B1073" s="57" t="s">
        <v>980</v>
      </c>
      <c r="C1073" s="194">
        <f>取费表!$F$7</f>
        <v>0.07</v>
      </c>
      <c r="D1073" s="246"/>
      <c r="E1073" s="246">
        <f>F1072+F1045</f>
        <v>39811.2686130743</v>
      </c>
      <c r="F1073" s="84">
        <f t="shared" si="131"/>
        <v>2786.7888029152</v>
      </c>
    </row>
    <row r="1074" ht="15" customHeight="1" spans="1:6">
      <c r="A1074" s="55" t="s">
        <v>214</v>
      </c>
      <c r="B1074" s="55" t="s">
        <v>1173</v>
      </c>
      <c r="C1074" s="253"/>
      <c r="D1074" s="254"/>
      <c r="E1074" s="55"/>
      <c r="F1074" s="255">
        <f>F1075+F1080</f>
        <v>9293.41012793235</v>
      </c>
    </row>
    <row r="1075" ht="15" customHeight="1" spans="1:6">
      <c r="A1075" s="57">
        <v>1</v>
      </c>
      <c r="B1075" s="57" t="s">
        <v>1288</v>
      </c>
      <c r="C1075" s="59"/>
      <c r="D1075" s="84"/>
      <c r="E1075" s="57"/>
      <c r="F1075" s="113">
        <f>SUM(F1076:F1079)</f>
        <v>9280.41232793235</v>
      </c>
    </row>
    <row r="1076" ht="15" customHeight="1" spans="1:6">
      <c r="A1076" s="57"/>
      <c r="B1076" s="57"/>
      <c r="C1076" s="57"/>
      <c r="D1076" s="84"/>
      <c r="E1076" s="84"/>
      <c r="F1076" s="113"/>
    </row>
    <row r="1077" ht="15" customHeight="1" spans="1:6">
      <c r="A1077" s="57"/>
      <c r="B1077" s="57" t="s">
        <v>1141</v>
      </c>
      <c r="C1077" s="57" t="s">
        <v>69</v>
      </c>
      <c r="D1077" s="84">
        <f>D937</f>
        <v>156.64017</v>
      </c>
      <c r="E1077" s="84">
        <f>E1057*配合比!E8</f>
        <v>31.641291</v>
      </c>
      <c r="F1077" s="113">
        <f t="shared" ref="F1077:F1079" si="132">D1077*E1077</f>
        <v>4956.29720125947</v>
      </c>
    </row>
    <row r="1078" ht="15" customHeight="1" spans="1:6">
      <c r="A1078" s="57"/>
      <c r="B1078" s="57" t="s">
        <v>1142</v>
      </c>
      <c r="C1078" s="57" t="s">
        <v>1188</v>
      </c>
      <c r="D1078" s="84">
        <f t="shared" ref="D1078:D1082" si="133">D1032</f>
        <v>44.826214</v>
      </c>
      <c r="E1078" s="84">
        <f>E1057*配合比!G8</f>
        <v>56.62734</v>
      </c>
      <c r="F1078" s="113">
        <f t="shared" si="132"/>
        <v>2538.38926109076</v>
      </c>
    </row>
    <row r="1079" ht="15" customHeight="1" spans="1:6">
      <c r="A1079" s="57"/>
      <c r="B1079" s="57" t="s">
        <v>1110</v>
      </c>
      <c r="C1079" s="57" t="s">
        <v>1188</v>
      </c>
      <c r="D1079" s="84">
        <f t="shared" si="133"/>
        <v>20.60443</v>
      </c>
      <c r="E1079" s="84">
        <f>E1057*配合比!I8</f>
        <v>86.667084</v>
      </c>
      <c r="F1079" s="113">
        <f t="shared" si="132"/>
        <v>1785.72586558212</v>
      </c>
    </row>
    <row r="1080" ht="15" customHeight="1" spans="1:6">
      <c r="A1080" s="57">
        <v>2</v>
      </c>
      <c r="B1080" s="57" t="s">
        <v>1289</v>
      </c>
      <c r="C1080" s="57"/>
      <c r="D1080" s="84"/>
      <c r="E1080" s="88"/>
      <c r="F1080" s="113">
        <f>SUM(F1081:F1082)</f>
        <v>12.9978</v>
      </c>
    </row>
    <row r="1081" ht="15" customHeight="1" spans="1:6">
      <c r="A1081" s="57"/>
      <c r="B1081" s="57" t="s">
        <v>1290</v>
      </c>
      <c r="C1081" s="57" t="s">
        <v>184</v>
      </c>
      <c r="D1081" s="84">
        <f t="shared" si="133"/>
        <v>6.225</v>
      </c>
      <c r="E1081" s="88">
        <f>(E1061*7.2)</f>
        <v>2.088</v>
      </c>
      <c r="F1081" s="113">
        <f>D1081*E1081</f>
        <v>12.9978</v>
      </c>
    </row>
    <row r="1082" ht="15" customHeight="1" spans="1:6">
      <c r="A1082" s="57"/>
      <c r="B1082" s="57" t="s">
        <v>1174</v>
      </c>
      <c r="C1082" s="57" t="s">
        <v>184</v>
      </c>
      <c r="D1082" s="84">
        <f t="shared" si="133"/>
        <v>4.86</v>
      </c>
      <c r="E1082" s="88"/>
      <c r="F1082" s="113">
        <f>D1082*E1082</f>
        <v>0</v>
      </c>
    </row>
    <row r="1083" ht="15" customHeight="1" spans="1:6">
      <c r="A1083" s="57" t="s">
        <v>327</v>
      </c>
      <c r="B1083" s="57" t="s">
        <v>976</v>
      </c>
      <c r="C1083" s="195">
        <f>C1037</f>
        <v>0.09</v>
      </c>
      <c r="D1083" s="84"/>
      <c r="E1083" s="84">
        <f>F1074+F1073+F1072+F1045</f>
        <v>51891.4675439218</v>
      </c>
      <c r="F1083" s="84">
        <f>E1083*C1083</f>
        <v>4670.23207895296</v>
      </c>
    </row>
    <row r="1084" ht="15" customHeight="1" spans="1:6">
      <c r="A1084" s="57"/>
      <c r="B1084" s="57" t="s">
        <v>984</v>
      </c>
      <c r="C1084" s="195"/>
      <c r="D1084" s="84"/>
      <c r="E1084" s="84"/>
      <c r="F1084" s="84">
        <f>(F1045+F1072+F1073+F1074+F1083)*取费表!H4</f>
        <v>1696.85098868624</v>
      </c>
    </row>
    <row r="1085" ht="15" customHeight="1" spans="1:6">
      <c r="A1085" s="57"/>
      <c r="B1085" s="57" t="s">
        <v>278</v>
      </c>
      <c r="C1085" s="57"/>
      <c r="D1085" s="84"/>
      <c r="E1085" s="84"/>
      <c r="F1085" s="84">
        <f>F1083+E1083+F1084</f>
        <v>58258.550611561</v>
      </c>
    </row>
    <row r="1086" ht="15" customHeight="1" spans="1:6">
      <c r="A1086" s="312" t="s">
        <v>1155</v>
      </c>
      <c r="B1086" s="312"/>
      <c r="C1086" s="312"/>
      <c r="D1086" s="312"/>
      <c r="E1086" s="312"/>
      <c r="F1086" s="312"/>
    </row>
    <row r="1087" ht="15" customHeight="1" spans="1:6">
      <c r="A1087" s="242" t="s">
        <v>1314</v>
      </c>
      <c r="C1087" s="243"/>
      <c r="D1087" s="243"/>
      <c r="E1087" s="243"/>
      <c r="F1087" s="243"/>
    </row>
    <row r="1088" ht="15" customHeight="1" spans="1:6">
      <c r="A1088" s="191" t="s">
        <v>1313</v>
      </c>
      <c r="B1088" s="191"/>
      <c r="C1088" s="168"/>
      <c r="D1088" s="168"/>
      <c r="E1088" s="191" t="s">
        <v>1159</v>
      </c>
      <c r="F1088" s="191"/>
    </row>
    <row r="1089" ht="15" customHeight="1" spans="1:6">
      <c r="A1089" s="117" t="s">
        <v>1218</v>
      </c>
      <c r="B1089" s="192"/>
      <c r="C1089" s="192"/>
      <c r="D1089" s="192"/>
      <c r="E1089" s="192"/>
      <c r="F1089" s="118"/>
    </row>
    <row r="1090" ht="15" customHeight="1" spans="1:6">
      <c r="A1090" s="57" t="s">
        <v>354</v>
      </c>
      <c r="B1090" s="57" t="s">
        <v>956</v>
      </c>
      <c r="C1090" s="57" t="s">
        <v>52</v>
      </c>
      <c r="D1090" s="57" t="s">
        <v>855</v>
      </c>
      <c r="E1090" s="57" t="s">
        <v>53</v>
      </c>
      <c r="F1090" s="57" t="s">
        <v>306</v>
      </c>
    </row>
    <row r="1091" ht="15" customHeight="1" spans="1:6">
      <c r="A1091" s="57" t="s">
        <v>959</v>
      </c>
      <c r="B1091" s="57" t="s">
        <v>960</v>
      </c>
      <c r="C1091" s="57"/>
      <c r="D1091" s="57"/>
      <c r="E1091" s="57"/>
      <c r="F1091" s="84">
        <f>F1092+F1116+F1117</f>
        <v>35044.6336947311</v>
      </c>
    </row>
    <row r="1092" ht="15" customHeight="1" spans="1:6">
      <c r="A1092" s="57" t="s">
        <v>59</v>
      </c>
      <c r="B1092" s="57" t="s">
        <v>957</v>
      </c>
      <c r="C1092" s="57"/>
      <c r="D1092" s="57"/>
      <c r="E1092" s="57"/>
      <c r="F1092" s="84">
        <f>F1093+F1096+F1106+F1113</f>
        <v>33439.5359682549</v>
      </c>
    </row>
    <row r="1093" ht="15" customHeight="1" spans="1:6">
      <c r="A1093" s="57">
        <v>1</v>
      </c>
      <c r="B1093" s="57" t="s">
        <v>964</v>
      </c>
      <c r="C1093" s="57" t="s">
        <v>965</v>
      </c>
      <c r="D1093" s="84"/>
      <c r="E1093" s="92">
        <f>SUM(E1094:E1095)</f>
        <v>1106</v>
      </c>
      <c r="F1093" s="113">
        <f>SUM(F1094:F1095)</f>
        <v>8252.5168</v>
      </c>
    </row>
    <row r="1094" ht="15" customHeight="1" spans="1:6">
      <c r="A1094" s="57"/>
      <c r="B1094" s="57" t="s">
        <v>966</v>
      </c>
      <c r="C1094" s="57" t="s">
        <v>965</v>
      </c>
      <c r="D1094" s="113">
        <f>D1048</f>
        <v>8.1</v>
      </c>
      <c r="E1094" s="92">
        <f>1003.7*0.8</f>
        <v>802.96</v>
      </c>
      <c r="F1094" s="113">
        <f>D1094*E1094</f>
        <v>6503.976</v>
      </c>
    </row>
    <row r="1095" ht="15" customHeight="1" spans="1:6">
      <c r="A1095" s="57"/>
      <c r="B1095" s="57" t="s">
        <v>968</v>
      </c>
      <c r="C1095" s="57" t="s">
        <v>965</v>
      </c>
      <c r="D1095" s="113">
        <f t="shared" ref="D1095:D1104" si="134">D1049</f>
        <v>5.77</v>
      </c>
      <c r="E1095" s="92">
        <f>378.8*0.8</f>
        <v>303.04</v>
      </c>
      <c r="F1095" s="113">
        <f>D1095*E1095</f>
        <v>1748.5408</v>
      </c>
    </row>
    <row r="1096" ht="15" customHeight="1" spans="1:6">
      <c r="A1096" s="57">
        <v>2</v>
      </c>
      <c r="B1096" s="57" t="s">
        <v>1219</v>
      </c>
      <c r="C1096" s="57"/>
      <c r="D1096" s="113"/>
      <c r="E1096" s="84"/>
      <c r="F1096" s="84">
        <f>SUM(F1097:F1105)</f>
        <v>22405.543760715</v>
      </c>
    </row>
    <row r="1097" ht="15" customHeight="1" spans="1:6">
      <c r="A1097" s="57"/>
      <c r="B1097" s="244" t="s">
        <v>1272</v>
      </c>
      <c r="C1097" s="244" t="s">
        <v>1188</v>
      </c>
      <c r="D1097" s="113">
        <f t="shared" si="134"/>
        <v>2232.665025</v>
      </c>
      <c r="E1097" s="84">
        <v>0.71</v>
      </c>
      <c r="F1097" s="84">
        <f t="shared" ref="F1097:F1104" si="135">D1097*E1097</f>
        <v>1585.19216775</v>
      </c>
    </row>
    <row r="1098" ht="15" customHeight="1" spans="1:6">
      <c r="A1098" s="57"/>
      <c r="B1098" s="244" t="s">
        <v>1273</v>
      </c>
      <c r="C1098" s="244" t="s">
        <v>184</v>
      </c>
      <c r="D1098" s="113">
        <f t="shared" si="134"/>
        <v>4.44</v>
      </c>
      <c r="E1098" s="84">
        <v>68.86</v>
      </c>
      <c r="F1098" s="84">
        <f t="shared" si="135"/>
        <v>305.7384</v>
      </c>
    </row>
    <row r="1099" ht="15" customHeight="1" spans="1:6">
      <c r="A1099" s="57"/>
      <c r="B1099" s="244" t="s">
        <v>1274</v>
      </c>
      <c r="C1099" s="244" t="s">
        <v>184</v>
      </c>
      <c r="D1099" s="113">
        <f t="shared" si="134"/>
        <v>4.5</v>
      </c>
      <c r="E1099" s="84">
        <v>36.77</v>
      </c>
      <c r="F1099" s="84">
        <f t="shared" si="135"/>
        <v>165.465</v>
      </c>
    </row>
    <row r="1100" ht="15" customHeight="1" spans="1:6">
      <c r="A1100" s="57"/>
      <c r="B1100" s="244" t="s">
        <v>1275</v>
      </c>
      <c r="C1100" s="244" t="s">
        <v>184</v>
      </c>
      <c r="D1100" s="113">
        <f t="shared" si="134"/>
        <v>5.15</v>
      </c>
      <c r="E1100" s="84">
        <v>30.87</v>
      </c>
      <c r="F1100" s="84">
        <f t="shared" si="135"/>
        <v>158.9805</v>
      </c>
    </row>
    <row r="1101" ht="15" customHeight="1" spans="1:6">
      <c r="A1101" s="57"/>
      <c r="B1101" s="244" t="s">
        <v>1276</v>
      </c>
      <c r="C1101" s="244" t="s">
        <v>184</v>
      </c>
      <c r="D1101" s="113">
        <f t="shared" si="134"/>
        <v>4.5</v>
      </c>
      <c r="E1101" s="84">
        <v>273.78</v>
      </c>
      <c r="F1101" s="84">
        <f t="shared" si="135"/>
        <v>1232.01</v>
      </c>
    </row>
    <row r="1102" ht="15" customHeight="1" spans="1:6">
      <c r="A1102" s="57"/>
      <c r="B1102" s="244" t="s">
        <v>1278</v>
      </c>
      <c r="C1102" s="244" t="s">
        <v>184</v>
      </c>
      <c r="D1102" s="113">
        <f t="shared" si="134"/>
        <v>5.97</v>
      </c>
      <c r="E1102" s="84">
        <v>5.75</v>
      </c>
      <c r="F1102" s="84">
        <f t="shared" si="135"/>
        <v>34.3275</v>
      </c>
    </row>
    <row r="1103" ht="15" customHeight="1" spans="1:6">
      <c r="A1103" s="57"/>
      <c r="B1103" s="57" t="s">
        <v>1279</v>
      </c>
      <c r="C1103" s="57" t="s">
        <v>1188</v>
      </c>
      <c r="D1103" s="113">
        <f t="shared" si="134"/>
        <v>176.4913185</v>
      </c>
      <c r="E1103" s="84">
        <v>103</v>
      </c>
      <c r="F1103" s="84">
        <f t="shared" si="135"/>
        <v>18178.6058055</v>
      </c>
    </row>
    <row r="1104" ht="15" customHeight="1" spans="1:6">
      <c r="A1104" s="57"/>
      <c r="B1104" s="57" t="s">
        <v>1022</v>
      </c>
      <c r="C1104" s="57" t="s">
        <v>1188</v>
      </c>
      <c r="D1104" s="113">
        <f t="shared" si="134"/>
        <v>4.37</v>
      </c>
      <c r="E1104" s="84">
        <v>70</v>
      </c>
      <c r="F1104" s="84">
        <f t="shared" si="135"/>
        <v>305.9</v>
      </c>
    </row>
    <row r="1105" ht="15" customHeight="1" spans="1:6">
      <c r="A1105" s="57"/>
      <c r="B1105" s="57" t="s">
        <v>1163</v>
      </c>
      <c r="C1105" s="59" t="s">
        <v>423</v>
      </c>
      <c r="D1105" s="84">
        <f>SUM(F1097:F1104)</f>
        <v>21966.21937325</v>
      </c>
      <c r="E1105" s="84">
        <v>2</v>
      </c>
      <c r="F1105" s="84">
        <f>D1105*E1105/100</f>
        <v>439.324387465</v>
      </c>
    </row>
    <row r="1106" ht="15" customHeight="1" spans="1:6">
      <c r="A1106" s="57">
        <v>3</v>
      </c>
      <c r="B1106" s="57" t="s">
        <v>1171</v>
      </c>
      <c r="C1106" s="57"/>
      <c r="D1106" s="84"/>
      <c r="E1106" s="84"/>
      <c r="F1106" s="84">
        <f>SUM(F1107:F1112)</f>
        <v>795.063986867172</v>
      </c>
    </row>
    <row r="1107" ht="15" customHeight="1" spans="1:6">
      <c r="A1107" s="57"/>
      <c r="B1107" s="57" t="s">
        <v>1280</v>
      </c>
      <c r="C1107" s="57" t="s">
        <v>988</v>
      </c>
      <c r="D1107" s="84">
        <f t="shared" ref="D1107:D1111" si="136">D1061</f>
        <v>49.389824491424</v>
      </c>
      <c r="E1107" s="84">
        <v>0.29</v>
      </c>
      <c r="F1107" s="84">
        <f t="shared" ref="F1107:F1111" si="137">D1107*E1107</f>
        <v>14.323049102513</v>
      </c>
    </row>
    <row r="1108" ht="15" customHeight="1" spans="1:6">
      <c r="A1108" s="57"/>
      <c r="B1108" s="57" t="s">
        <v>1282</v>
      </c>
      <c r="C1108" s="57" t="s">
        <v>988</v>
      </c>
      <c r="D1108" s="84">
        <f t="shared" si="136"/>
        <v>8.0471858795373</v>
      </c>
      <c r="E1108" s="204">
        <v>8.59</v>
      </c>
      <c r="F1108" s="84">
        <f t="shared" si="137"/>
        <v>69.1253267052254</v>
      </c>
    </row>
    <row r="1109" ht="15" customHeight="1" spans="1:6">
      <c r="A1109" s="57"/>
      <c r="B1109" s="57" t="s">
        <v>1283</v>
      </c>
      <c r="C1109" s="57" t="s">
        <v>988</v>
      </c>
      <c r="D1109" s="84">
        <f t="shared" si="136"/>
        <v>23.7459521340247</v>
      </c>
      <c r="E1109" s="84">
        <v>18.54</v>
      </c>
      <c r="F1109" s="84">
        <f t="shared" si="137"/>
        <v>440.249952564819</v>
      </c>
    </row>
    <row r="1110" ht="15" customHeight="1" spans="1:6">
      <c r="A1110" s="57"/>
      <c r="B1110" s="57" t="s">
        <v>1297</v>
      </c>
      <c r="C1110" s="57" t="s">
        <v>988</v>
      </c>
      <c r="D1110" s="84">
        <f t="shared" si="136"/>
        <v>2.37852772237734</v>
      </c>
      <c r="E1110" s="84">
        <v>30</v>
      </c>
      <c r="F1110" s="84">
        <f t="shared" si="137"/>
        <v>71.3558316713202</v>
      </c>
    </row>
    <row r="1111" ht="15" customHeight="1" spans="1:6">
      <c r="A1111" s="57"/>
      <c r="B1111" s="57" t="s">
        <v>1190</v>
      </c>
      <c r="C1111" s="57" t="s">
        <v>988</v>
      </c>
      <c r="D1111" s="84">
        <f t="shared" si="136"/>
        <v>0.813242919824491</v>
      </c>
      <c r="E1111" s="84">
        <v>83</v>
      </c>
      <c r="F1111" s="84">
        <f t="shared" si="137"/>
        <v>67.4991623454328</v>
      </c>
    </row>
    <row r="1112" ht="15" customHeight="1" spans="1:6">
      <c r="A1112" s="57"/>
      <c r="B1112" s="57" t="s">
        <v>1223</v>
      </c>
      <c r="C1112" s="59" t="s">
        <v>423</v>
      </c>
      <c r="D1112" s="84">
        <f>SUM(F1107:F1111)</f>
        <v>662.55332238931</v>
      </c>
      <c r="E1112" s="196">
        <v>20</v>
      </c>
      <c r="F1112" s="84">
        <f>D1112*E1112/100</f>
        <v>132.510664477862</v>
      </c>
    </row>
    <row r="1113" ht="15" customHeight="1" spans="1:6">
      <c r="A1113" s="55">
        <v>4</v>
      </c>
      <c r="B1113" s="55" t="s">
        <v>1285</v>
      </c>
      <c r="C1113" s="253"/>
      <c r="D1113" s="254"/>
      <c r="E1113" s="254"/>
      <c r="F1113" s="254">
        <f>SUM(F1114:F1115)</f>
        <v>1986.41142067271</v>
      </c>
    </row>
    <row r="1114" ht="15" customHeight="1" spans="1:6">
      <c r="A1114" s="57"/>
      <c r="B1114" s="245" t="s">
        <v>1286</v>
      </c>
      <c r="C1114" s="245" t="s">
        <v>1188</v>
      </c>
      <c r="D1114" s="246">
        <f>$F$2253/100</f>
        <v>5.03319379720782</v>
      </c>
      <c r="E1114" s="246">
        <v>103</v>
      </c>
      <c r="F1114" s="84">
        <f>D1114*E1114</f>
        <v>518.418961112405</v>
      </c>
    </row>
    <row r="1115" ht="15" customHeight="1" spans="1:6">
      <c r="A1115" s="57"/>
      <c r="B1115" s="245" t="s">
        <v>1287</v>
      </c>
      <c r="C1115" s="245" t="s">
        <v>1188</v>
      </c>
      <c r="D1115" s="246">
        <f>$F$2271/100</f>
        <v>14.2523539763136</v>
      </c>
      <c r="E1115" s="246">
        <v>103</v>
      </c>
      <c r="F1115" s="84">
        <f>D1115*E1115</f>
        <v>1467.99245956031</v>
      </c>
    </row>
    <row r="1116" ht="15" customHeight="1" spans="1:6">
      <c r="A1116" s="57" t="s">
        <v>70</v>
      </c>
      <c r="B1116" s="57" t="s">
        <v>977</v>
      </c>
      <c r="C1116" s="194">
        <f>取费表!$C$7</f>
        <v>0.048</v>
      </c>
      <c r="D1116" s="246"/>
      <c r="E1116" s="246">
        <f>F1092</f>
        <v>33439.5359682549</v>
      </c>
      <c r="F1116" s="84">
        <f t="shared" ref="F1116:F1119" si="138">E1116*C1116</f>
        <v>1605.09772647623</v>
      </c>
    </row>
    <row r="1117" ht="15" customHeight="1" spans="1:6">
      <c r="A1117" s="57"/>
      <c r="B1117" s="57"/>
      <c r="C1117" s="194"/>
      <c r="D1117" s="246"/>
      <c r="E1117" s="246"/>
      <c r="F1117" s="84"/>
    </row>
    <row r="1118" ht="15" customHeight="1" spans="1:6">
      <c r="A1118" s="57" t="s">
        <v>979</v>
      </c>
      <c r="B1118" s="57" t="s">
        <v>973</v>
      </c>
      <c r="C1118" s="194">
        <f>取费表!$E$7</f>
        <v>0.07</v>
      </c>
      <c r="D1118" s="246"/>
      <c r="E1118" s="246">
        <f>F1091</f>
        <v>35044.6336947311</v>
      </c>
      <c r="F1118" s="84">
        <f t="shared" si="138"/>
        <v>2453.12435863118</v>
      </c>
    </row>
    <row r="1119" ht="15" customHeight="1" spans="1:6">
      <c r="A1119" s="57" t="s">
        <v>162</v>
      </c>
      <c r="B1119" s="57" t="s">
        <v>980</v>
      </c>
      <c r="C1119" s="194">
        <f>取费表!$F$7</f>
        <v>0.07</v>
      </c>
      <c r="D1119" s="246"/>
      <c r="E1119" s="246">
        <f>F1118+F1091</f>
        <v>37497.7580533623</v>
      </c>
      <c r="F1119" s="84">
        <f t="shared" si="138"/>
        <v>2624.84306373536</v>
      </c>
    </row>
    <row r="1120" ht="15" customHeight="1" spans="1:6">
      <c r="A1120" s="55" t="s">
        <v>214</v>
      </c>
      <c r="B1120" s="55" t="s">
        <v>1173</v>
      </c>
      <c r="C1120" s="253"/>
      <c r="D1120" s="254"/>
      <c r="E1120" s="55"/>
      <c r="F1120" s="255">
        <f>F1121+F1126</f>
        <v>14355.0794728929</v>
      </c>
    </row>
    <row r="1121" ht="15" customHeight="1" spans="1:6">
      <c r="A1121" s="57">
        <v>1</v>
      </c>
      <c r="B1121" s="57" t="s">
        <v>1288</v>
      </c>
      <c r="C1121" s="59"/>
      <c r="D1121" s="84"/>
      <c r="E1121" s="57"/>
      <c r="F1121" s="113">
        <f>SUM(F1122:F1125)</f>
        <v>14342.0816728929</v>
      </c>
    </row>
    <row r="1122" ht="15" customHeight="1" spans="1:6">
      <c r="A1122" s="57"/>
      <c r="B1122" s="57"/>
      <c r="C1122" s="57"/>
      <c r="D1122" s="84"/>
      <c r="E1122" s="84"/>
      <c r="F1122" s="113"/>
    </row>
    <row r="1123" ht="15" customHeight="1" spans="1:6">
      <c r="A1123" s="57"/>
      <c r="B1123" s="57" t="s">
        <v>1106</v>
      </c>
      <c r="C1123" s="57" t="s">
        <v>69</v>
      </c>
      <c r="D1123" s="84">
        <f>材料预算价!K6-材料预算价!L6</f>
        <v>316.61055</v>
      </c>
      <c r="E1123" s="84">
        <f t="shared" ref="E1123:E1125" si="139">E1077</f>
        <v>31.641291</v>
      </c>
      <c r="F1123" s="113">
        <f t="shared" ref="F1123:F1125" si="140">D1123*E1123</f>
        <v>10017.9665462201</v>
      </c>
    </row>
    <row r="1124" ht="15" customHeight="1" spans="1:6">
      <c r="A1124" s="57"/>
      <c r="B1124" s="57" t="s">
        <v>1142</v>
      </c>
      <c r="C1124" s="57" t="s">
        <v>1188</v>
      </c>
      <c r="D1124" s="84">
        <f t="shared" ref="D1124:D1128" si="141">D1078</f>
        <v>44.826214</v>
      </c>
      <c r="E1124" s="84">
        <f t="shared" si="139"/>
        <v>56.62734</v>
      </c>
      <c r="F1124" s="113">
        <f t="shared" si="140"/>
        <v>2538.38926109076</v>
      </c>
    </row>
    <row r="1125" ht="15" customHeight="1" spans="1:6">
      <c r="A1125" s="57"/>
      <c r="B1125" s="57" t="s">
        <v>1110</v>
      </c>
      <c r="C1125" s="57" t="s">
        <v>1188</v>
      </c>
      <c r="D1125" s="84">
        <f t="shared" si="141"/>
        <v>20.60443</v>
      </c>
      <c r="E1125" s="84">
        <f t="shared" si="139"/>
        <v>86.667084</v>
      </c>
      <c r="F1125" s="113">
        <f t="shared" si="140"/>
        <v>1785.72586558212</v>
      </c>
    </row>
    <row r="1126" ht="15" customHeight="1" spans="1:6">
      <c r="A1126" s="57">
        <v>2</v>
      </c>
      <c r="B1126" s="57" t="s">
        <v>1289</v>
      </c>
      <c r="C1126" s="57"/>
      <c r="D1126" s="84"/>
      <c r="E1126" s="88"/>
      <c r="F1126" s="113">
        <f>SUM(F1127:F1128)</f>
        <v>12.9978</v>
      </c>
    </row>
    <row r="1127" ht="15" customHeight="1" spans="1:6">
      <c r="A1127" s="57"/>
      <c r="B1127" s="57" t="s">
        <v>1290</v>
      </c>
      <c r="C1127" s="57" t="s">
        <v>184</v>
      </c>
      <c r="D1127" s="84">
        <f t="shared" si="141"/>
        <v>6.225</v>
      </c>
      <c r="E1127" s="88">
        <f>(E1107*7.2)</f>
        <v>2.088</v>
      </c>
      <c r="F1127" s="113">
        <f>D1127*E1127</f>
        <v>12.9978</v>
      </c>
    </row>
    <row r="1128" ht="15" customHeight="1" spans="1:6">
      <c r="A1128" s="57"/>
      <c r="B1128" s="57" t="s">
        <v>1174</v>
      </c>
      <c r="C1128" s="57" t="s">
        <v>184</v>
      </c>
      <c r="D1128" s="84">
        <f t="shared" si="141"/>
        <v>4.86</v>
      </c>
      <c r="E1128" s="88"/>
      <c r="F1128" s="113">
        <f>D1128*E1128</f>
        <v>0</v>
      </c>
    </row>
    <row r="1129" ht="15" customHeight="1" spans="1:6">
      <c r="A1129" s="57" t="s">
        <v>327</v>
      </c>
      <c r="B1129" s="57" t="s">
        <v>976</v>
      </c>
      <c r="C1129" s="195">
        <f>C1083</f>
        <v>0.09</v>
      </c>
      <c r="D1129" s="84"/>
      <c r="E1129" s="84">
        <f>F1120+F1119+F1118+F1091</f>
        <v>54477.6805899906</v>
      </c>
      <c r="F1129" s="84">
        <f>E1129*C1129</f>
        <v>4902.99125309915</v>
      </c>
    </row>
    <row r="1130" ht="15" customHeight="1" spans="1:6">
      <c r="A1130" s="57"/>
      <c r="B1130" s="57" t="s">
        <v>984</v>
      </c>
      <c r="C1130" s="195"/>
      <c r="D1130" s="84"/>
      <c r="E1130" s="84"/>
      <c r="F1130" s="84">
        <f>(F1091+F1118+F1119+F1120+F1129)*取费表!H7</f>
        <v>1781.42015529269</v>
      </c>
    </row>
    <row r="1131" ht="15" customHeight="1" spans="1:6">
      <c r="A1131" s="57"/>
      <c r="B1131" s="57" t="s">
        <v>278</v>
      </c>
      <c r="C1131" s="57"/>
      <c r="D1131" s="84"/>
      <c r="E1131" s="84"/>
      <c r="F1131" s="84">
        <f>F1129+E1129+F1130</f>
        <v>61162.0919983824</v>
      </c>
    </row>
    <row r="1132" ht="15" customHeight="1" spans="1:6">
      <c r="A1132" s="312" t="s">
        <v>1155</v>
      </c>
      <c r="B1132" s="312"/>
      <c r="C1132" s="312"/>
      <c r="D1132" s="312"/>
      <c r="E1132" s="312"/>
      <c r="F1132" s="312"/>
    </row>
    <row r="1133" ht="15" customHeight="1" spans="1:6">
      <c r="A1133" s="242" t="s">
        <v>1315</v>
      </c>
      <c r="C1133" s="243"/>
      <c r="D1133" s="243"/>
      <c r="E1133" s="243"/>
      <c r="F1133" s="243"/>
    </row>
    <row r="1134" ht="15" customHeight="1" spans="1:6">
      <c r="A1134" s="191" t="s">
        <v>1313</v>
      </c>
      <c r="B1134" s="191"/>
      <c r="C1134" s="168"/>
      <c r="D1134" s="168"/>
      <c r="E1134" s="191" t="s">
        <v>1159</v>
      </c>
      <c r="F1134" s="191"/>
    </row>
    <row r="1135" ht="15" customHeight="1" spans="1:6">
      <c r="A1135" s="117" t="s">
        <v>1218</v>
      </c>
      <c r="B1135" s="192"/>
      <c r="C1135" s="192"/>
      <c r="D1135" s="192"/>
      <c r="E1135" s="192"/>
      <c r="F1135" s="118"/>
    </row>
    <row r="1136" ht="15" customHeight="1" spans="1:6">
      <c r="A1136" s="57" t="s">
        <v>354</v>
      </c>
      <c r="B1136" s="57" t="s">
        <v>956</v>
      </c>
      <c r="C1136" s="57" t="s">
        <v>52</v>
      </c>
      <c r="D1136" s="57" t="s">
        <v>855</v>
      </c>
      <c r="E1136" s="57" t="s">
        <v>53</v>
      </c>
      <c r="F1136" s="57" t="s">
        <v>306</v>
      </c>
    </row>
    <row r="1137" ht="15" customHeight="1" spans="1:6">
      <c r="A1137" s="57" t="s">
        <v>959</v>
      </c>
      <c r="B1137" s="57" t="s">
        <v>960</v>
      </c>
      <c r="C1137" s="57"/>
      <c r="D1137" s="57"/>
      <c r="E1137" s="57"/>
      <c r="F1137" s="84">
        <f>F1138+F1162+F1163</f>
        <v>35803.7468091215</v>
      </c>
    </row>
    <row r="1138" ht="15" customHeight="1" spans="1:6">
      <c r="A1138" s="57" t="s">
        <v>59</v>
      </c>
      <c r="B1138" s="57" t="s">
        <v>957</v>
      </c>
      <c r="C1138" s="57"/>
      <c r="D1138" s="57"/>
      <c r="E1138" s="57"/>
      <c r="F1138" s="84">
        <f>F1139+F1142+F1152+F1159</f>
        <v>34163.8805430549</v>
      </c>
    </row>
    <row r="1139" ht="15" customHeight="1" spans="1:6">
      <c r="A1139" s="57">
        <v>1</v>
      </c>
      <c r="B1139" s="57" t="s">
        <v>964</v>
      </c>
      <c r="C1139" s="57" t="s">
        <v>965</v>
      </c>
      <c r="D1139" s="84"/>
      <c r="E1139" s="92">
        <f>SUM(E1140:E1141)</f>
        <v>1106</v>
      </c>
      <c r="F1139" s="113">
        <f>SUM(F1140:F1141)</f>
        <v>8252.5168</v>
      </c>
    </row>
    <row r="1140" ht="15" customHeight="1" spans="1:6">
      <c r="A1140" s="57"/>
      <c r="B1140" s="57" t="s">
        <v>966</v>
      </c>
      <c r="C1140" s="57" t="s">
        <v>965</v>
      </c>
      <c r="D1140" s="113">
        <f t="shared" ref="D1140:D1143" si="142">D1048</f>
        <v>8.1</v>
      </c>
      <c r="E1140" s="92">
        <f>1003.7*0.8</f>
        <v>802.96</v>
      </c>
      <c r="F1140" s="113">
        <f>D1140*E1140</f>
        <v>6503.976</v>
      </c>
    </row>
    <row r="1141" ht="15" customHeight="1" spans="1:6">
      <c r="A1141" s="57"/>
      <c r="B1141" s="57" t="s">
        <v>968</v>
      </c>
      <c r="C1141" s="57" t="s">
        <v>965</v>
      </c>
      <c r="D1141" s="113">
        <f t="shared" si="142"/>
        <v>5.77</v>
      </c>
      <c r="E1141" s="92">
        <f>378.8*0.8</f>
        <v>303.04</v>
      </c>
      <c r="F1141" s="113">
        <f>D1141*E1141</f>
        <v>1748.5408</v>
      </c>
    </row>
    <row r="1142" ht="15" customHeight="1" spans="1:6">
      <c r="A1142" s="57">
        <v>2</v>
      </c>
      <c r="B1142" s="57" t="s">
        <v>1219</v>
      </c>
      <c r="C1142" s="57"/>
      <c r="D1142" s="84"/>
      <c r="E1142" s="84"/>
      <c r="F1142" s="84">
        <f>SUM(F1143:F1151)</f>
        <v>23129.888335515</v>
      </c>
    </row>
    <row r="1143" ht="15" customHeight="1" spans="1:6">
      <c r="A1143" s="57"/>
      <c r="B1143" s="244" t="s">
        <v>1272</v>
      </c>
      <c r="C1143" s="244" t="s">
        <v>1188</v>
      </c>
      <c r="D1143" s="84">
        <f t="shared" si="142"/>
        <v>2232.665025</v>
      </c>
      <c r="E1143" s="84">
        <v>0.71</v>
      </c>
      <c r="F1143" s="84">
        <f t="shared" ref="F1143:F1150" si="143">D1143*E1143</f>
        <v>1585.19216775</v>
      </c>
    </row>
    <row r="1144" ht="15" customHeight="1" spans="1:6">
      <c r="A1144" s="57"/>
      <c r="B1144" s="244" t="s">
        <v>1273</v>
      </c>
      <c r="C1144" s="244" t="s">
        <v>184</v>
      </c>
      <c r="D1144" s="84">
        <v>4.44</v>
      </c>
      <c r="E1144" s="84">
        <v>68.86</v>
      </c>
      <c r="F1144" s="84">
        <f t="shared" si="143"/>
        <v>305.7384</v>
      </c>
    </row>
    <row r="1145" ht="15" customHeight="1" spans="1:6">
      <c r="A1145" s="57"/>
      <c r="B1145" s="244" t="s">
        <v>1274</v>
      </c>
      <c r="C1145" s="244" t="s">
        <v>184</v>
      </c>
      <c r="D1145" s="84">
        <v>4.5</v>
      </c>
      <c r="E1145" s="84">
        <v>36.77</v>
      </c>
      <c r="F1145" s="84">
        <f t="shared" si="143"/>
        <v>165.465</v>
      </c>
    </row>
    <row r="1146" ht="15" customHeight="1" spans="1:6">
      <c r="A1146" s="57"/>
      <c r="B1146" s="244" t="s">
        <v>1275</v>
      </c>
      <c r="C1146" s="244" t="s">
        <v>184</v>
      </c>
      <c r="D1146" s="84">
        <v>5.15</v>
      </c>
      <c r="E1146" s="84">
        <v>30.87</v>
      </c>
      <c r="F1146" s="84">
        <f t="shared" si="143"/>
        <v>158.9805</v>
      </c>
    </row>
    <row r="1147" ht="15" customHeight="1" spans="1:6">
      <c r="A1147" s="57"/>
      <c r="B1147" s="244" t="s">
        <v>1276</v>
      </c>
      <c r="C1147" s="244" t="s">
        <v>184</v>
      </c>
      <c r="D1147" s="84">
        <v>4.5</v>
      </c>
      <c r="E1147" s="84">
        <v>273.78</v>
      </c>
      <c r="F1147" s="84">
        <f t="shared" si="143"/>
        <v>1232.01</v>
      </c>
    </row>
    <row r="1148" ht="15" customHeight="1" spans="1:6">
      <c r="A1148" s="57"/>
      <c r="B1148" s="244" t="s">
        <v>1278</v>
      </c>
      <c r="C1148" s="244" t="s">
        <v>184</v>
      </c>
      <c r="D1148" s="84">
        <v>5.97</v>
      </c>
      <c r="E1148" s="84">
        <v>5.75</v>
      </c>
      <c r="F1148" s="84">
        <f t="shared" si="143"/>
        <v>34.3275</v>
      </c>
    </row>
    <row r="1149" ht="15" customHeight="1" spans="1:6">
      <c r="A1149" s="57"/>
      <c r="B1149" s="57" t="s">
        <v>1292</v>
      </c>
      <c r="C1149" s="57" t="s">
        <v>1188</v>
      </c>
      <c r="D1149" s="84">
        <f>配合比!M10</f>
        <v>183.3858985</v>
      </c>
      <c r="E1149" s="84">
        <v>103</v>
      </c>
      <c r="F1149" s="84">
        <f t="shared" si="143"/>
        <v>18888.7475455</v>
      </c>
    </row>
    <row r="1150" ht="15" customHeight="1" spans="1:6">
      <c r="A1150" s="57"/>
      <c r="B1150" s="57" t="s">
        <v>1022</v>
      </c>
      <c r="C1150" s="57" t="s">
        <v>1188</v>
      </c>
      <c r="D1150" s="84">
        <f t="shared" ref="D1150:D1157" si="144">D1058</f>
        <v>4.37</v>
      </c>
      <c r="E1150" s="84">
        <v>70</v>
      </c>
      <c r="F1150" s="84">
        <f t="shared" si="143"/>
        <v>305.9</v>
      </c>
    </row>
    <row r="1151" ht="15" customHeight="1" spans="1:6">
      <c r="A1151" s="57"/>
      <c r="B1151" s="57" t="s">
        <v>1163</v>
      </c>
      <c r="C1151" s="59" t="s">
        <v>423</v>
      </c>
      <c r="D1151" s="84">
        <f>SUM(F1143:F1150)</f>
        <v>22676.36111325</v>
      </c>
      <c r="E1151" s="84">
        <v>2</v>
      </c>
      <c r="F1151" s="84">
        <f>D1151*E1151/100</f>
        <v>453.527222265</v>
      </c>
    </row>
    <row r="1152" ht="15" customHeight="1" spans="1:6">
      <c r="A1152" s="57">
        <v>3</v>
      </c>
      <c r="B1152" s="57" t="s">
        <v>1171</v>
      </c>
      <c r="C1152" s="57"/>
      <c r="D1152" s="84"/>
      <c r="E1152" s="84"/>
      <c r="F1152" s="84">
        <f>SUM(F1153:F1158)</f>
        <v>795.063986867172</v>
      </c>
    </row>
    <row r="1153" ht="15" customHeight="1" spans="1:6">
      <c r="A1153" s="57"/>
      <c r="B1153" s="57" t="s">
        <v>1280</v>
      </c>
      <c r="C1153" s="57" t="s">
        <v>988</v>
      </c>
      <c r="D1153" s="84">
        <f t="shared" si="144"/>
        <v>49.389824491424</v>
      </c>
      <c r="E1153" s="84">
        <v>0.29</v>
      </c>
      <c r="F1153" s="84">
        <f t="shared" ref="F1153:F1157" si="145">D1153*E1153</f>
        <v>14.323049102513</v>
      </c>
    </row>
    <row r="1154" ht="15" customHeight="1" spans="1:6">
      <c r="A1154" s="57"/>
      <c r="B1154" s="57" t="s">
        <v>1282</v>
      </c>
      <c r="C1154" s="57" t="s">
        <v>988</v>
      </c>
      <c r="D1154" s="84">
        <f t="shared" si="144"/>
        <v>8.0471858795373</v>
      </c>
      <c r="E1154" s="204">
        <v>8.59</v>
      </c>
      <c r="F1154" s="84">
        <f t="shared" si="145"/>
        <v>69.1253267052254</v>
      </c>
    </row>
    <row r="1155" ht="15" customHeight="1" spans="1:6">
      <c r="A1155" s="57"/>
      <c r="B1155" s="57" t="s">
        <v>1283</v>
      </c>
      <c r="C1155" s="57" t="s">
        <v>988</v>
      </c>
      <c r="D1155" s="84">
        <f t="shared" si="144"/>
        <v>23.7459521340247</v>
      </c>
      <c r="E1155" s="84">
        <v>18.54</v>
      </c>
      <c r="F1155" s="84">
        <f t="shared" si="145"/>
        <v>440.249952564819</v>
      </c>
    </row>
    <row r="1156" ht="15" customHeight="1" spans="1:6">
      <c r="A1156" s="57"/>
      <c r="B1156" s="57" t="s">
        <v>1297</v>
      </c>
      <c r="C1156" s="57" t="s">
        <v>988</v>
      </c>
      <c r="D1156" s="84">
        <f t="shared" si="144"/>
        <v>2.37852772237734</v>
      </c>
      <c r="E1156" s="84">
        <v>30</v>
      </c>
      <c r="F1156" s="84">
        <f t="shared" si="145"/>
        <v>71.3558316713202</v>
      </c>
    </row>
    <row r="1157" ht="15" customHeight="1" spans="1:6">
      <c r="A1157" s="57"/>
      <c r="B1157" s="57" t="s">
        <v>1190</v>
      </c>
      <c r="C1157" s="57" t="s">
        <v>988</v>
      </c>
      <c r="D1157" s="84">
        <f t="shared" si="144"/>
        <v>0.813242919824491</v>
      </c>
      <c r="E1157" s="84">
        <v>83</v>
      </c>
      <c r="F1157" s="84">
        <f t="shared" si="145"/>
        <v>67.4991623454328</v>
      </c>
    </row>
    <row r="1158" ht="15" customHeight="1" spans="1:6">
      <c r="A1158" s="57"/>
      <c r="B1158" s="57" t="s">
        <v>1223</v>
      </c>
      <c r="C1158" s="59" t="s">
        <v>423</v>
      </c>
      <c r="D1158" s="84">
        <f>SUM(F1153:F1157)</f>
        <v>662.55332238931</v>
      </c>
      <c r="E1158" s="196">
        <v>20</v>
      </c>
      <c r="F1158" s="84">
        <f>D1158*E1158/100</f>
        <v>132.510664477862</v>
      </c>
    </row>
    <row r="1159" ht="15" customHeight="1" spans="1:6">
      <c r="A1159" s="55">
        <v>4</v>
      </c>
      <c r="B1159" s="55" t="s">
        <v>1285</v>
      </c>
      <c r="C1159" s="253"/>
      <c r="D1159" s="254"/>
      <c r="E1159" s="254"/>
      <c r="F1159" s="254">
        <f>SUM(F1160:F1161)</f>
        <v>1986.41142067271</v>
      </c>
    </row>
    <row r="1160" ht="15" customHeight="1" spans="1:6">
      <c r="A1160" s="57"/>
      <c r="B1160" s="245" t="s">
        <v>1286</v>
      </c>
      <c r="C1160" s="245" t="s">
        <v>1188</v>
      </c>
      <c r="D1160" s="246">
        <f>$F$2253/100</f>
        <v>5.03319379720782</v>
      </c>
      <c r="E1160" s="246">
        <v>103</v>
      </c>
      <c r="F1160" s="84">
        <f>D1160*E1160</f>
        <v>518.418961112405</v>
      </c>
    </row>
    <row r="1161" ht="15" customHeight="1" spans="1:6">
      <c r="A1161" s="57"/>
      <c r="B1161" s="245" t="s">
        <v>1287</v>
      </c>
      <c r="C1161" s="245" t="s">
        <v>1188</v>
      </c>
      <c r="D1161" s="246">
        <f>$F$2271/100</f>
        <v>14.2523539763136</v>
      </c>
      <c r="E1161" s="246">
        <v>103</v>
      </c>
      <c r="F1161" s="84">
        <f>D1161*E1161</f>
        <v>1467.99245956031</v>
      </c>
    </row>
    <row r="1162" ht="15" customHeight="1" spans="1:6">
      <c r="A1162" s="57" t="s">
        <v>70</v>
      </c>
      <c r="B1162" s="57" t="s">
        <v>977</v>
      </c>
      <c r="C1162" s="194">
        <f>取费表!$C$7</f>
        <v>0.048</v>
      </c>
      <c r="D1162" s="246"/>
      <c r="E1162" s="246">
        <f>F1138</f>
        <v>34163.8805430549</v>
      </c>
      <c r="F1162" s="84">
        <f t="shared" ref="F1162:F1165" si="146">E1162*C1162</f>
        <v>1639.86626606663</v>
      </c>
    </row>
    <row r="1163" ht="15" customHeight="1" spans="1:6">
      <c r="A1163" s="57"/>
      <c r="B1163" s="57"/>
      <c r="C1163" s="194"/>
      <c r="D1163" s="246"/>
      <c r="E1163" s="246"/>
      <c r="F1163" s="84"/>
    </row>
    <row r="1164" ht="15" customHeight="1" spans="1:6">
      <c r="A1164" s="57" t="s">
        <v>979</v>
      </c>
      <c r="B1164" s="57" t="s">
        <v>973</v>
      </c>
      <c r="C1164" s="194">
        <f>取费表!$E$7</f>
        <v>0.07</v>
      </c>
      <c r="D1164" s="246"/>
      <c r="E1164" s="246">
        <f>F1137</f>
        <v>35803.7468091215</v>
      </c>
      <c r="F1164" s="84">
        <f t="shared" si="146"/>
        <v>2506.26227663851</v>
      </c>
    </row>
    <row r="1165" ht="15" customHeight="1" spans="1:6">
      <c r="A1165" s="57" t="s">
        <v>162</v>
      </c>
      <c r="B1165" s="57" t="s">
        <v>980</v>
      </c>
      <c r="C1165" s="194">
        <f>取费表!$F$7</f>
        <v>0.07</v>
      </c>
      <c r="D1165" s="246"/>
      <c r="E1165" s="246">
        <f>F1164+F1137</f>
        <v>38310.00908576</v>
      </c>
      <c r="F1165" s="84">
        <f t="shared" si="146"/>
        <v>2681.7006360032</v>
      </c>
    </row>
    <row r="1166" ht="15" customHeight="1" spans="1:6">
      <c r="A1166" s="55" t="s">
        <v>214</v>
      </c>
      <c r="B1166" s="55" t="s">
        <v>1173</v>
      </c>
      <c r="C1166" s="253"/>
      <c r="D1166" s="254"/>
      <c r="E1166" s="55"/>
      <c r="F1166" s="255">
        <f>F1167+F1172</f>
        <v>9725.57549560639</v>
      </c>
    </row>
    <row r="1167" ht="15" customHeight="1" spans="1:6">
      <c r="A1167" s="57">
        <v>1</v>
      </c>
      <c r="B1167" s="57" t="s">
        <v>1288</v>
      </c>
      <c r="C1167" s="59"/>
      <c r="D1167" s="84"/>
      <c r="E1167" s="57"/>
      <c r="F1167" s="113">
        <f>SUM(F1168:F1171)</f>
        <v>9712.57769560639</v>
      </c>
    </row>
    <row r="1168" ht="15" customHeight="1" spans="1:6">
      <c r="A1168" s="57"/>
      <c r="B1168" s="57"/>
      <c r="C1168" s="57"/>
      <c r="D1168" s="84"/>
      <c r="E1168" s="84"/>
      <c r="F1168" s="113"/>
    </row>
    <row r="1169" ht="15" customHeight="1" spans="1:6">
      <c r="A1169" s="57"/>
      <c r="B1169" s="57" t="s">
        <v>1141</v>
      </c>
      <c r="C1169" s="57" t="s">
        <v>69</v>
      </c>
      <c r="D1169" s="84">
        <f t="shared" ref="D1169:D1174" si="147">D1077</f>
        <v>156.64017</v>
      </c>
      <c r="E1169" s="84">
        <f>E1149*配合比!E10</f>
        <v>35.035759</v>
      </c>
      <c r="F1169" s="113">
        <f t="shared" ref="F1169:F1171" si="148">D1169*E1169</f>
        <v>5488.00724583903</v>
      </c>
    </row>
    <row r="1170" ht="15" customHeight="1" spans="1:6">
      <c r="A1170" s="57"/>
      <c r="B1170" s="57" t="s">
        <v>1142</v>
      </c>
      <c r="C1170" s="57" t="s">
        <v>1188</v>
      </c>
      <c r="D1170" s="84">
        <f>D1124</f>
        <v>44.826214</v>
      </c>
      <c r="E1170" s="84">
        <f>E1149*配合比!G10</f>
        <v>54.40666</v>
      </c>
      <c r="F1170" s="113">
        <f t="shared" si="148"/>
        <v>2438.84458418524</v>
      </c>
    </row>
    <row r="1171" ht="15" customHeight="1" spans="1:6">
      <c r="A1171" s="57"/>
      <c r="B1171" s="57" t="s">
        <v>1110</v>
      </c>
      <c r="C1171" s="57" t="s">
        <v>1188</v>
      </c>
      <c r="D1171" s="84">
        <f t="shared" si="147"/>
        <v>20.60443</v>
      </c>
      <c r="E1171" s="84">
        <f>E1149*配合比!I10</f>
        <v>86.667084</v>
      </c>
      <c r="F1171" s="113">
        <f t="shared" si="148"/>
        <v>1785.72586558212</v>
      </c>
    </row>
    <row r="1172" ht="15" customHeight="1" spans="1:6">
      <c r="A1172" s="57">
        <v>2</v>
      </c>
      <c r="B1172" s="57" t="s">
        <v>1289</v>
      </c>
      <c r="C1172" s="57"/>
      <c r="D1172" s="84"/>
      <c r="E1172" s="88"/>
      <c r="F1172" s="113">
        <f>SUM(F1173:F1174)</f>
        <v>12.9978</v>
      </c>
    </row>
    <row r="1173" ht="15" customHeight="1" spans="1:6">
      <c r="A1173" s="57"/>
      <c r="B1173" s="57" t="s">
        <v>1290</v>
      </c>
      <c r="C1173" s="57" t="s">
        <v>184</v>
      </c>
      <c r="D1173" s="84">
        <f t="shared" si="147"/>
        <v>6.225</v>
      </c>
      <c r="E1173" s="88">
        <f>(E1153*7.2)</f>
        <v>2.088</v>
      </c>
      <c r="F1173" s="113">
        <f>D1173*E1173</f>
        <v>12.9978</v>
      </c>
    </row>
    <row r="1174" ht="15" customHeight="1" spans="1:6">
      <c r="A1174" s="57"/>
      <c r="B1174" s="57" t="s">
        <v>1174</v>
      </c>
      <c r="C1174" s="57" t="s">
        <v>184</v>
      </c>
      <c r="D1174" s="84">
        <f t="shared" si="147"/>
        <v>4.86</v>
      </c>
      <c r="E1174" s="88"/>
      <c r="F1174" s="113">
        <f>D1174*E1174</f>
        <v>0</v>
      </c>
    </row>
    <row r="1175" ht="15" customHeight="1" spans="1:6">
      <c r="A1175" s="57" t="s">
        <v>327</v>
      </c>
      <c r="B1175" s="57" t="s">
        <v>976</v>
      </c>
      <c r="C1175" s="195">
        <f>C1083</f>
        <v>0.09</v>
      </c>
      <c r="D1175" s="84"/>
      <c r="E1175" s="84">
        <f>F1166+F1165+F1164+F1137</f>
        <v>50717.2852173696</v>
      </c>
      <c r="F1175" s="84">
        <f>E1175*C1175</f>
        <v>4564.55566956326</v>
      </c>
    </row>
    <row r="1176" ht="15" customHeight="1" spans="1:6">
      <c r="A1176" s="57"/>
      <c r="B1176" s="57" t="s">
        <v>984</v>
      </c>
      <c r="C1176" s="195"/>
      <c r="D1176" s="84"/>
      <c r="E1176" s="84"/>
      <c r="F1176" s="84">
        <f>(F1137+F1164+F1165+F1166+F1175)*取费表!H8</f>
        <v>1658.45522660799</v>
      </c>
    </row>
    <row r="1177" ht="15" customHeight="1" spans="1:6">
      <c r="A1177" s="57"/>
      <c r="B1177" s="57" t="s">
        <v>278</v>
      </c>
      <c r="C1177" s="57"/>
      <c r="D1177" s="84"/>
      <c r="E1177" s="84"/>
      <c r="F1177" s="84">
        <f>F1175+E1175+F1176</f>
        <v>56940.2961135408</v>
      </c>
    </row>
    <row r="1178" ht="14.85" customHeight="1" spans="1:6">
      <c r="A1178" s="312" t="s">
        <v>1155</v>
      </c>
      <c r="B1178" s="312"/>
      <c r="C1178" s="312"/>
      <c r="D1178" s="312"/>
      <c r="E1178" s="312"/>
      <c r="F1178" s="312"/>
    </row>
    <row r="1179" ht="17.25" customHeight="1" spans="1:6">
      <c r="A1179" s="242" t="s">
        <v>1316</v>
      </c>
      <c r="C1179" s="243"/>
      <c r="D1179" s="243"/>
      <c r="E1179" s="243"/>
      <c r="F1179" s="243"/>
    </row>
    <row r="1180" ht="14.85" customHeight="1" spans="1:6">
      <c r="A1180" s="191" t="s">
        <v>1317</v>
      </c>
      <c r="B1180" s="191"/>
      <c r="C1180" s="168"/>
      <c r="D1180" s="168"/>
      <c r="E1180" s="191" t="s">
        <v>1159</v>
      </c>
      <c r="F1180" s="191"/>
    </row>
    <row r="1181" ht="15.75" customHeight="1" spans="1:6">
      <c r="A1181" s="117" t="s">
        <v>1218</v>
      </c>
      <c r="B1181" s="192"/>
      <c r="C1181" s="192"/>
      <c r="D1181" s="192"/>
      <c r="E1181" s="192"/>
      <c r="F1181" s="118"/>
    </row>
    <row r="1182" ht="14.85" customHeight="1" spans="1:6">
      <c r="A1182" s="57" t="s">
        <v>354</v>
      </c>
      <c r="B1182" s="57" t="s">
        <v>956</v>
      </c>
      <c r="C1182" s="57" t="s">
        <v>52</v>
      </c>
      <c r="D1182" s="57" t="s">
        <v>855</v>
      </c>
      <c r="E1182" s="57" t="s">
        <v>53</v>
      </c>
      <c r="F1182" s="57" t="s">
        <v>306</v>
      </c>
    </row>
    <row r="1183" ht="14.85" customHeight="1" spans="1:6">
      <c r="A1183" s="57" t="s">
        <v>959</v>
      </c>
      <c r="B1183" s="57" t="s">
        <v>960</v>
      </c>
      <c r="C1183" s="57"/>
      <c r="D1183" s="57"/>
      <c r="E1183" s="57"/>
      <c r="F1183" s="84">
        <f>F1184+F1210+F1211</f>
        <v>27650.5234671562</v>
      </c>
    </row>
    <row r="1184" ht="14.85" customHeight="1" spans="1:6">
      <c r="A1184" s="57" t="s">
        <v>59</v>
      </c>
      <c r="B1184" s="57" t="s">
        <v>957</v>
      </c>
      <c r="C1184" s="57"/>
      <c r="D1184" s="57"/>
      <c r="E1184" s="57"/>
      <c r="F1184" s="84">
        <f>F1185+F1188+F1199+F1207</f>
        <v>26384.0872778208</v>
      </c>
    </row>
    <row r="1185" ht="14.85" customHeight="1" spans="1:6">
      <c r="A1185" s="57">
        <v>1</v>
      </c>
      <c r="B1185" s="57" t="s">
        <v>964</v>
      </c>
      <c r="C1185" s="57" t="s">
        <v>965</v>
      </c>
      <c r="D1185" s="84"/>
      <c r="E1185" s="92">
        <f>SUM(E1186:E1187)</f>
        <v>1000.9</v>
      </c>
      <c r="F1185" s="113">
        <f>SUM(F1186:F1187)</f>
        <v>7221.657</v>
      </c>
    </row>
    <row r="1186" s="307" customFormat="1" ht="14.85" customHeight="1" spans="1:6">
      <c r="A1186" s="57"/>
      <c r="B1186" s="57" t="s">
        <v>966</v>
      </c>
      <c r="C1186" s="57" t="s">
        <v>965</v>
      </c>
      <c r="D1186" s="113">
        <f>D860</f>
        <v>8.1</v>
      </c>
      <c r="E1186" s="92">
        <v>620.8</v>
      </c>
      <c r="F1186" s="113">
        <f>D1186*E1186</f>
        <v>5028.48</v>
      </c>
    </row>
    <row r="1187" s="307" customFormat="1" ht="14.85" customHeight="1" spans="1:6">
      <c r="A1187" s="57"/>
      <c r="B1187" s="57" t="s">
        <v>968</v>
      </c>
      <c r="C1187" s="57" t="s">
        <v>965</v>
      </c>
      <c r="D1187" s="113">
        <f>D861</f>
        <v>5.77</v>
      </c>
      <c r="E1187" s="92">
        <v>380.1</v>
      </c>
      <c r="F1187" s="113">
        <f>D1187*E1187</f>
        <v>2193.177</v>
      </c>
    </row>
    <row r="1188" ht="14.85" customHeight="1" spans="1:6">
      <c r="A1188" s="57">
        <v>2</v>
      </c>
      <c r="B1188" s="57" t="s">
        <v>1219</v>
      </c>
      <c r="C1188" s="57"/>
      <c r="D1188" s="84"/>
      <c r="E1188" s="84"/>
      <c r="F1188" s="84">
        <f>SUM(F1189:F1198)</f>
        <v>16529.8424397383</v>
      </c>
    </row>
    <row r="1189" ht="14.85" customHeight="1" spans="1:6">
      <c r="A1189" s="57"/>
      <c r="B1189" s="244" t="s">
        <v>1272</v>
      </c>
      <c r="C1189" s="244" t="s">
        <v>1188</v>
      </c>
      <c r="D1189" s="84">
        <f>D1143</f>
        <v>2232.665025</v>
      </c>
      <c r="E1189" s="84">
        <v>0.03</v>
      </c>
      <c r="F1189" s="84">
        <f t="shared" ref="F1189:F1197" si="149">D1189*E1189</f>
        <v>66.97995075</v>
      </c>
    </row>
    <row r="1190" ht="14.85" customHeight="1" spans="1:6">
      <c r="A1190" s="57"/>
      <c r="B1190" s="244" t="s">
        <v>1273</v>
      </c>
      <c r="C1190" s="244" t="s">
        <v>184</v>
      </c>
      <c r="D1190" s="84">
        <v>4.44</v>
      </c>
      <c r="E1190" s="84">
        <v>0.98</v>
      </c>
      <c r="F1190" s="84">
        <f t="shared" si="149"/>
        <v>4.3512</v>
      </c>
    </row>
    <row r="1191" ht="14.85" customHeight="1" spans="1:6">
      <c r="A1191" s="57"/>
      <c r="B1191" s="244" t="s">
        <v>1274</v>
      </c>
      <c r="C1191" s="244" t="s">
        <v>184</v>
      </c>
      <c r="D1191" s="84">
        <v>4.5</v>
      </c>
      <c r="E1191" s="84">
        <v>2.34</v>
      </c>
      <c r="F1191" s="84">
        <f t="shared" si="149"/>
        <v>10.53</v>
      </c>
    </row>
    <row r="1192" ht="14.85" customHeight="1" spans="1:6">
      <c r="A1192" s="57"/>
      <c r="B1192" s="244" t="s">
        <v>1275</v>
      </c>
      <c r="C1192" s="244" t="s">
        <v>184</v>
      </c>
      <c r="D1192" s="84">
        <v>5.15</v>
      </c>
      <c r="E1192" s="84">
        <v>3.14</v>
      </c>
      <c r="F1192" s="84">
        <f t="shared" si="149"/>
        <v>16.171</v>
      </c>
    </row>
    <row r="1193" ht="14.85" customHeight="1" spans="1:6">
      <c r="A1193" s="57"/>
      <c r="B1193" s="244" t="s">
        <v>1276</v>
      </c>
      <c r="C1193" s="244" t="s">
        <v>184</v>
      </c>
      <c r="D1193" s="84">
        <v>4.5</v>
      </c>
      <c r="E1193" s="84">
        <v>0.07</v>
      </c>
      <c r="F1193" s="84">
        <f t="shared" si="149"/>
        <v>0.315</v>
      </c>
    </row>
    <row r="1194" ht="14.85" customHeight="1" spans="1:6">
      <c r="A1194" s="57"/>
      <c r="B1194" s="244" t="s">
        <v>1277</v>
      </c>
      <c r="C1194" s="244" t="s">
        <v>184</v>
      </c>
      <c r="D1194" s="84">
        <v>6.39</v>
      </c>
      <c r="E1194" s="84">
        <v>3.65</v>
      </c>
      <c r="F1194" s="84">
        <f t="shared" si="149"/>
        <v>23.3235</v>
      </c>
    </row>
    <row r="1195" ht="14.85" customHeight="1" spans="1:6">
      <c r="A1195" s="57"/>
      <c r="B1195" s="244" t="s">
        <v>1278</v>
      </c>
      <c r="C1195" s="244" t="s">
        <v>184</v>
      </c>
      <c r="D1195" s="84">
        <v>5.97</v>
      </c>
      <c r="E1195" s="84">
        <v>0.08</v>
      </c>
      <c r="F1195" s="84">
        <f t="shared" si="149"/>
        <v>0.4776</v>
      </c>
    </row>
    <row r="1196" ht="14.85" customHeight="1" spans="1:6">
      <c r="A1196" s="57"/>
      <c r="B1196" s="57" t="s">
        <v>1318</v>
      </c>
      <c r="C1196" s="57" t="s">
        <v>1188</v>
      </c>
      <c r="D1196" s="84">
        <f>配合比!M5</f>
        <v>153.4083123</v>
      </c>
      <c r="E1196" s="84">
        <v>103</v>
      </c>
      <c r="F1196" s="84">
        <f t="shared" si="149"/>
        <v>15801.0561669</v>
      </c>
    </row>
    <row r="1197" ht="14.85" customHeight="1" spans="1:6">
      <c r="A1197" s="57"/>
      <c r="B1197" s="57" t="s">
        <v>1022</v>
      </c>
      <c r="C1197" s="57" t="s">
        <v>1188</v>
      </c>
      <c r="D1197" s="84">
        <f>材料预算价!K14</f>
        <v>4.37</v>
      </c>
      <c r="E1197" s="84">
        <v>120</v>
      </c>
      <c r="F1197" s="84">
        <f t="shared" si="149"/>
        <v>524.4</v>
      </c>
    </row>
    <row r="1198" ht="14.85" customHeight="1" spans="1:6">
      <c r="A1198" s="57"/>
      <c r="B1198" s="57" t="s">
        <v>1163</v>
      </c>
      <c r="C1198" s="59" t="s">
        <v>423</v>
      </c>
      <c r="D1198" s="84">
        <f>F1189+F1190+F1191+F1192+F1193+F1194+F1195+F1196++F1197</f>
        <v>16447.60441765</v>
      </c>
      <c r="E1198" s="84">
        <v>0.5</v>
      </c>
      <c r="F1198" s="84">
        <f>D1198*E1198/100</f>
        <v>82.23802208825</v>
      </c>
    </row>
    <row r="1199" ht="14.85" customHeight="1" spans="1:6">
      <c r="A1199" s="57">
        <v>3</v>
      </c>
      <c r="B1199" s="57" t="s">
        <v>1171</v>
      </c>
      <c r="C1199" s="57"/>
      <c r="D1199" s="84"/>
      <c r="E1199" s="84"/>
      <c r="F1199" s="84">
        <f>SUM(F1200:F1206)</f>
        <v>646.176417409852</v>
      </c>
    </row>
    <row r="1200" ht="14.85" customHeight="1" spans="1:6">
      <c r="A1200" s="57"/>
      <c r="B1200" s="57" t="s">
        <v>1280</v>
      </c>
      <c r="C1200" s="57" t="s">
        <v>988</v>
      </c>
      <c r="D1200" s="84">
        <f t="shared" ref="D1200:D1205" si="150">D1014</f>
        <v>49.389824491424</v>
      </c>
      <c r="E1200" s="84">
        <v>0.08</v>
      </c>
      <c r="F1200" s="84">
        <f t="shared" ref="F1200:F1205" si="151">D1200*E1200</f>
        <v>3.95118595931392</v>
      </c>
    </row>
    <row r="1201" ht="14.85" customHeight="1" spans="1:6">
      <c r="A1201" s="57"/>
      <c r="B1201" s="57" t="s">
        <v>1281</v>
      </c>
      <c r="C1201" s="57" t="s">
        <v>988</v>
      </c>
      <c r="D1201" s="84">
        <f t="shared" si="150"/>
        <v>62.3342780215397</v>
      </c>
      <c r="E1201" s="84">
        <v>0.12</v>
      </c>
      <c r="F1201" s="84">
        <f t="shared" si="151"/>
        <v>7.48011336258476</v>
      </c>
    </row>
    <row r="1202" ht="14.85" customHeight="1" spans="1:6">
      <c r="A1202" s="57"/>
      <c r="B1202" s="57" t="s">
        <v>1282</v>
      </c>
      <c r="C1202" s="57" t="s">
        <v>988</v>
      </c>
      <c r="D1202" s="84">
        <f t="shared" si="150"/>
        <v>8.0471858795373</v>
      </c>
      <c r="E1202" s="204">
        <v>0.12</v>
      </c>
      <c r="F1202" s="84">
        <f t="shared" si="151"/>
        <v>0.965662305544476</v>
      </c>
    </row>
    <row r="1203" ht="14.85" customHeight="1" spans="1:6">
      <c r="A1203" s="57"/>
      <c r="B1203" s="57" t="s">
        <v>1283</v>
      </c>
      <c r="C1203" s="57" t="s">
        <v>988</v>
      </c>
      <c r="D1203" s="84">
        <f t="shared" si="150"/>
        <v>23.7459521340247</v>
      </c>
      <c r="E1203" s="84">
        <v>18.54</v>
      </c>
      <c r="F1203" s="84">
        <f t="shared" si="151"/>
        <v>440.249952564819</v>
      </c>
    </row>
    <row r="1204" ht="14.85" customHeight="1" spans="1:6">
      <c r="A1204" s="57"/>
      <c r="B1204" s="57" t="s">
        <v>1297</v>
      </c>
      <c r="C1204" s="57" t="s">
        <v>988</v>
      </c>
      <c r="D1204" s="84">
        <f t="shared" si="150"/>
        <v>2.37852772237734</v>
      </c>
      <c r="E1204" s="84">
        <v>40.05</v>
      </c>
      <c r="F1204" s="84">
        <f t="shared" si="151"/>
        <v>95.2600352812125</v>
      </c>
    </row>
    <row r="1205" ht="14.85" customHeight="1" spans="1:6">
      <c r="A1205" s="57"/>
      <c r="B1205" s="57" t="s">
        <v>1190</v>
      </c>
      <c r="C1205" s="57" t="s">
        <v>988</v>
      </c>
      <c r="D1205" s="84">
        <f t="shared" si="150"/>
        <v>0.813242919824491</v>
      </c>
      <c r="E1205" s="84">
        <v>83</v>
      </c>
      <c r="F1205" s="84">
        <f t="shared" si="151"/>
        <v>67.4991623454328</v>
      </c>
    </row>
    <row r="1206" ht="14.85" customHeight="1" spans="1:6">
      <c r="A1206" s="57"/>
      <c r="B1206" s="57" t="s">
        <v>1223</v>
      </c>
      <c r="C1206" s="59" t="s">
        <v>423</v>
      </c>
      <c r="D1206" s="84">
        <f>SUM(F1200:F1205)</f>
        <v>615.406111818907</v>
      </c>
      <c r="E1206" s="196">
        <v>5</v>
      </c>
      <c r="F1206" s="84">
        <f>D1206*E1206/100</f>
        <v>30.7703055909453</v>
      </c>
    </row>
    <row r="1207" s="309" customFormat="1" ht="14.85" customHeight="1" spans="1:6">
      <c r="A1207" s="55">
        <v>4</v>
      </c>
      <c r="B1207" s="55" t="s">
        <v>1285</v>
      </c>
      <c r="C1207" s="253"/>
      <c r="D1207" s="254"/>
      <c r="E1207" s="254"/>
      <c r="F1207" s="254">
        <f>SUM(F1208:F1209)</f>
        <v>1986.41142067271</v>
      </c>
    </row>
    <row r="1208" s="307" customFormat="1" ht="14.85" customHeight="1" spans="1:6">
      <c r="A1208" s="57"/>
      <c r="B1208" s="245" t="s">
        <v>1286</v>
      </c>
      <c r="C1208" s="245" t="s">
        <v>1188</v>
      </c>
      <c r="D1208" s="246">
        <f>$F$2253/100</f>
        <v>5.03319379720782</v>
      </c>
      <c r="E1208" s="246">
        <v>103</v>
      </c>
      <c r="F1208" s="84">
        <f>D1208*E1208</f>
        <v>518.418961112405</v>
      </c>
    </row>
    <row r="1209" s="307" customFormat="1" ht="14.85" customHeight="1" spans="1:6">
      <c r="A1209" s="57"/>
      <c r="B1209" s="245" t="s">
        <v>1287</v>
      </c>
      <c r="C1209" s="245" t="s">
        <v>1188</v>
      </c>
      <c r="D1209" s="246">
        <f>$F$2271/100</f>
        <v>14.2523539763136</v>
      </c>
      <c r="E1209" s="246">
        <v>103</v>
      </c>
      <c r="F1209" s="84">
        <f>D1209*E1209</f>
        <v>1467.99245956031</v>
      </c>
    </row>
    <row r="1210" s="307" customFormat="1" ht="14.85" customHeight="1" spans="1:6">
      <c r="A1210" s="57" t="s">
        <v>70</v>
      </c>
      <c r="B1210" s="57" t="s">
        <v>977</v>
      </c>
      <c r="C1210" s="194">
        <f>取费表!$C$7</f>
        <v>0.048</v>
      </c>
      <c r="D1210" s="246"/>
      <c r="E1210" s="246">
        <f>F1184</f>
        <v>26384.0872778208</v>
      </c>
      <c r="F1210" s="84">
        <f t="shared" ref="F1210:F1213" si="152">E1210*C1210</f>
        <v>1266.4361893354</v>
      </c>
    </row>
    <row r="1211" s="307" customFormat="1" ht="14.85" customHeight="1" spans="1:6">
      <c r="A1211" s="57"/>
      <c r="B1211" s="57"/>
      <c r="C1211" s="194"/>
      <c r="D1211" s="246"/>
      <c r="E1211" s="246"/>
      <c r="F1211" s="84"/>
    </row>
    <row r="1212" s="307" customFormat="1" ht="14.85" customHeight="1" spans="1:6">
      <c r="A1212" s="57" t="s">
        <v>979</v>
      </c>
      <c r="B1212" s="57" t="s">
        <v>973</v>
      </c>
      <c r="C1212" s="194">
        <f>取费表!$E$7</f>
        <v>0.07</v>
      </c>
      <c r="D1212" s="246"/>
      <c r="E1212" s="246">
        <f>F1183</f>
        <v>27650.5234671562</v>
      </c>
      <c r="F1212" s="84">
        <f t="shared" si="152"/>
        <v>1935.53664270094</v>
      </c>
    </row>
    <row r="1213" s="307" customFormat="1" ht="14.85" customHeight="1" spans="1:6">
      <c r="A1213" s="57" t="s">
        <v>162</v>
      </c>
      <c r="B1213" s="57" t="s">
        <v>980</v>
      </c>
      <c r="C1213" s="194">
        <f>取费表!$F$7</f>
        <v>0.07</v>
      </c>
      <c r="D1213" s="246"/>
      <c r="E1213" s="246">
        <f>F1212+F1183</f>
        <v>29586.0601098571</v>
      </c>
      <c r="F1213" s="84">
        <f t="shared" si="152"/>
        <v>2071.02420769</v>
      </c>
    </row>
    <row r="1214" s="310" customFormat="1" ht="14.85" customHeight="1" spans="1:6">
      <c r="A1214" s="55" t="s">
        <v>214</v>
      </c>
      <c r="B1214" s="55" t="s">
        <v>1173</v>
      </c>
      <c r="C1214" s="253"/>
      <c r="D1214" s="254"/>
      <c r="E1214" s="55"/>
      <c r="F1214" s="255">
        <f>SUM(F1215:F1220)</f>
        <v>7883.8982828883</v>
      </c>
    </row>
    <row r="1215" ht="14.85" customHeight="1" spans="1:6">
      <c r="A1215" s="57"/>
      <c r="B1215" s="57"/>
      <c r="C1215" s="57"/>
      <c r="D1215" s="84"/>
      <c r="E1215" s="84"/>
      <c r="F1215" s="113"/>
    </row>
    <row r="1216" ht="14.85" customHeight="1" spans="1:6">
      <c r="A1216" s="57"/>
      <c r="B1216" s="57" t="s">
        <v>1141</v>
      </c>
      <c r="C1216" s="57" t="s">
        <v>69</v>
      </c>
      <c r="D1216" s="84">
        <f>D1169</f>
        <v>156.64017</v>
      </c>
      <c r="E1216" s="84">
        <f>E1196*配合比!E5</f>
        <v>21.68580128</v>
      </c>
      <c r="F1216" s="113">
        <f t="shared" ref="F1216:F1220" si="153">D1216*E1216</f>
        <v>3396.86759908542</v>
      </c>
    </row>
    <row r="1217" ht="14.85" customHeight="1" spans="1:6">
      <c r="A1217" s="57"/>
      <c r="B1217" s="57" t="s">
        <v>1142</v>
      </c>
      <c r="C1217" s="57" t="s">
        <v>1188</v>
      </c>
      <c r="D1217" s="84">
        <f>D1170</f>
        <v>44.826214</v>
      </c>
      <c r="E1217" s="84">
        <f>E1196*配合比!G5</f>
        <v>61.0687</v>
      </c>
      <c r="F1217" s="113">
        <f t="shared" si="153"/>
        <v>2737.4786149018</v>
      </c>
    </row>
    <row r="1218" ht="14.85" customHeight="1" spans="1:6">
      <c r="A1218" s="57"/>
      <c r="B1218" s="57" t="s">
        <v>1110</v>
      </c>
      <c r="C1218" s="57" t="s">
        <v>1188</v>
      </c>
      <c r="D1218" s="84">
        <f>材料预算价!K8-材料预算价!L8</f>
        <v>20.60443</v>
      </c>
      <c r="E1218" s="84">
        <f>E1196*配合比!I5</f>
        <v>84.527156</v>
      </c>
      <c r="F1218" s="113">
        <f t="shared" si="153"/>
        <v>1741.63386890108</v>
      </c>
    </row>
    <row r="1219" ht="14.85" customHeight="1" spans="1:6">
      <c r="A1219" s="57"/>
      <c r="B1219" s="57" t="s">
        <v>1290</v>
      </c>
      <c r="C1219" s="57" t="s">
        <v>184</v>
      </c>
      <c r="D1219" s="84">
        <f>材料预算价!K13-材料预算价!L13</f>
        <v>6.225</v>
      </c>
      <c r="E1219" s="88">
        <f>(E1200*7.2+E1201*5.8)</f>
        <v>1.272</v>
      </c>
      <c r="F1219" s="113">
        <f t="shared" si="153"/>
        <v>7.9182</v>
      </c>
    </row>
    <row r="1220" ht="14.85" customHeight="1" spans="1:6">
      <c r="A1220" s="57"/>
      <c r="B1220" s="57" t="s">
        <v>1174</v>
      </c>
      <c r="C1220" s="57" t="s">
        <v>184</v>
      </c>
      <c r="D1220" s="84">
        <f>材料预算价!K12-材料预算价!L12</f>
        <v>4.86</v>
      </c>
      <c r="E1220" s="88"/>
      <c r="F1220" s="113">
        <f t="shared" si="153"/>
        <v>0</v>
      </c>
    </row>
    <row r="1221" ht="14.85" customHeight="1" spans="1:6">
      <c r="A1221" s="57" t="s">
        <v>327</v>
      </c>
      <c r="B1221" s="57" t="s">
        <v>976</v>
      </c>
      <c r="C1221" s="195">
        <f>C1083</f>
        <v>0.09</v>
      </c>
      <c r="D1221" s="84"/>
      <c r="E1221" s="84">
        <f>F1214+F1213+F1212+F1183</f>
        <v>39540.9826004354</v>
      </c>
      <c r="F1221" s="84">
        <f>E1221*C1221</f>
        <v>3558.68843403919</v>
      </c>
    </row>
    <row r="1222" ht="14.85" customHeight="1" spans="1:6">
      <c r="A1222" s="57"/>
      <c r="B1222" s="57" t="s">
        <v>984</v>
      </c>
      <c r="C1222" s="195"/>
      <c r="D1222" s="84"/>
      <c r="E1222" s="84"/>
      <c r="F1222" s="84">
        <f>(F1183+F1212+F1213+F1214+F1221)*取费表!H4</f>
        <v>1292.99013103424</v>
      </c>
    </row>
    <row r="1223" ht="14.85" customHeight="1" spans="1:6">
      <c r="A1223" s="57"/>
      <c r="B1223" s="57" t="s">
        <v>278</v>
      </c>
      <c r="C1223" s="57"/>
      <c r="D1223" s="84"/>
      <c r="E1223" s="84"/>
      <c r="F1223" s="84">
        <f>F1221+E1221+F1222</f>
        <v>44392.6611655088</v>
      </c>
    </row>
    <row r="1224" ht="14.45" customHeight="1" spans="1:6">
      <c r="A1224"/>
      <c r="B1224"/>
      <c r="C1224"/>
      <c r="D1224"/>
      <c r="E1224"/>
      <c r="F1224"/>
    </row>
    <row r="1225" ht="14.45" customHeight="1" spans="1:6">
      <c r="A1225"/>
      <c r="B1225"/>
      <c r="C1225"/>
      <c r="D1225"/>
      <c r="E1225"/>
      <c r="F1225"/>
    </row>
    <row r="1226" ht="14.45" customHeight="1" spans="1:6">
      <c r="A1226"/>
      <c r="B1226"/>
      <c r="C1226"/>
      <c r="D1226"/>
      <c r="E1226"/>
      <c r="F1226"/>
    </row>
    <row r="1227" ht="14.45" customHeight="1" spans="1:6">
      <c r="A1227"/>
      <c r="B1227"/>
      <c r="C1227"/>
      <c r="D1227"/>
      <c r="E1227"/>
      <c r="F1227"/>
    </row>
    <row r="1228" ht="14.45" customHeight="1" spans="1:6">
      <c r="A1228"/>
      <c r="B1228"/>
      <c r="C1228"/>
      <c r="D1228"/>
      <c r="E1228"/>
      <c r="F1228"/>
    </row>
    <row r="1229" ht="14.45" customHeight="1" spans="1:6">
      <c r="A1229"/>
      <c r="B1229"/>
      <c r="C1229"/>
      <c r="D1229"/>
      <c r="E1229"/>
      <c r="F1229"/>
    </row>
    <row r="1230" ht="14.45" customHeight="1" spans="1:6">
      <c r="A1230"/>
      <c r="B1230"/>
      <c r="C1230"/>
      <c r="D1230"/>
      <c r="E1230"/>
      <c r="F1230"/>
    </row>
    <row r="1231" ht="14.45" customHeight="1" spans="1:6">
      <c r="A1231"/>
      <c r="B1231"/>
      <c r="C1231"/>
      <c r="D1231"/>
      <c r="E1231"/>
      <c r="F1231"/>
    </row>
    <row r="1232" ht="14.45" customHeight="1" spans="1:6">
      <c r="A1232"/>
      <c r="B1232"/>
      <c r="C1232"/>
      <c r="D1232"/>
      <c r="E1232"/>
      <c r="F1232"/>
    </row>
    <row r="1233" ht="14.45" customHeight="1" spans="1:6">
      <c r="A1233"/>
      <c r="B1233"/>
      <c r="C1233"/>
      <c r="D1233"/>
      <c r="E1233"/>
      <c r="F1233"/>
    </row>
    <row r="1234" ht="14.45" customHeight="1" spans="1:6">
      <c r="A1234"/>
      <c r="B1234"/>
      <c r="C1234"/>
      <c r="D1234"/>
      <c r="E1234"/>
      <c r="F1234"/>
    </row>
    <row r="1235" ht="14.45" customHeight="1" spans="1:6">
      <c r="A1235"/>
      <c r="B1235"/>
      <c r="C1235"/>
      <c r="D1235"/>
      <c r="E1235"/>
      <c r="F1235"/>
    </row>
    <row r="1236" ht="14.45" customHeight="1" spans="1:6">
      <c r="A1236"/>
      <c r="B1236"/>
      <c r="C1236"/>
      <c r="D1236"/>
      <c r="E1236"/>
      <c r="F1236"/>
    </row>
    <row r="1237" ht="14.45" customHeight="1" spans="1:6">
      <c r="A1237"/>
      <c r="B1237"/>
      <c r="C1237"/>
      <c r="D1237"/>
      <c r="E1237"/>
      <c r="F1237"/>
    </row>
    <row r="1238" ht="14.45" customHeight="1" spans="1:6">
      <c r="A1238"/>
      <c r="B1238"/>
      <c r="C1238"/>
      <c r="D1238"/>
      <c r="E1238"/>
      <c r="F1238"/>
    </row>
    <row r="1239" ht="14.45" customHeight="1" spans="1:6">
      <c r="A1239"/>
      <c r="B1239"/>
      <c r="C1239"/>
      <c r="D1239"/>
      <c r="E1239"/>
      <c r="F1239"/>
    </row>
    <row r="1240" ht="14.45" customHeight="1" spans="1:6">
      <c r="A1240"/>
      <c r="B1240"/>
      <c r="C1240"/>
      <c r="D1240"/>
      <c r="E1240"/>
      <c r="F1240"/>
    </row>
    <row r="1241" ht="14.45" customHeight="1" spans="1:6">
      <c r="A1241"/>
      <c r="B1241"/>
      <c r="C1241"/>
      <c r="D1241"/>
      <c r="E1241"/>
      <c r="F1241"/>
    </row>
    <row r="1242" ht="14.45" customHeight="1" spans="1:6">
      <c r="A1242"/>
      <c r="B1242"/>
      <c r="C1242"/>
      <c r="D1242"/>
      <c r="E1242"/>
      <c r="F1242"/>
    </row>
    <row r="1243" ht="14.45" customHeight="1" spans="1:6">
      <c r="A1243"/>
      <c r="B1243"/>
      <c r="C1243"/>
      <c r="D1243"/>
      <c r="E1243"/>
      <c r="F1243"/>
    </row>
    <row r="1244" ht="14.45" customHeight="1" spans="1:6">
      <c r="A1244"/>
      <c r="B1244"/>
      <c r="C1244"/>
      <c r="D1244"/>
      <c r="E1244"/>
      <c r="F1244"/>
    </row>
    <row r="1245" ht="14.45" customHeight="1" spans="1:6">
      <c r="A1245"/>
      <c r="B1245"/>
      <c r="C1245"/>
      <c r="D1245"/>
      <c r="E1245"/>
      <c r="F1245"/>
    </row>
    <row r="1246" ht="14.45" customHeight="1" spans="1:6">
      <c r="A1246"/>
      <c r="B1246"/>
      <c r="C1246"/>
      <c r="D1246"/>
      <c r="E1246"/>
      <c r="F1246"/>
    </row>
    <row r="1247" ht="14.45" customHeight="1" spans="1:6">
      <c r="A1247"/>
      <c r="B1247"/>
      <c r="C1247"/>
      <c r="D1247"/>
      <c r="E1247"/>
      <c r="F1247"/>
    </row>
    <row r="1248" ht="14.45" customHeight="1" spans="1:6">
      <c r="A1248"/>
      <c r="B1248"/>
      <c r="C1248"/>
      <c r="D1248"/>
      <c r="E1248"/>
      <c r="F1248"/>
    </row>
    <row r="1249" ht="14.45" customHeight="1" spans="1:6">
      <c r="A1249"/>
      <c r="B1249"/>
      <c r="C1249"/>
      <c r="D1249"/>
      <c r="E1249"/>
      <c r="F1249"/>
    </row>
    <row r="1250" ht="14.45" customHeight="1" spans="1:6">
      <c r="A1250"/>
      <c r="B1250"/>
      <c r="C1250"/>
      <c r="D1250"/>
      <c r="E1250"/>
      <c r="F1250"/>
    </row>
    <row r="1251" ht="14.45" customHeight="1" spans="1:6">
      <c r="A1251"/>
      <c r="B1251"/>
      <c r="C1251"/>
      <c r="D1251"/>
      <c r="E1251"/>
      <c r="F1251"/>
    </row>
    <row r="1252" ht="14.45" customHeight="1" spans="1:6">
      <c r="A1252"/>
      <c r="B1252"/>
      <c r="C1252"/>
      <c r="D1252"/>
      <c r="E1252"/>
      <c r="F1252"/>
    </row>
    <row r="1253" ht="14.45" customHeight="1" spans="1:6">
      <c r="A1253"/>
      <c r="B1253"/>
      <c r="C1253"/>
      <c r="D1253"/>
      <c r="E1253"/>
      <c r="F1253"/>
    </row>
    <row r="1254" ht="14.45" customHeight="1" spans="1:6">
      <c r="A1254"/>
      <c r="B1254"/>
      <c r="C1254"/>
      <c r="D1254"/>
      <c r="E1254"/>
      <c r="F1254"/>
    </row>
    <row r="1255" ht="14.45" customHeight="1" spans="1:6">
      <c r="A1255"/>
      <c r="B1255"/>
      <c r="C1255"/>
      <c r="D1255"/>
      <c r="E1255"/>
      <c r="F1255"/>
    </row>
    <row r="1256" ht="14.45" customHeight="1" spans="1:6">
      <c r="A1256"/>
      <c r="B1256"/>
      <c r="C1256"/>
      <c r="D1256"/>
      <c r="E1256"/>
      <c r="F1256"/>
    </row>
    <row r="1257" ht="14.45" customHeight="1" spans="1:6">
      <c r="A1257"/>
      <c r="B1257"/>
      <c r="C1257"/>
      <c r="D1257"/>
      <c r="E1257"/>
      <c r="F1257"/>
    </row>
    <row r="1258" ht="14.45" customHeight="1" spans="1:6">
      <c r="A1258"/>
      <c r="B1258"/>
      <c r="C1258"/>
      <c r="D1258"/>
      <c r="E1258"/>
      <c r="F1258"/>
    </row>
    <row r="1259" ht="14.45" customHeight="1" spans="1:6">
      <c r="A1259"/>
      <c r="B1259"/>
      <c r="C1259"/>
      <c r="D1259"/>
      <c r="E1259"/>
      <c r="F1259"/>
    </row>
    <row r="1260" ht="14.45" customHeight="1" spans="1:6">
      <c r="A1260"/>
      <c r="B1260"/>
      <c r="C1260"/>
      <c r="D1260"/>
      <c r="E1260"/>
      <c r="F1260"/>
    </row>
    <row r="1261" ht="14.45" customHeight="1" spans="1:6">
      <c r="A1261"/>
      <c r="B1261"/>
      <c r="C1261"/>
      <c r="D1261"/>
      <c r="E1261"/>
      <c r="F1261"/>
    </row>
    <row r="1262" ht="14.45" customHeight="1" spans="1:6">
      <c r="A1262"/>
      <c r="B1262"/>
      <c r="C1262"/>
      <c r="D1262"/>
      <c r="E1262"/>
      <c r="F1262"/>
    </row>
    <row r="1263" ht="14.45" customHeight="1" spans="1:6">
      <c r="A1263"/>
      <c r="B1263"/>
      <c r="C1263"/>
      <c r="D1263"/>
      <c r="E1263"/>
      <c r="F1263"/>
    </row>
    <row r="1264" ht="14.45" customHeight="1" spans="1:6">
      <c r="A1264"/>
      <c r="B1264"/>
      <c r="C1264"/>
      <c r="D1264"/>
      <c r="E1264"/>
      <c r="F1264"/>
    </row>
    <row r="1265" ht="14.45" customHeight="1" spans="1:6">
      <c r="A1265"/>
      <c r="B1265"/>
      <c r="C1265"/>
      <c r="D1265"/>
      <c r="E1265"/>
      <c r="F1265"/>
    </row>
    <row r="1266" ht="14.45" customHeight="1" spans="1:6">
      <c r="A1266"/>
      <c r="B1266"/>
      <c r="C1266"/>
      <c r="D1266"/>
      <c r="E1266"/>
      <c r="F1266"/>
    </row>
    <row r="1267" ht="14.45" customHeight="1" spans="1:6">
      <c r="A1267"/>
      <c r="B1267"/>
      <c r="C1267"/>
      <c r="D1267"/>
      <c r="E1267"/>
      <c r="F1267"/>
    </row>
    <row r="1268" ht="14.45" customHeight="1" spans="1:6">
      <c r="A1268"/>
      <c r="B1268"/>
      <c r="C1268"/>
      <c r="D1268"/>
      <c r="E1268"/>
      <c r="F1268"/>
    </row>
    <row r="1269" ht="14.45" customHeight="1" spans="1:6">
      <c r="A1269"/>
      <c r="B1269"/>
      <c r="C1269"/>
      <c r="D1269"/>
      <c r="E1269"/>
      <c r="F1269"/>
    </row>
    <row r="1270" ht="14.45" customHeight="1" spans="1:6">
      <c r="A1270"/>
      <c r="B1270"/>
      <c r="C1270"/>
      <c r="D1270"/>
      <c r="E1270"/>
      <c r="F1270"/>
    </row>
    <row r="1271" ht="14.45" customHeight="1" spans="1:6">
      <c r="A1271"/>
      <c r="B1271"/>
      <c r="C1271"/>
      <c r="D1271"/>
      <c r="E1271"/>
      <c r="F1271"/>
    </row>
    <row r="1272" ht="14.45" customHeight="1" spans="1:6">
      <c r="A1272" s="312" t="s">
        <v>1155</v>
      </c>
      <c r="B1272" s="312"/>
      <c r="C1272" s="312"/>
      <c r="D1272" s="312"/>
      <c r="E1272" s="312"/>
      <c r="F1272" s="312"/>
    </row>
    <row r="1273" ht="14.45" customHeight="1" spans="1:6">
      <c r="A1273" s="242" t="s">
        <v>1319</v>
      </c>
      <c r="C1273" s="243"/>
      <c r="D1273" s="243"/>
      <c r="E1273" s="243"/>
      <c r="F1273" s="243"/>
    </row>
    <row r="1274" ht="14.45" customHeight="1" spans="1:6">
      <c r="A1274" s="190" t="s">
        <v>1317</v>
      </c>
      <c r="B1274" s="191"/>
      <c r="C1274" s="243"/>
      <c r="D1274" s="243"/>
      <c r="E1274" s="191" t="s">
        <v>1159</v>
      </c>
      <c r="F1274" s="191"/>
    </row>
    <row r="1275" ht="14.45" customHeight="1" spans="1:6">
      <c r="A1275" s="117" t="s">
        <v>1218</v>
      </c>
      <c r="B1275" s="192"/>
      <c r="C1275" s="192"/>
      <c r="D1275" s="192"/>
      <c r="E1275" s="192"/>
      <c r="F1275" s="118"/>
    </row>
    <row r="1276" ht="14.45" customHeight="1" spans="1:6">
      <c r="A1276" s="57" t="s">
        <v>354</v>
      </c>
      <c r="B1276" s="57" t="s">
        <v>956</v>
      </c>
      <c r="C1276" s="57" t="s">
        <v>52</v>
      </c>
      <c r="D1276" s="57" t="s">
        <v>855</v>
      </c>
      <c r="E1276" s="57" t="s">
        <v>53</v>
      </c>
      <c r="F1276" s="57" t="s">
        <v>306</v>
      </c>
    </row>
    <row r="1277" ht="14.45" customHeight="1" spans="1:6">
      <c r="A1277" s="57" t="s">
        <v>959</v>
      </c>
      <c r="B1277" s="57" t="s">
        <v>960</v>
      </c>
      <c r="C1277" s="57"/>
      <c r="D1277" s="57"/>
      <c r="E1277" s="57"/>
      <c r="F1277" s="84">
        <f>F1278+F1304+F1305</f>
        <v>28851.5280720764</v>
      </c>
    </row>
    <row r="1278" ht="14.45" customHeight="1" spans="1:6">
      <c r="A1278" s="57" t="s">
        <v>59</v>
      </c>
      <c r="B1278" s="57" t="s">
        <v>957</v>
      </c>
      <c r="C1278" s="57"/>
      <c r="D1278" s="57"/>
      <c r="E1278" s="57"/>
      <c r="F1278" s="84">
        <f>F1279+F1282+F1293+F1301</f>
        <v>27530.0840382408</v>
      </c>
    </row>
    <row r="1279" ht="14.45" customHeight="1" spans="1:6">
      <c r="A1279" s="57">
        <v>1</v>
      </c>
      <c r="B1279" s="57" t="s">
        <v>964</v>
      </c>
      <c r="C1279" s="57" t="s">
        <v>965</v>
      </c>
      <c r="D1279" s="84"/>
      <c r="E1279" s="92">
        <f>SUM(E1280:E1281)</f>
        <v>1000.9</v>
      </c>
      <c r="F1279" s="113">
        <f>SUM(F1280:F1281)</f>
        <v>7221.657</v>
      </c>
    </row>
    <row r="1280" ht="14.45" customHeight="1" spans="1:6">
      <c r="A1280" s="57"/>
      <c r="B1280" s="57" t="s">
        <v>966</v>
      </c>
      <c r="C1280" s="57" t="s">
        <v>965</v>
      </c>
      <c r="D1280" s="113">
        <f>建筑工程单价分析表!D342</f>
        <v>8.1</v>
      </c>
      <c r="E1280" s="92">
        <v>620.8</v>
      </c>
      <c r="F1280" s="113">
        <f>D1280*E1280</f>
        <v>5028.48</v>
      </c>
    </row>
    <row r="1281" ht="14.45" customHeight="1" spans="1:6">
      <c r="A1281" s="57"/>
      <c r="B1281" s="57" t="s">
        <v>968</v>
      </c>
      <c r="C1281" s="57" t="s">
        <v>965</v>
      </c>
      <c r="D1281" s="113">
        <f>建筑工程单价分析表!D343</f>
        <v>5.77</v>
      </c>
      <c r="E1281" s="92">
        <v>380.1</v>
      </c>
      <c r="F1281" s="113">
        <f>D1281*E1281</f>
        <v>2193.177</v>
      </c>
    </row>
    <row r="1282" ht="14.45" customHeight="1" spans="1:6">
      <c r="A1282" s="57">
        <v>2</v>
      </c>
      <c r="B1282" s="57" t="s">
        <v>1219</v>
      </c>
      <c r="C1282" s="57"/>
      <c r="D1282" s="84"/>
      <c r="E1282" s="84"/>
      <c r="F1282" s="84">
        <f>SUM(F1283:F1292)</f>
        <v>17675.8392001583</v>
      </c>
    </row>
    <row r="1283" ht="14.45" customHeight="1" spans="1:6">
      <c r="A1283" s="57"/>
      <c r="B1283" s="244" t="s">
        <v>1272</v>
      </c>
      <c r="C1283" s="244" t="s">
        <v>1188</v>
      </c>
      <c r="D1283" s="84">
        <f>建筑工程单价分析表!D345</f>
        <v>2232.665025</v>
      </c>
      <c r="E1283" s="84">
        <v>0.03</v>
      </c>
      <c r="F1283" s="84">
        <f t="shared" ref="F1283:F1291" si="154">D1283*E1283</f>
        <v>66.97995075</v>
      </c>
    </row>
    <row r="1284" ht="14.45" customHeight="1" spans="1:6">
      <c r="A1284" s="57"/>
      <c r="B1284" s="244" t="s">
        <v>1273</v>
      </c>
      <c r="C1284" s="244" t="s">
        <v>184</v>
      </c>
      <c r="D1284" s="84">
        <f>建筑工程单价分析表!D346</f>
        <v>4.44</v>
      </c>
      <c r="E1284" s="84">
        <v>0.98</v>
      </c>
      <c r="F1284" s="84">
        <f t="shared" si="154"/>
        <v>4.3512</v>
      </c>
    </row>
    <row r="1285" ht="14.45" customHeight="1" spans="1:6">
      <c r="A1285" s="57"/>
      <c r="B1285" s="244" t="s">
        <v>1274</v>
      </c>
      <c r="C1285" s="244" t="s">
        <v>184</v>
      </c>
      <c r="D1285" s="84">
        <f>建筑工程单价分析表!D347</f>
        <v>4.5</v>
      </c>
      <c r="E1285" s="84">
        <v>2.34</v>
      </c>
      <c r="F1285" s="84">
        <f t="shared" si="154"/>
        <v>10.53</v>
      </c>
    </row>
    <row r="1286" ht="14.45" customHeight="1" spans="1:6">
      <c r="A1286" s="57"/>
      <c r="B1286" s="244" t="s">
        <v>1275</v>
      </c>
      <c r="C1286" s="244" t="s">
        <v>184</v>
      </c>
      <c r="D1286" s="84">
        <f>建筑工程单价分析表!D348</f>
        <v>5.15</v>
      </c>
      <c r="E1286" s="84">
        <v>3.14</v>
      </c>
      <c r="F1286" s="84">
        <f t="shared" si="154"/>
        <v>16.171</v>
      </c>
    </row>
    <row r="1287" ht="14.45" customHeight="1" spans="1:6">
      <c r="A1287" s="57"/>
      <c r="B1287" s="244" t="s">
        <v>1276</v>
      </c>
      <c r="C1287" s="244" t="s">
        <v>184</v>
      </c>
      <c r="D1287" s="84">
        <f>建筑工程单价分析表!D349</f>
        <v>4.5</v>
      </c>
      <c r="E1287" s="84">
        <v>0.07</v>
      </c>
      <c r="F1287" s="84">
        <f t="shared" si="154"/>
        <v>0.315</v>
      </c>
    </row>
    <row r="1288" ht="14.45" customHeight="1" spans="1:6">
      <c r="A1288" s="57"/>
      <c r="B1288" s="244" t="s">
        <v>1277</v>
      </c>
      <c r="C1288" s="244" t="s">
        <v>184</v>
      </c>
      <c r="D1288" s="84">
        <f>建筑工程单价分析表!D350</f>
        <v>6.39</v>
      </c>
      <c r="E1288" s="84">
        <v>3.65</v>
      </c>
      <c r="F1288" s="84">
        <f t="shared" si="154"/>
        <v>23.3235</v>
      </c>
    </row>
    <row r="1289" ht="14.45" customHeight="1" spans="1:6">
      <c r="A1289" s="57"/>
      <c r="B1289" s="244" t="s">
        <v>1278</v>
      </c>
      <c r="C1289" s="244" t="s">
        <v>184</v>
      </c>
      <c r="D1289" s="84">
        <f>建筑工程单价分析表!D351</f>
        <v>5.97</v>
      </c>
      <c r="E1289" s="84">
        <v>0.08</v>
      </c>
      <c r="F1289" s="84">
        <f t="shared" si="154"/>
        <v>0.4776</v>
      </c>
    </row>
    <row r="1290" ht="14.45" customHeight="1" spans="1:6">
      <c r="A1290" s="57"/>
      <c r="B1290" s="57" t="s">
        <v>1311</v>
      </c>
      <c r="C1290" s="57" t="s">
        <v>1188</v>
      </c>
      <c r="D1290" s="84">
        <f>配合比!M7</f>
        <v>164.4791403</v>
      </c>
      <c r="E1290" s="84">
        <v>103</v>
      </c>
      <c r="F1290" s="84">
        <f t="shared" si="154"/>
        <v>16941.3514509</v>
      </c>
    </row>
    <row r="1291" ht="14.45" customHeight="1" spans="1:6">
      <c r="A1291" s="57"/>
      <c r="B1291" s="57" t="s">
        <v>1022</v>
      </c>
      <c r="C1291" s="57" t="s">
        <v>1188</v>
      </c>
      <c r="D1291" s="84">
        <f>建筑工程单价分析表!D353</f>
        <v>4.37</v>
      </c>
      <c r="E1291" s="84">
        <v>120</v>
      </c>
      <c r="F1291" s="84">
        <f t="shared" si="154"/>
        <v>524.4</v>
      </c>
    </row>
    <row r="1292" ht="14.45" customHeight="1" spans="1:6">
      <c r="A1292" s="57"/>
      <c r="B1292" s="57" t="s">
        <v>1163</v>
      </c>
      <c r="C1292" s="59" t="s">
        <v>423</v>
      </c>
      <c r="D1292" s="84">
        <f>F1283+F1284+F1285+F1286+F1287+F1288+F1289+F1290++F1291</f>
        <v>17587.89970165</v>
      </c>
      <c r="E1292" s="84">
        <v>0.5</v>
      </c>
      <c r="F1292" s="84">
        <f>D1292*E1292/100</f>
        <v>87.93949850825</v>
      </c>
    </row>
    <row r="1293" ht="14.45" customHeight="1" spans="1:6">
      <c r="A1293" s="57">
        <v>3</v>
      </c>
      <c r="B1293" s="57" t="s">
        <v>1171</v>
      </c>
      <c r="C1293" s="57"/>
      <c r="D1293" s="84"/>
      <c r="E1293" s="84"/>
      <c r="F1293" s="84">
        <f>SUM(F1294:F1300)</f>
        <v>646.176417409852</v>
      </c>
    </row>
    <row r="1294" ht="14.45" customHeight="1" spans="1:6">
      <c r="A1294" s="57"/>
      <c r="B1294" s="57" t="s">
        <v>1280</v>
      </c>
      <c r="C1294" s="57" t="s">
        <v>988</v>
      </c>
      <c r="D1294" s="84">
        <f>建筑工程单价分析表!D356</f>
        <v>49.389824491424</v>
      </c>
      <c r="E1294" s="84">
        <v>0.08</v>
      </c>
      <c r="F1294" s="84">
        <f t="shared" ref="F1294:F1299" si="155">D1294*E1294</f>
        <v>3.95118595931392</v>
      </c>
    </row>
    <row r="1295" ht="14.45" customHeight="1" spans="1:6">
      <c r="A1295" s="57"/>
      <c r="B1295" s="57" t="s">
        <v>1281</v>
      </c>
      <c r="C1295" s="57" t="s">
        <v>988</v>
      </c>
      <c r="D1295" s="84">
        <f>建筑工程单价分析表!D357</f>
        <v>62.3342780215397</v>
      </c>
      <c r="E1295" s="84">
        <v>0.12</v>
      </c>
      <c r="F1295" s="84">
        <f t="shared" si="155"/>
        <v>7.48011336258476</v>
      </c>
    </row>
    <row r="1296" ht="14.45" customHeight="1" spans="1:6">
      <c r="A1296" s="57"/>
      <c r="B1296" s="57" t="s">
        <v>1282</v>
      </c>
      <c r="C1296" s="57" t="s">
        <v>988</v>
      </c>
      <c r="D1296" s="84">
        <f>建筑工程单价分析表!D358</f>
        <v>8.0471858795373</v>
      </c>
      <c r="E1296" s="204">
        <v>0.12</v>
      </c>
      <c r="F1296" s="84">
        <f t="shared" si="155"/>
        <v>0.965662305544476</v>
      </c>
    </row>
    <row r="1297" ht="14.45" customHeight="1" spans="1:6">
      <c r="A1297" s="57"/>
      <c r="B1297" s="57" t="s">
        <v>1283</v>
      </c>
      <c r="C1297" s="57" t="s">
        <v>988</v>
      </c>
      <c r="D1297" s="84">
        <f>建筑工程单价分析表!D359</f>
        <v>23.7459521340247</v>
      </c>
      <c r="E1297" s="84">
        <v>18.54</v>
      </c>
      <c r="F1297" s="84">
        <f t="shared" si="155"/>
        <v>440.249952564818</v>
      </c>
    </row>
    <row r="1298" ht="14.45" customHeight="1" spans="1:6">
      <c r="A1298" s="57"/>
      <c r="B1298" s="57" t="s">
        <v>1297</v>
      </c>
      <c r="C1298" s="57" t="s">
        <v>988</v>
      </c>
      <c r="D1298" s="84">
        <f>建筑工程单价分析表!D360</f>
        <v>2.37852772237734</v>
      </c>
      <c r="E1298" s="84">
        <v>40.05</v>
      </c>
      <c r="F1298" s="84">
        <f t="shared" si="155"/>
        <v>95.2600352812125</v>
      </c>
    </row>
    <row r="1299" ht="14.45" customHeight="1" spans="1:6">
      <c r="A1299" s="57"/>
      <c r="B1299" s="57" t="s">
        <v>1190</v>
      </c>
      <c r="C1299" s="57" t="s">
        <v>988</v>
      </c>
      <c r="D1299" s="84">
        <f>建筑工程单价分析表!D361</f>
        <v>0.813242919824491</v>
      </c>
      <c r="E1299" s="84">
        <v>83</v>
      </c>
      <c r="F1299" s="84">
        <f t="shared" si="155"/>
        <v>67.4991623454328</v>
      </c>
    </row>
    <row r="1300" ht="14.45" customHeight="1" spans="1:6">
      <c r="A1300" s="57"/>
      <c r="B1300" s="57" t="s">
        <v>1223</v>
      </c>
      <c r="C1300" s="59" t="s">
        <v>423</v>
      </c>
      <c r="D1300" s="84">
        <f>SUM(F1294:F1299)</f>
        <v>615.406111818906</v>
      </c>
      <c r="E1300" s="196">
        <v>5</v>
      </c>
      <c r="F1300" s="84">
        <f>D1300*E1300/100</f>
        <v>30.7703055909453</v>
      </c>
    </row>
    <row r="1301" ht="14.45" customHeight="1" spans="1:6">
      <c r="A1301" s="57">
        <v>4</v>
      </c>
      <c r="B1301" s="57" t="s">
        <v>1285</v>
      </c>
      <c r="C1301" s="59"/>
      <c r="D1301" s="84"/>
      <c r="E1301" s="84"/>
      <c r="F1301" s="84">
        <f>SUM(F1302:F1303)</f>
        <v>1986.41142067271</v>
      </c>
    </row>
    <row r="1302" ht="14.45" customHeight="1" spans="1:6">
      <c r="A1302" s="57"/>
      <c r="B1302" s="245" t="s">
        <v>1286</v>
      </c>
      <c r="C1302" s="245" t="s">
        <v>1188</v>
      </c>
      <c r="D1302" s="246">
        <f>$F$2253/100</f>
        <v>5.03319379720782</v>
      </c>
      <c r="E1302" s="246">
        <v>103</v>
      </c>
      <c r="F1302" s="84">
        <f>D1302*E1302</f>
        <v>518.418961112405</v>
      </c>
    </row>
    <row r="1303" ht="14.45" customHeight="1" spans="1:6">
      <c r="A1303" s="57"/>
      <c r="B1303" s="245" t="s">
        <v>1287</v>
      </c>
      <c r="C1303" s="245" t="s">
        <v>1188</v>
      </c>
      <c r="D1303" s="246">
        <f>$F$2271/100</f>
        <v>14.2523539763136</v>
      </c>
      <c r="E1303" s="246">
        <v>103</v>
      </c>
      <c r="F1303" s="84">
        <f>D1303*E1303</f>
        <v>1467.99245956031</v>
      </c>
    </row>
    <row r="1304" ht="14.45" customHeight="1" spans="1:6">
      <c r="A1304" s="57" t="s">
        <v>70</v>
      </c>
      <c r="B1304" s="57" t="s">
        <v>977</v>
      </c>
      <c r="C1304" s="194">
        <f>取费表!$C$7</f>
        <v>0.048</v>
      </c>
      <c r="D1304" s="246"/>
      <c r="E1304" s="246">
        <f>F1278</f>
        <v>27530.0840382408</v>
      </c>
      <c r="F1304" s="84">
        <f t="shared" ref="F1304:F1307" si="156">E1304*C1304</f>
        <v>1321.44403383556</v>
      </c>
    </row>
    <row r="1305" ht="14.45" customHeight="1" spans="1:6">
      <c r="A1305" s="57"/>
      <c r="B1305" s="57"/>
      <c r="C1305" s="194"/>
      <c r="D1305" s="246"/>
      <c r="E1305" s="246"/>
      <c r="F1305" s="84"/>
    </row>
    <row r="1306" ht="14.45" customHeight="1" spans="1:6">
      <c r="A1306" s="57" t="s">
        <v>979</v>
      </c>
      <c r="B1306" s="57" t="s">
        <v>973</v>
      </c>
      <c r="C1306" s="194">
        <f>取费表!$E$7</f>
        <v>0.07</v>
      </c>
      <c r="D1306" s="246"/>
      <c r="E1306" s="246">
        <f>F1277</f>
        <v>28851.5280720764</v>
      </c>
      <c r="F1306" s="84">
        <f t="shared" si="156"/>
        <v>2019.60696504535</v>
      </c>
    </row>
    <row r="1307" ht="14.45" customHeight="1" spans="1:6">
      <c r="A1307" s="57" t="s">
        <v>162</v>
      </c>
      <c r="B1307" s="57" t="s">
        <v>980</v>
      </c>
      <c r="C1307" s="194">
        <f>取费表!$F$7</f>
        <v>0.07</v>
      </c>
      <c r="D1307" s="246"/>
      <c r="E1307" s="246">
        <f>F1306+F1277</f>
        <v>30871.1350371217</v>
      </c>
      <c r="F1307" s="84">
        <f t="shared" si="156"/>
        <v>2160.97945259852</v>
      </c>
    </row>
    <row r="1308" ht="14.45" customHeight="1" spans="1:6">
      <c r="A1308" s="57" t="s">
        <v>214</v>
      </c>
      <c r="B1308" s="57" t="s">
        <v>1173</v>
      </c>
      <c r="C1308" s="59"/>
      <c r="D1308" s="84"/>
      <c r="E1308" s="57"/>
      <c r="F1308" s="113">
        <f>F1309+F1314</f>
        <v>8797.55681676421</v>
      </c>
    </row>
    <row r="1309" ht="14.45" customHeight="1" spans="1:6">
      <c r="A1309" s="57">
        <v>1</v>
      </c>
      <c r="B1309" s="57" t="s">
        <v>1288</v>
      </c>
      <c r="C1309" s="59"/>
      <c r="D1309" s="84"/>
      <c r="E1309" s="57"/>
      <c r="F1309" s="113">
        <f>SUM(F1310:F1313)</f>
        <v>8789.63861676421</v>
      </c>
    </row>
    <row r="1310" ht="14.45" customHeight="1" spans="1:6">
      <c r="A1310" s="57"/>
      <c r="B1310" s="57"/>
      <c r="C1310" s="57"/>
      <c r="D1310" s="84"/>
      <c r="E1310" s="84"/>
      <c r="F1310" s="113"/>
    </row>
    <row r="1311" ht="14.45" customHeight="1" spans="1:6">
      <c r="A1311" s="57"/>
      <c r="B1311" s="57" t="s">
        <v>1141</v>
      </c>
      <c r="C1311" s="57" t="s">
        <v>69</v>
      </c>
      <c r="D1311" s="84">
        <f>材料预算价!K5-材料预算价!L5</f>
        <v>156.64017</v>
      </c>
      <c r="E1311" s="84">
        <f>E1290*配合比!E7</f>
        <v>28.1498382</v>
      </c>
      <c r="F1311" s="113">
        <f t="shared" ref="F1311:F1313" si="157">D1311*E1311</f>
        <v>4409.39544112049</v>
      </c>
    </row>
    <row r="1312" ht="14.45" customHeight="1" spans="1:6">
      <c r="A1312" s="57"/>
      <c r="B1312" s="57" t="s">
        <v>1142</v>
      </c>
      <c r="C1312" s="57" t="s">
        <v>1188</v>
      </c>
      <c r="D1312" s="84">
        <f>建筑工程单价分析表!D373</f>
        <v>44.826214</v>
      </c>
      <c r="E1312" s="84">
        <f>E1290*配合比!G7</f>
        <v>63.28938</v>
      </c>
      <c r="F1312" s="113">
        <f t="shared" si="157"/>
        <v>2837.02329180732</v>
      </c>
    </row>
    <row r="1313" ht="14.45" customHeight="1" spans="1:6">
      <c r="A1313" s="57"/>
      <c r="B1313" s="57" t="s">
        <v>1110</v>
      </c>
      <c r="C1313" s="57" t="s">
        <v>1188</v>
      </c>
      <c r="D1313" s="84">
        <f>建筑工程单价分析表!D374</f>
        <v>20.60443</v>
      </c>
      <c r="E1313" s="84">
        <f>E1290*配合比!I7</f>
        <v>74.89748</v>
      </c>
      <c r="F1313" s="113">
        <f t="shared" si="157"/>
        <v>1543.2198838364</v>
      </c>
    </row>
    <row r="1314" ht="14.45" customHeight="1" spans="1:6">
      <c r="A1314" s="57">
        <v>2</v>
      </c>
      <c r="B1314" s="57" t="s">
        <v>1289</v>
      </c>
      <c r="C1314" s="57"/>
      <c r="D1314" s="84"/>
      <c r="E1314" s="88"/>
      <c r="F1314" s="113">
        <f>SUM(F1315:F1316)</f>
        <v>7.9182</v>
      </c>
    </row>
    <row r="1315" ht="14.45" customHeight="1" spans="1:6">
      <c r="A1315" s="57"/>
      <c r="B1315" s="57" t="s">
        <v>1290</v>
      </c>
      <c r="C1315" s="57" t="s">
        <v>184</v>
      </c>
      <c r="D1315" s="84">
        <f>建筑工程单价分析表!D376</f>
        <v>6.225</v>
      </c>
      <c r="E1315" s="88">
        <f>(E1294*7.2+E1295*5.8)</f>
        <v>1.272</v>
      </c>
      <c r="F1315" s="113">
        <f>D1315*E1315</f>
        <v>7.9182</v>
      </c>
    </row>
    <row r="1316" ht="14.45" customHeight="1" spans="1:6">
      <c r="A1316" s="57"/>
      <c r="B1316" s="57" t="s">
        <v>1174</v>
      </c>
      <c r="C1316" s="57" t="s">
        <v>184</v>
      </c>
      <c r="D1316" s="84">
        <f>建筑工程单价分析表!D377</f>
        <v>4.86</v>
      </c>
      <c r="E1316" s="88"/>
      <c r="F1316" s="113">
        <f>D1316*E1316</f>
        <v>0</v>
      </c>
    </row>
    <row r="1317" ht="14.45" customHeight="1" spans="1:6">
      <c r="A1317" s="57" t="s">
        <v>327</v>
      </c>
      <c r="B1317" s="57" t="s">
        <v>976</v>
      </c>
      <c r="C1317" s="195">
        <f>建筑工程单价分析表!C378</f>
        <v>0.09</v>
      </c>
      <c r="D1317" s="84"/>
      <c r="E1317" s="84">
        <f>F1308+F1307+F1306+F1277</f>
        <v>41829.6713064845</v>
      </c>
      <c r="F1317" s="84">
        <f>E1317*C1317</f>
        <v>3764.6704175836</v>
      </c>
    </row>
    <row r="1318" ht="14.45" customHeight="1" spans="1:6">
      <c r="A1318" s="57"/>
      <c r="B1318" s="57" t="s">
        <v>984</v>
      </c>
      <c r="C1318" s="195"/>
      <c r="D1318" s="84"/>
      <c r="E1318" s="84"/>
      <c r="F1318" s="84">
        <f>(F1277+F1306+F1307+F1308+F1317)*取费表!H7</f>
        <v>1367.83025172204</v>
      </c>
    </row>
    <row r="1319" ht="14.45" customHeight="1" spans="1:6">
      <c r="A1319" s="57"/>
      <c r="B1319" s="57" t="s">
        <v>278</v>
      </c>
      <c r="C1319" s="57"/>
      <c r="D1319" s="84"/>
      <c r="E1319" s="84"/>
      <c r="F1319" s="84">
        <f>F1317+E1317+F1318</f>
        <v>46962.1719757901</v>
      </c>
    </row>
    <row r="1320" customHeight="1" spans="1:6">
      <c r="A1320"/>
      <c r="B1320"/>
      <c r="C1320"/>
      <c r="D1320"/>
      <c r="E1320"/>
      <c r="F1320"/>
    </row>
    <row r="1321" ht="14.45" customHeight="1" spans="1:6">
      <c r="A1321"/>
      <c r="B1321"/>
      <c r="C1321"/>
      <c r="D1321"/>
      <c r="E1321"/>
      <c r="F1321"/>
    </row>
    <row r="1322" ht="14.45" customHeight="1" spans="1:6">
      <c r="A1322"/>
      <c r="B1322"/>
      <c r="C1322"/>
      <c r="D1322"/>
      <c r="E1322"/>
      <c r="F1322"/>
    </row>
    <row r="1323" ht="14.45" customHeight="1" spans="1:6">
      <c r="A1323"/>
      <c r="B1323"/>
      <c r="C1323"/>
      <c r="D1323"/>
      <c r="E1323"/>
      <c r="F1323"/>
    </row>
    <row r="1324" ht="14.45" customHeight="1" spans="1:6">
      <c r="A1324"/>
      <c r="B1324"/>
      <c r="C1324"/>
      <c r="D1324"/>
      <c r="E1324"/>
      <c r="F1324"/>
    </row>
    <row r="1325" ht="14.45" customHeight="1" spans="1:6">
      <c r="A1325"/>
      <c r="B1325"/>
      <c r="C1325"/>
      <c r="D1325"/>
      <c r="E1325"/>
      <c r="F1325"/>
    </row>
    <row r="1326" ht="14.45" customHeight="1" spans="1:6">
      <c r="A1326"/>
      <c r="B1326"/>
      <c r="C1326"/>
      <c r="D1326"/>
      <c r="E1326"/>
      <c r="F1326"/>
    </row>
    <row r="1327" ht="14.45" customHeight="1" spans="1:6">
      <c r="A1327"/>
      <c r="B1327"/>
      <c r="C1327"/>
      <c r="D1327"/>
      <c r="E1327"/>
      <c r="F1327"/>
    </row>
    <row r="1328" s="307" customFormat="1" ht="14.45" customHeight="1" spans="1:6">
      <c r="A1328"/>
      <c r="B1328"/>
      <c r="C1328"/>
      <c r="D1328"/>
      <c r="E1328"/>
      <c r="F1328"/>
    </row>
    <row r="1329" s="307" customFormat="1" ht="14.45" customHeight="1" spans="1:6">
      <c r="A1329"/>
      <c r="B1329"/>
      <c r="C1329"/>
      <c r="D1329"/>
      <c r="E1329"/>
      <c r="F1329"/>
    </row>
    <row r="1330" ht="14.45" customHeight="1" spans="1:6">
      <c r="A1330"/>
      <c r="B1330"/>
      <c r="C1330"/>
      <c r="D1330"/>
      <c r="E1330"/>
      <c r="F1330"/>
    </row>
    <row r="1331" ht="14.45" customHeight="1" spans="1:6">
      <c r="A1331"/>
      <c r="B1331"/>
      <c r="C1331"/>
      <c r="D1331"/>
      <c r="E1331"/>
      <c r="F1331"/>
    </row>
    <row r="1332" ht="14.45" customHeight="1" spans="1:6">
      <c r="A1332"/>
      <c r="B1332"/>
      <c r="C1332"/>
      <c r="D1332"/>
      <c r="E1332"/>
      <c r="F1332"/>
    </row>
    <row r="1333" ht="14.45" customHeight="1" spans="1:6">
      <c r="A1333"/>
      <c r="B1333"/>
      <c r="C1333"/>
      <c r="D1333"/>
      <c r="E1333"/>
      <c r="F1333"/>
    </row>
    <row r="1334" ht="14.45" customHeight="1" spans="1:6">
      <c r="A1334"/>
      <c r="B1334"/>
      <c r="C1334"/>
      <c r="D1334"/>
      <c r="E1334"/>
      <c r="F1334"/>
    </row>
    <row r="1335" ht="14.45" customHeight="1" spans="1:6">
      <c r="A1335"/>
      <c r="B1335"/>
      <c r="C1335"/>
      <c r="D1335"/>
      <c r="E1335"/>
      <c r="F1335"/>
    </row>
    <row r="1336" ht="14.45" customHeight="1" spans="1:6">
      <c r="A1336"/>
      <c r="B1336"/>
      <c r="C1336"/>
      <c r="D1336"/>
      <c r="E1336"/>
      <c r="F1336"/>
    </row>
    <row r="1337" ht="14.45" customHeight="1" spans="1:6">
      <c r="A1337"/>
      <c r="B1337"/>
      <c r="C1337"/>
      <c r="D1337"/>
      <c r="E1337"/>
      <c r="F1337"/>
    </row>
    <row r="1338" ht="14.45" customHeight="1" spans="1:6">
      <c r="A1338"/>
      <c r="B1338"/>
      <c r="C1338"/>
      <c r="D1338"/>
      <c r="E1338"/>
      <c r="F1338"/>
    </row>
    <row r="1339" ht="14.45" customHeight="1" spans="1:6">
      <c r="A1339"/>
      <c r="B1339"/>
      <c r="C1339"/>
      <c r="D1339"/>
      <c r="E1339"/>
      <c r="F1339"/>
    </row>
    <row r="1340" ht="14.45" customHeight="1" spans="1:6">
      <c r="A1340"/>
      <c r="B1340"/>
      <c r="C1340"/>
      <c r="D1340"/>
      <c r="E1340"/>
      <c r="F1340"/>
    </row>
    <row r="1341" ht="14.45" customHeight="1" spans="1:6">
      <c r="A1341"/>
      <c r="B1341"/>
      <c r="C1341"/>
      <c r="D1341"/>
      <c r="E1341"/>
      <c r="F1341"/>
    </row>
    <row r="1342" ht="14.45" customHeight="1" spans="1:6">
      <c r="A1342"/>
      <c r="B1342"/>
      <c r="C1342"/>
      <c r="D1342"/>
      <c r="E1342"/>
      <c r="F1342"/>
    </row>
    <row r="1343" ht="14.45" customHeight="1" spans="1:6">
      <c r="A1343"/>
      <c r="B1343"/>
      <c r="C1343"/>
      <c r="D1343"/>
      <c r="E1343"/>
      <c r="F1343"/>
    </row>
    <row r="1344" ht="14.45" customHeight="1" spans="1:6">
      <c r="A1344"/>
      <c r="B1344"/>
      <c r="C1344"/>
      <c r="D1344"/>
      <c r="E1344"/>
      <c r="F1344"/>
    </row>
    <row r="1345" ht="14.45" customHeight="1" spans="1:6">
      <c r="A1345"/>
      <c r="B1345"/>
      <c r="C1345"/>
      <c r="D1345"/>
      <c r="E1345"/>
      <c r="F1345"/>
    </row>
    <row r="1346" ht="14.45" customHeight="1" spans="1:6">
      <c r="A1346"/>
      <c r="B1346"/>
      <c r="C1346"/>
      <c r="D1346"/>
      <c r="E1346"/>
      <c r="F1346"/>
    </row>
    <row r="1347" ht="14.45" customHeight="1" spans="1:6">
      <c r="A1347"/>
      <c r="B1347"/>
      <c r="C1347"/>
      <c r="D1347"/>
      <c r="E1347"/>
      <c r="F1347"/>
    </row>
    <row r="1348" s="307" customFormat="1" ht="14.45" customHeight="1" spans="1:6">
      <c r="A1348"/>
      <c r="B1348"/>
      <c r="C1348"/>
      <c r="D1348"/>
      <c r="E1348"/>
      <c r="F1348"/>
    </row>
    <row r="1349" s="307" customFormat="1" ht="14.45" customHeight="1" spans="1:6">
      <c r="A1349"/>
      <c r="B1349"/>
      <c r="C1349"/>
      <c r="D1349"/>
      <c r="E1349"/>
      <c r="F1349"/>
    </row>
    <row r="1350" s="307" customFormat="1" ht="14.45" customHeight="1" spans="1:6">
      <c r="A1350"/>
      <c r="B1350"/>
      <c r="C1350"/>
      <c r="D1350"/>
      <c r="E1350"/>
      <c r="F1350"/>
    </row>
    <row r="1351" s="307" customFormat="1" ht="14.45" customHeight="1" spans="1:6">
      <c r="A1351"/>
      <c r="B1351"/>
      <c r="C1351"/>
      <c r="D1351"/>
      <c r="E1351"/>
      <c r="F1351"/>
    </row>
    <row r="1352" s="307" customFormat="1" ht="14.45" customHeight="1" spans="1:6">
      <c r="A1352"/>
      <c r="B1352"/>
      <c r="C1352"/>
      <c r="D1352"/>
      <c r="E1352"/>
      <c r="F1352"/>
    </row>
    <row r="1353" s="307" customFormat="1" ht="14.45" customHeight="1" spans="1:6">
      <c r="A1353"/>
      <c r="B1353"/>
      <c r="C1353"/>
      <c r="D1353"/>
      <c r="E1353"/>
      <c r="F1353"/>
    </row>
    <row r="1354" s="307" customFormat="1" ht="14.45" customHeight="1" spans="1:6">
      <c r="A1354"/>
      <c r="B1354"/>
      <c r="C1354"/>
      <c r="D1354"/>
      <c r="E1354"/>
      <c r="F1354"/>
    </row>
    <row r="1355" s="310" customFormat="1" ht="14.45" customHeight="1" spans="1:6">
      <c r="A1355"/>
      <c r="B1355"/>
      <c r="C1355"/>
      <c r="D1355"/>
      <c r="E1355"/>
      <c r="F1355"/>
    </row>
    <row r="1356" ht="14.45" customHeight="1" spans="1:6">
      <c r="A1356"/>
      <c r="B1356"/>
      <c r="C1356"/>
      <c r="D1356"/>
      <c r="E1356"/>
      <c r="F1356"/>
    </row>
    <row r="1357" ht="14.45" customHeight="1" spans="1:6">
      <c r="A1357"/>
      <c r="B1357"/>
      <c r="C1357"/>
      <c r="D1357"/>
      <c r="E1357"/>
      <c r="F1357"/>
    </row>
    <row r="1358" ht="14.45" customHeight="1" spans="1:6">
      <c r="A1358"/>
      <c r="B1358"/>
      <c r="C1358"/>
      <c r="D1358"/>
      <c r="E1358"/>
      <c r="F1358"/>
    </row>
    <row r="1359" ht="14.45" customHeight="1" spans="1:6">
      <c r="A1359"/>
      <c r="B1359"/>
      <c r="C1359"/>
      <c r="D1359"/>
      <c r="E1359"/>
      <c r="F1359"/>
    </row>
    <row r="1360" ht="14.45" customHeight="1" spans="1:6">
      <c r="A1360"/>
      <c r="B1360"/>
      <c r="C1360"/>
      <c r="D1360"/>
      <c r="E1360"/>
      <c r="F1360"/>
    </row>
    <row r="1361" ht="14.45" customHeight="1" spans="1:6">
      <c r="A1361"/>
      <c r="B1361"/>
      <c r="C1361"/>
      <c r="D1361"/>
      <c r="E1361"/>
      <c r="F1361"/>
    </row>
    <row r="1362" ht="14.45" customHeight="1" spans="1:6">
      <c r="A1362"/>
      <c r="B1362"/>
      <c r="C1362"/>
      <c r="D1362"/>
      <c r="E1362"/>
      <c r="F1362"/>
    </row>
    <row r="1363" ht="14.45" customHeight="1" spans="1:6">
      <c r="A1363"/>
      <c r="B1363"/>
      <c r="C1363"/>
      <c r="D1363"/>
      <c r="E1363"/>
      <c r="F1363"/>
    </row>
    <row r="1364" ht="14.45" customHeight="1" spans="1:6">
      <c r="A1364"/>
      <c r="B1364"/>
      <c r="C1364"/>
      <c r="D1364"/>
      <c r="E1364"/>
      <c r="F1364"/>
    </row>
    <row r="1365" ht="15" customHeight="1" spans="1:6">
      <c r="A1365"/>
      <c r="B1365"/>
      <c r="C1365"/>
      <c r="D1365"/>
      <c r="E1365"/>
      <c r="F1365"/>
    </row>
    <row r="1366" ht="19.5" customHeight="1" spans="1:6">
      <c r="A1366"/>
      <c r="B1366"/>
      <c r="C1366"/>
      <c r="D1366"/>
      <c r="E1366"/>
      <c r="F1366"/>
    </row>
    <row r="1367" ht="14.45" customHeight="1" spans="1:6">
      <c r="A1367"/>
      <c r="B1367"/>
      <c r="C1367"/>
      <c r="D1367"/>
      <c r="E1367"/>
      <c r="F1367"/>
    </row>
    <row r="1368" ht="14.45" customHeight="1" spans="1:6">
      <c r="A1368"/>
      <c r="B1368"/>
      <c r="C1368"/>
      <c r="D1368"/>
      <c r="E1368"/>
      <c r="F1368"/>
    </row>
    <row r="1369" ht="14.45" customHeight="1" spans="1:6">
      <c r="A1369"/>
      <c r="B1369"/>
      <c r="C1369"/>
      <c r="D1369"/>
      <c r="E1369"/>
      <c r="F1369"/>
    </row>
    <row r="1370" ht="14.45" customHeight="1" spans="1:6">
      <c r="A1370"/>
      <c r="B1370"/>
      <c r="C1370"/>
      <c r="D1370"/>
      <c r="E1370"/>
      <c r="F1370"/>
    </row>
    <row r="1371" ht="14.45" customHeight="1" spans="1:6">
      <c r="A1371"/>
      <c r="B1371"/>
      <c r="C1371"/>
      <c r="D1371"/>
      <c r="E1371"/>
      <c r="F1371"/>
    </row>
    <row r="1372" ht="14.45" customHeight="1" spans="1:6">
      <c r="A1372"/>
      <c r="B1372"/>
      <c r="C1372"/>
      <c r="D1372"/>
      <c r="E1372"/>
      <c r="F1372"/>
    </row>
    <row r="1373" ht="14.45" customHeight="1" spans="1:6">
      <c r="A1373"/>
      <c r="B1373"/>
      <c r="C1373"/>
      <c r="D1373"/>
      <c r="E1373"/>
      <c r="F1373"/>
    </row>
    <row r="1374" ht="14.45" customHeight="1" spans="1:6">
      <c r="A1374"/>
      <c r="B1374"/>
      <c r="C1374"/>
      <c r="D1374"/>
      <c r="E1374"/>
      <c r="F1374"/>
    </row>
    <row r="1375" s="307" customFormat="1" ht="14.45" customHeight="1" spans="1:6">
      <c r="A1375"/>
      <c r="B1375"/>
      <c r="C1375"/>
      <c r="D1375"/>
      <c r="E1375"/>
      <c r="F1375"/>
    </row>
    <row r="1376" s="307" customFormat="1" ht="14.45" customHeight="1" spans="1:6">
      <c r="A1376"/>
      <c r="B1376"/>
      <c r="C1376"/>
      <c r="D1376"/>
      <c r="E1376"/>
      <c r="F1376"/>
    </row>
    <row r="1377" ht="14.45" customHeight="1" spans="1:6">
      <c r="A1377"/>
      <c r="B1377"/>
      <c r="C1377"/>
      <c r="D1377"/>
      <c r="E1377"/>
      <c r="F1377"/>
    </row>
    <row r="1378" ht="14.45" customHeight="1" spans="1:6">
      <c r="A1378"/>
      <c r="B1378"/>
      <c r="C1378"/>
      <c r="D1378"/>
      <c r="E1378"/>
      <c r="F1378"/>
    </row>
    <row r="1379" ht="14.45" customHeight="1" spans="1:6">
      <c r="A1379"/>
      <c r="B1379"/>
      <c r="C1379"/>
      <c r="D1379"/>
      <c r="E1379"/>
      <c r="F1379"/>
    </row>
    <row r="1380" ht="14.45" customHeight="1" spans="1:6">
      <c r="A1380"/>
      <c r="B1380"/>
      <c r="C1380"/>
      <c r="D1380"/>
      <c r="E1380"/>
      <c r="F1380"/>
    </row>
    <row r="1381" ht="14.45" customHeight="1" spans="1:6">
      <c r="A1381"/>
      <c r="B1381"/>
      <c r="C1381"/>
      <c r="D1381"/>
      <c r="E1381"/>
      <c r="F1381"/>
    </row>
    <row r="1382" ht="14.45" customHeight="1" spans="1:6">
      <c r="A1382"/>
      <c r="B1382"/>
      <c r="C1382"/>
      <c r="D1382"/>
      <c r="E1382"/>
      <c r="F1382"/>
    </row>
    <row r="1383" ht="14.45" customHeight="1" spans="1:6">
      <c r="A1383"/>
      <c r="B1383"/>
      <c r="C1383"/>
      <c r="D1383"/>
      <c r="E1383"/>
      <c r="F1383"/>
    </row>
    <row r="1384" ht="14.45" customHeight="1" spans="1:6">
      <c r="A1384"/>
      <c r="B1384"/>
      <c r="C1384"/>
      <c r="D1384"/>
      <c r="E1384"/>
      <c r="F1384"/>
    </row>
    <row r="1385" ht="14.45" customHeight="1" spans="1:6">
      <c r="A1385"/>
      <c r="B1385"/>
      <c r="C1385"/>
      <c r="D1385"/>
      <c r="E1385"/>
      <c r="F1385"/>
    </row>
    <row r="1386" ht="14.45" customHeight="1" spans="1:6">
      <c r="A1386"/>
      <c r="B1386"/>
      <c r="C1386"/>
      <c r="D1386"/>
      <c r="E1386"/>
      <c r="F1386"/>
    </row>
    <row r="1387" ht="14.45" customHeight="1" spans="1:6">
      <c r="A1387"/>
      <c r="B1387"/>
      <c r="C1387"/>
      <c r="D1387"/>
      <c r="E1387"/>
      <c r="F1387"/>
    </row>
    <row r="1388" ht="14.45" customHeight="1" spans="1:6">
      <c r="A1388"/>
      <c r="B1388"/>
      <c r="C1388"/>
      <c r="D1388"/>
      <c r="E1388"/>
      <c r="F1388"/>
    </row>
    <row r="1389" ht="14.45" customHeight="1" spans="1:6">
      <c r="A1389"/>
      <c r="B1389"/>
      <c r="C1389"/>
      <c r="D1389"/>
      <c r="E1389"/>
      <c r="F1389"/>
    </row>
    <row r="1390" ht="14.45" customHeight="1" spans="1:6">
      <c r="A1390"/>
      <c r="B1390"/>
      <c r="C1390"/>
      <c r="D1390"/>
      <c r="E1390"/>
      <c r="F1390"/>
    </row>
    <row r="1391" ht="14.45" customHeight="1" spans="1:6">
      <c r="A1391"/>
      <c r="B1391"/>
      <c r="C1391"/>
      <c r="D1391"/>
      <c r="E1391"/>
      <c r="F1391"/>
    </row>
    <row r="1392" ht="14.45" customHeight="1" spans="1:6">
      <c r="A1392"/>
      <c r="B1392"/>
      <c r="C1392"/>
      <c r="D1392"/>
      <c r="E1392"/>
      <c r="F1392"/>
    </row>
    <row r="1393" ht="14.45" customHeight="1" spans="1:6">
      <c r="A1393"/>
      <c r="B1393"/>
      <c r="C1393"/>
      <c r="D1393"/>
      <c r="E1393"/>
      <c r="F1393"/>
    </row>
    <row r="1394" ht="14.45" customHeight="1" spans="1:6">
      <c r="A1394"/>
      <c r="B1394"/>
      <c r="C1394"/>
      <c r="D1394"/>
      <c r="E1394"/>
      <c r="F1394"/>
    </row>
    <row r="1395" s="309" customFormat="1" ht="14.45" customHeight="1" spans="1:6">
      <c r="A1395"/>
      <c r="B1395"/>
      <c r="C1395"/>
      <c r="D1395"/>
      <c r="E1395"/>
      <c r="F1395"/>
    </row>
    <row r="1396" s="307" customFormat="1" ht="14.45" customHeight="1" spans="1:6">
      <c r="A1396"/>
      <c r="B1396"/>
      <c r="C1396"/>
      <c r="D1396"/>
      <c r="E1396"/>
      <c r="F1396"/>
    </row>
    <row r="1397" s="307" customFormat="1" ht="14.45" customHeight="1" spans="1:6">
      <c r="A1397"/>
      <c r="B1397"/>
      <c r="C1397"/>
      <c r="D1397"/>
      <c r="E1397"/>
      <c r="F1397"/>
    </row>
    <row r="1398" s="307" customFormat="1" ht="14.45" customHeight="1" spans="1:6">
      <c r="A1398"/>
      <c r="B1398"/>
      <c r="C1398"/>
      <c r="D1398"/>
      <c r="E1398"/>
      <c r="F1398"/>
    </row>
    <row r="1399" s="307" customFormat="1" ht="14.45" customHeight="1" spans="1:6">
      <c r="A1399"/>
      <c r="B1399"/>
      <c r="C1399"/>
      <c r="D1399"/>
      <c r="E1399"/>
      <c r="F1399"/>
    </row>
    <row r="1400" s="307" customFormat="1" ht="14.45" customHeight="1" spans="1:6">
      <c r="A1400"/>
      <c r="B1400"/>
      <c r="C1400"/>
      <c r="D1400"/>
      <c r="E1400"/>
      <c r="F1400"/>
    </row>
    <row r="1401" s="307" customFormat="1" ht="14.45" customHeight="1" spans="1:6">
      <c r="A1401"/>
      <c r="B1401"/>
      <c r="C1401"/>
      <c r="D1401"/>
      <c r="E1401"/>
      <c r="F1401"/>
    </row>
    <row r="1402" s="310" customFormat="1" ht="14.45" customHeight="1" spans="1:6">
      <c r="A1402"/>
      <c r="B1402"/>
      <c r="C1402"/>
      <c r="D1402"/>
      <c r="E1402"/>
      <c r="F1402"/>
    </row>
    <row r="1403" ht="14.45" customHeight="1" spans="1:6">
      <c r="A1403"/>
      <c r="B1403"/>
      <c r="C1403"/>
      <c r="D1403"/>
      <c r="E1403"/>
      <c r="F1403"/>
    </row>
    <row r="1404" ht="14.45" customHeight="1" spans="1:6">
      <c r="A1404"/>
      <c r="B1404"/>
      <c r="C1404"/>
      <c r="D1404"/>
      <c r="E1404"/>
      <c r="F1404"/>
    </row>
    <row r="1405" ht="14.45" customHeight="1" spans="1:6">
      <c r="A1405"/>
      <c r="B1405"/>
      <c r="C1405"/>
      <c r="D1405"/>
      <c r="E1405"/>
      <c r="F1405"/>
    </row>
    <row r="1406" ht="14.45" customHeight="1" spans="1:6">
      <c r="A1406"/>
      <c r="B1406"/>
      <c r="C1406"/>
      <c r="D1406"/>
      <c r="E1406"/>
      <c r="F1406"/>
    </row>
    <row r="1407" ht="14.45" customHeight="1" spans="1:6">
      <c r="A1407"/>
      <c r="B1407"/>
      <c r="C1407"/>
      <c r="D1407"/>
      <c r="E1407"/>
      <c r="F1407"/>
    </row>
    <row r="1408" ht="14.45" customHeight="1" spans="1:6">
      <c r="A1408"/>
      <c r="B1408"/>
      <c r="C1408"/>
      <c r="D1408"/>
      <c r="E1408"/>
      <c r="F1408"/>
    </row>
    <row r="1409" ht="14.45" customHeight="1" spans="1:6">
      <c r="A1409"/>
      <c r="B1409"/>
      <c r="C1409"/>
      <c r="D1409"/>
      <c r="E1409"/>
      <c r="F1409"/>
    </row>
    <row r="1410" ht="14.45" customHeight="1" spans="1:6">
      <c r="A1410"/>
      <c r="B1410"/>
      <c r="C1410"/>
      <c r="D1410"/>
      <c r="E1410"/>
      <c r="F1410"/>
    </row>
    <row r="1411" ht="14.45" customHeight="1" spans="1:6">
      <c r="A1411"/>
      <c r="B1411"/>
      <c r="C1411"/>
      <c r="D1411"/>
      <c r="E1411"/>
      <c r="F1411"/>
    </row>
    <row r="1412" ht="16.5" customHeight="1" spans="1:6">
      <c r="A1412"/>
      <c r="B1412"/>
      <c r="C1412"/>
      <c r="D1412"/>
      <c r="E1412"/>
      <c r="F1412"/>
    </row>
    <row r="1413" ht="18.75" customHeight="1" spans="1:6">
      <c r="A1413"/>
      <c r="B1413"/>
      <c r="C1413"/>
      <c r="D1413"/>
      <c r="E1413"/>
      <c r="F1413"/>
    </row>
    <row r="1414" ht="14.85" customHeight="1" spans="1:11">
      <c r="A1414" s="312" t="s">
        <v>1155</v>
      </c>
      <c r="B1414" s="312"/>
      <c r="C1414" s="312"/>
      <c r="D1414" s="312"/>
      <c r="E1414" s="312"/>
      <c r="F1414" s="312"/>
      <c r="G1414" s="312" t="s">
        <v>1320</v>
      </c>
      <c r="H1414" s="312"/>
      <c r="I1414" s="312"/>
      <c r="J1414" s="312"/>
      <c r="K1414" s="312"/>
    </row>
    <row r="1415" ht="14.85" customHeight="1" spans="1:11">
      <c r="A1415" s="242" t="s">
        <v>1321</v>
      </c>
      <c r="C1415" s="243"/>
      <c r="D1415" s="243"/>
      <c r="E1415" s="243"/>
      <c r="F1415" s="243"/>
      <c r="G1415" s="256" t="s">
        <v>1322</v>
      </c>
      <c r="H1415" s="256"/>
      <c r="I1415" s="256"/>
      <c r="J1415" s="256"/>
      <c r="K1415" s="256"/>
    </row>
    <row r="1416" ht="14.85" customHeight="1" spans="1:11">
      <c r="A1416" s="191" t="s">
        <v>1323</v>
      </c>
      <c r="B1416" s="191"/>
      <c r="C1416" s="168"/>
      <c r="D1416" s="168"/>
      <c r="E1416" s="191" t="s">
        <v>1159</v>
      </c>
      <c r="F1416" s="191"/>
      <c r="G1416" s="334"/>
      <c r="H1416" s="168"/>
      <c r="I1416" s="168"/>
      <c r="J1416" s="191" t="s">
        <v>1159</v>
      </c>
      <c r="K1416" s="191"/>
    </row>
    <row r="1417" ht="14.85" customHeight="1" spans="1:11">
      <c r="A1417" s="117" t="s">
        <v>1324</v>
      </c>
      <c r="B1417" s="192"/>
      <c r="C1417" s="192"/>
      <c r="D1417" s="192"/>
      <c r="E1417" s="192"/>
      <c r="F1417" s="118"/>
      <c r="G1417" s="192"/>
      <c r="H1417" s="192"/>
      <c r="I1417" s="192"/>
      <c r="J1417" s="192"/>
      <c r="K1417" s="118"/>
    </row>
    <row r="1418" ht="14.85" customHeight="1" spans="1:11">
      <c r="A1418" s="57" t="s">
        <v>354</v>
      </c>
      <c r="B1418" s="57" t="s">
        <v>956</v>
      </c>
      <c r="C1418" s="57" t="s">
        <v>52</v>
      </c>
      <c r="D1418" s="57" t="s">
        <v>855</v>
      </c>
      <c r="E1418" s="57" t="s">
        <v>53</v>
      </c>
      <c r="F1418" s="57" t="s">
        <v>306</v>
      </c>
      <c r="G1418" s="57" t="s">
        <v>956</v>
      </c>
      <c r="H1418" s="57" t="s">
        <v>52</v>
      </c>
      <c r="I1418" s="57" t="s">
        <v>855</v>
      </c>
      <c r="J1418" s="57" t="s">
        <v>53</v>
      </c>
      <c r="K1418" s="57" t="s">
        <v>306</v>
      </c>
    </row>
    <row r="1419" ht="14.85" customHeight="1" spans="1:11">
      <c r="A1419" s="57" t="s">
        <v>959</v>
      </c>
      <c r="B1419" s="57" t="s">
        <v>960</v>
      </c>
      <c r="C1419" s="57"/>
      <c r="D1419" s="57"/>
      <c r="E1419" s="248"/>
      <c r="F1419" s="84">
        <f>F1420+F1445+F1446</f>
        <v>36469.7681077312</v>
      </c>
      <c r="G1419" s="57" t="s">
        <v>960</v>
      </c>
      <c r="H1419" s="57"/>
      <c r="I1419" s="57"/>
      <c r="J1419" s="248"/>
      <c r="K1419" s="84">
        <f>K1420+K1445+K1446</f>
        <v>35631.6413479966</v>
      </c>
    </row>
    <row r="1420" ht="14.85" customHeight="1" spans="1:11">
      <c r="A1420" s="57" t="s">
        <v>59</v>
      </c>
      <c r="B1420" s="57" t="s">
        <v>957</v>
      </c>
      <c r="C1420" s="57"/>
      <c r="D1420" s="57"/>
      <c r="E1420" s="248"/>
      <c r="F1420" s="196">
        <f>F1421+F1424+F1434+F1442</f>
        <v>34799.3970493619</v>
      </c>
      <c r="G1420" s="57" t="s">
        <v>957</v>
      </c>
      <c r="H1420" s="57"/>
      <c r="I1420" s="57"/>
      <c r="J1420" s="248"/>
      <c r="K1420" s="196">
        <f>K1421+K1424+K1434+K1442</f>
        <v>33999.6577748059</v>
      </c>
    </row>
    <row r="1421" ht="14.85" customHeight="1" spans="1:11">
      <c r="A1421" s="57">
        <v>1</v>
      </c>
      <c r="B1421" s="57" t="s">
        <v>964</v>
      </c>
      <c r="C1421" s="57" t="s">
        <v>965</v>
      </c>
      <c r="D1421" s="84"/>
      <c r="E1421" s="249">
        <f>SUM(E1422:E1423)</f>
        <v>1486.1</v>
      </c>
      <c r="F1421" s="113">
        <f>SUM(F1422:F1423)</f>
        <v>10790.86</v>
      </c>
      <c r="G1421" s="57" t="s">
        <v>964</v>
      </c>
      <c r="H1421" s="57" t="s">
        <v>965</v>
      </c>
      <c r="I1421" s="84"/>
      <c r="J1421" s="249">
        <f>SUM(J1422:J1423)</f>
        <v>1486.1</v>
      </c>
      <c r="K1421" s="113">
        <f>SUM(K1422:K1423)</f>
        <v>10790.86</v>
      </c>
    </row>
    <row r="1422" ht="14.85" customHeight="1" spans="1:11">
      <c r="A1422" s="57"/>
      <c r="B1422" s="57" t="s">
        <v>966</v>
      </c>
      <c r="C1422" s="57" t="s">
        <v>965</v>
      </c>
      <c r="D1422" s="113">
        <f>建筑工程单价分析表!D436</f>
        <v>8.1</v>
      </c>
      <c r="E1422" s="250">
        <v>951.1</v>
      </c>
      <c r="F1422" s="113">
        <f>D1422*E1422</f>
        <v>7703.91</v>
      </c>
      <c r="G1422" s="57" t="s">
        <v>966</v>
      </c>
      <c r="H1422" s="57" t="s">
        <v>965</v>
      </c>
      <c r="I1422" s="113">
        <f t="shared" ref="I1422:I1425" si="158">D1422</f>
        <v>8.1</v>
      </c>
      <c r="J1422" s="250">
        <v>951.1</v>
      </c>
      <c r="K1422" s="113">
        <f>I1422*J1422</f>
        <v>7703.91</v>
      </c>
    </row>
    <row r="1423" ht="14.85" customHeight="1" spans="1:11">
      <c r="A1423" s="57"/>
      <c r="B1423" s="57" t="s">
        <v>968</v>
      </c>
      <c r="C1423" s="57" t="s">
        <v>965</v>
      </c>
      <c r="D1423" s="113">
        <f>建筑工程单价分析表!D437</f>
        <v>5.77</v>
      </c>
      <c r="E1423" s="250">
        <v>535</v>
      </c>
      <c r="F1423" s="113">
        <f>D1423*E1423</f>
        <v>3086.95</v>
      </c>
      <c r="G1423" s="57" t="s">
        <v>968</v>
      </c>
      <c r="H1423" s="57" t="s">
        <v>965</v>
      </c>
      <c r="I1423" s="113">
        <f t="shared" si="158"/>
        <v>5.77</v>
      </c>
      <c r="J1423" s="250">
        <v>535</v>
      </c>
      <c r="K1423" s="113">
        <f>I1423*J1423</f>
        <v>3086.95</v>
      </c>
    </row>
    <row r="1424" ht="14.85" customHeight="1" spans="1:11">
      <c r="A1424" s="57">
        <v>2</v>
      </c>
      <c r="B1424" s="57" t="s">
        <v>1219</v>
      </c>
      <c r="C1424" s="57"/>
      <c r="D1424" s="84"/>
      <c r="E1424" s="84"/>
      <c r="F1424" s="84">
        <f>SUM(F1425:F1433)</f>
        <v>21259.8722642775</v>
      </c>
      <c r="G1424" s="57" t="s">
        <v>1219</v>
      </c>
      <c r="H1424" s="57"/>
      <c r="I1424" s="84"/>
      <c r="J1424" s="84"/>
      <c r="K1424" s="84">
        <f>SUM(K1425:K1433)</f>
        <v>22979.68098105</v>
      </c>
    </row>
    <row r="1425" ht="14.85" customHeight="1" spans="1:11">
      <c r="A1425" s="57"/>
      <c r="B1425" s="244" t="s">
        <v>1272</v>
      </c>
      <c r="C1425" s="244" t="s">
        <v>1188</v>
      </c>
      <c r="D1425" s="84">
        <f>建筑工程单价分析表!D439</f>
        <v>2232.665025</v>
      </c>
      <c r="E1425" s="84">
        <v>0.4</v>
      </c>
      <c r="F1425" s="84">
        <f t="shared" ref="F1425:F1432" si="159">D1425*E1425</f>
        <v>893.06601</v>
      </c>
      <c r="G1425" s="244" t="s">
        <v>1272</v>
      </c>
      <c r="H1425" s="244" t="s">
        <v>1188</v>
      </c>
      <c r="I1425" s="84">
        <f t="shared" si="158"/>
        <v>2232.665025</v>
      </c>
      <c r="J1425" s="84">
        <v>0.4</v>
      </c>
      <c r="K1425" s="84">
        <f t="shared" ref="K1425:K1432" si="160">I1425*J1425</f>
        <v>893.06601</v>
      </c>
    </row>
    <row r="1426" ht="14.85" customHeight="1" spans="1:11">
      <c r="A1426" s="57"/>
      <c r="B1426" s="244" t="s">
        <v>1273</v>
      </c>
      <c r="C1426" s="244" t="s">
        <v>184</v>
      </c>
      <c r="D1426" s="84">
        <f>建筑工程单价分析表!D440</f>
        <v>4.44</v>
      </c>
      <c r="E1426" s="84">
        <v>52.08</v>
      </c>
      <c r="F1426" s="84">
        <f t="shared" si="159"/>
        <v>231.2352</v>
      </c>
      <c r="G1426" s="244" t="s">
        <v>1273</v>
      </c>
      <c r="H1426" s="244" t="s">
        <v>184</v>
      </c>
      <c r="I1426" s="84">
        <f t="shared" ref="I1426:I1432" si="161">D1426</f>
        <v>4.44</v>
      </c>
      <c r="J1426" s="84">
        <v>52.08</v>
      </c>
      <c r="K1426" s="84">
        <f t="shared" si="160"/>
        <v>231.2352</v>
      </c>
    </row>
    <row r="1427" ht="14.85" customHeight="1" spans="1:11">
      <c r="A1427" s="57"/>
      <c r="B1427" s="244" t="s">
        <v>1274</v>
      </c>
      <c r="C1427" s="244" t="s">
        <v>184</v>
      </c>
      <c r="D1427" s="84">
        <f>建筑工程单价分析表!D441</f>
        <v>4.5</v>
      </c>
      <c r="E1427" s="84">
        <v>42.2</v>
      </c>
      <c r="F1427" s="84">
        <f t="shared" si="159"/>
        <v>189.9</v>
      </c>
      <c r="G1427" s="244" t="s">
        <v>1274</v>
      </c>
      <c r="H1427" s="244" t="s">
        <v>184</v>
      </c>
      <c r="I1427" s="84">
        <f t="shared" si="161"/>
        <v>4.5</v>
      </c>
      <c r="J1427" s="84">
        <v>42.2</v>
      </c>
      <c r="K1427" s="84">
        <f t="shared" si="160"/>
        <v>189.9</v>
      </c>
    </row>
    <row r="1428" ht="14.85" customHeight="1" spans="1:11">
      <c r="A1428" s="57"/>
      <c r="B1428" s="244" t="s">
        <v>1275</v>
      </c>
      <c r="C1428" s="244" t="s">
        <v>184</v>
      </c>
      <c r="D1428" s="84">
        <f>建筑工程单价分析表!D442</f>
        <v>5.15</v>
      </c>
      <c r="E1428" s="84">
        <v>22.32</v>
      </c>
      <c r="F1428" s="84">
        <f t="shared" si="159"/>
        <v>114.948</v>
      </c>
      <c r="G1428" s="244" t="s">
        <v>1275</v>
      </c>
      <c r="H1428" s="244" t="s">
        <v>184</v>
      </c>
      <c r="I1428" s="84">
        <f t="shared" si="161"/>
        <v>5.15</v>
      </c>
      <c r="J1428" s="84">
        <v>22.32</v>
      </c>
      <c r="K1428" s="84">
        <f t="shared" si="160"/>
        <v>114.948</v>
      </c>
    </row>
    <row r="1429" ht="14.85" customHeight="1" spans="1:11">
      <c r="A1429" s="57"/>
      <c r="B1429" s="244" t="s">
        <v>1276</v>
      </c>
      <c r="C1429" s="244" t="s">
        <v>184</v>
      </c>
      <c r="D1429" s="84">
        <f>建筑工程单价分析表!D443</f>
        <v>4.5</v>
      </c>
      <c r="E1429" s="84">
        <v>67.3</v>
      </c>
      <c r="F1429" s="84">
        <f t="shared" si="159"/>
        <v>302.85</v>
      </c>
      <c r="G1429" s="244" t="s">
        <v>1276</v>
      </c>
      <c r="H1429" s="244" t="s">
        <v>184</v>
      </c>
      <c r="I1429" s="84">
        <f t="shared" si="161"/>
        <v>4.5</v>
      </c>
      <c r="J1429" s="84">
        <v>67.3</v>
      </c>
      <c r="K1429" s="84">
        <f t="shared" si="160"/>
        <v>302.85</v>
      </c>
    </row>
    <row r="1430" ht="14.85" customHeight="1" spans="1:11">
      <c r="A1430" s="57"/>
      <c r="B1430" s="244" t="s">
        <v>1278</v>
      </c>
      <c r="C1430" s="244" t="s">
        <v>184</v>
      </c>
      <c r="D1430" s="84">
        <f>建筑工程单价分析表!D444</f>
        <v>5.97</v>
      </c>
      <c r="E1430" s="84">
        <v>1.5</v>
      </c>
      <c r="F1430" s="84">
        <f t="shared" si="159"/>
        <v>8.955</v>
      </c>
      <c r="G1430" s="244" t="s">
        <v>1278</v>
      </c>
      <c r="H1430" s="244" t="s">
        <v>184</v>
      </c>
      <c r="I1430" s="84">
        <f t="shared" si="161"/>
        <v>5.97</v>
      </c>
      <c r="J1430" s="84">
        <v>1.5</v>
      </c>
      <c r="K1430" s="84">
        <f t="shared" si="160"/>
        <v>8.955</v>
      </c>
    </row>
    <row r="1431" ht="14.85" customHeight="1" spans="1:11">
      <c r="A1431" s="57"/>
      <c r="B1431" s="57" t="s">
        <v>1292</v>
      </c>
      <c r="C1431" s="57" t="s">
        <v>1188</v>
      </c>
      <c r="D1431" s="84">
        <f>配合比!M10</f>
        <v>183.3858985</v>
      </c>
      <c r="E1431" s="84">
        <v>103</v>
      </c>
      <c r="F1431" s="84">
        <f t="shared" si="159"/>
        <v>18888.7475455</v>
      </c>
      <c r="G1431" s="57" t="s">
        <v>1325</v>
      </c>
      <c r="H1431" s="57" t="s">
        <v>1188</v>
      </c>
      <c r="I1431" s="84">
        <v>200</v>
      </c>
      <c r="J1431" s="84">
        <v>103</v>
      </c>
      <c r="K1431" s="84">
        <f t="shared" si="160"/>
        <v>20600</v>
      </c>
    </row>
    <row r="1432" ht="14.85" customHeight="1" spans="1:11">
      <c r="A1432" s="57"/>
      <c r="B1432" s="57" t="s">
        <v>1022</v>
      </c>
      <c r="C1432" s="57" t="s">
        <v>1188</v>
      </c>
      <c r="D1432" s="84">
        <f>材料预算价!K14</f>
        <v>4.37</v>
      </c>
      <c r="E1432" s="84">
        <v>120</v>
      </c>
      <c r="F1432" s="84">
        <f t="shared" si="159"/>
        <v>524.4</v>
      </c>
      <c r="G1432" s="57" t="s">
        <v>1022</v>
      </c>
      <c r="H1432" s="57" t="s">
        <v>1188</v>
      </c>
      <c r="I1432" s="84">
        <f t="shared" si="161"/>
        <v>4.37</v>
      </c>
      <c r="J1432" s="84">
        <v>120</v>
      </c>
      <c r="K1432" s="84">
        <f t="shared" si="160"/>
        <v>524.4</v>
      </c>
    </row>
    <row r="1433" ht="14.85" customHeight="1" spans="1:11">
      <c r="A1433" s="57"/>
      <c r="B1433" s="57" t="s">
        <v>1163</v>
      </c>
      <c r="C1433" s="59" t="s">
        <v>423</v>
      </c>
      <c r="D1433" s="84">
        <f>F1425+F1426+F1427+F1428+F1429+F1430+F1431++F1432</f>
        <v>21154.1017555</v>
      </c>
      <c r="E1433" s="84">
        <v>0.5</v>
      </c>
      <c r="F1433" s="84">
        <f>D1433*E1433/100</f>
        <v>105.7705087775</v>
      </c>
      <c r="G1433" s="57" t="s">
        <v>1163</v>
      </c>
      <c r="H1433" s="59" t="s">
        <v>423</v>
      </c>
      <c r="I1433" s="84">
        <f>K1425+K1426+K1427+K1428+K1429+K1430+K1431++K1432</f>
        <v>22865.35421</v>
      </c>
      <c r="J1433" s="84">
        <v>0.5</v>
      </c>
      <c r="K1433" s="84">
        <f>I1433*J1433/100</f>
        <v>114.32677105</v>
      </c>
    </row>
    <row r="1434" ht="14.85" customHeight="1" spans="1:11">
      <c r="A1434" s="57">
        <v>3</v>
      </c>
      <c r="B1434" s="57" t="s">
        <v>1171</v>
      </c>
      <c r="C1434" s="57"/>
      <c r="D1434" s="84"/>
      <c r="E1434" s="84"/>
      <c r="F1434" s="84">
        <f>SUM(F1435:F1441)</f>
        <v>762.253364411667</v>
      </c>
      <c r="G1434" s="57" t="s">
        <v>1171</v>
      </c>
      <c r="H1434" s="57"/>
      <c r="I1434" s="84"/>
      <c r="J1434" s="84"/>
      <c r="K1434" s="84">
        <f>SUM(K1435:K1441)</f>
        <v>229.116793755903</v>
      </c>
    </row>
    <row r="1435" ht="14.85" customHeight="1" spans="1:11">
      <c r="A1435" s="57"/>
      <c r="B1435" s="57" t="s">
        <v>1280</v>
      </c>
      <c r="C1435" s="57" t="s">
        <v>988</v>
      </c>
      <c r="D1435" s="84">
        <f>建筑工程单价分析表!D449</f>
        <v>49.389824491424</v>
      </c>
      <c r="E1435" s="84">
        <v>1.5012</v>
      </c>
      <c r="F1435" s="84">
        <f t="shared" ref="F1435:F1440" si="162">D1435*E1435</f>
        <v>74.1440045265257</v>
      </c>
      <c r="G1435" s="57" t="s">
        <v>1280</v>
      </c>
      <c r="H1435" s="57" t="s">
        <v>988</v>
      </c>
      <c r="I1435" s="84">
        <f t="shared" ref="I1435:I1440" si="163">D1435</f>
        <v>49.389824491424</v>
      </c>
      <c r="J1435" s="84">
        <v>1.5012</v>
      </c>
      <c r="K1435" s="84">
        <f t="shared" ref="K1435:K1440" si="164">I1435*J1435</f>
        <v>74.1440045265257</v>
      </c>
    </row>
    <row r="1436" ht="14.85" customHeight="1" spans="1:11">
      <c r="A1436" s="57"/>
      <c r="B1436" s="57" t="s">
        <v>1281</v>
      </c>
      <c r="C1436" s="57" t="s">
        <v>988</v>
      </c>
      <c r="D1436" s="84">
        <f>建筑工程单价分析表!D450</f>
        <v>62.3342780215397</v>
      </c>
      <c r="E1436" s="84">
        <v>0.35</v>
      </c>
      <c r="F1436" s="84">
        <f t="shared" si="162"/>
        <v>21.8169973075389</v>
      </c>
      <c r="G1436" s="57" t="s">
        <v>1281</v>
      </c>
      <c r="H1436" s="57" t="s">
        <v>988</v>
      </c>
      <c r="I1436" s="84">
        <f t="shared" si="163"/>
        <v>62.3342780215397</v>
      </c>
      <c r="J1436" s="84">
        <v>0.35</v>
      </c>
      <c r="K1436" s="84">
        <f t="shared" si="164"/>
        <v>21.8169973075389</v>
      </c>
    </row>
    <row r="1437" ht="14.85" customHeight="1" spans="1:11">
      <c r="A1437" s="57"/>
      <c r="B1437" s="57" t="s">
        <v>1282</v>
      </c>
      <c r="C1437" s="57" t="s">
        <v>988</v>
      </c>
      <c r="D1437" s="84">
        <f>建筑工程单价分析表!D451</f>
        <v>8.0471858795373</v>
      </c>
      <c r="E1437" s="204">
        <v>3.3534</v>
      </c>
      <c r="F1437" s="84">
        <f t="shared" si="162"/>
        <v>26.9854331284404</v>
      </c>
      <c r="G1437" s="57" t="s">
        <v>1282</v>
      </c>
      <c r="H1437" s="57" t="s">
        <v>988</v>
      </c>
      <c r="I1437" s="84">
        <f t="shared" si="163"/>
        <v>8.0471858795373</v>
      </c>
      <c r="J1437" s="204">
        <v>3.3534</v>
      </c>
      <c r="K1437" s="84">
        <f t="shared" si="164"/>
        <v>26.9854331284404</v>
      </c>
    </row>
    <row r="1438" ht="14.85" customHeight="1" spans="1:11">
      <c r="A1438" s="57"/>
      <c r="B1438" s="57" t="s">
        <v>1283</v>
      </c>
      <c r="C1438" s="57" t="s">
        <v>988</v>
      </c>
      <c r="D1438" s="84">
        <f>建筑工程单价分析表!D452</f>
        <v>23.7459521340247</v>
      </c>
      <c r="E1438" s="84">
        <v>18.54</v>
      </c>
      <c r="F1438" s="84">
        <f t="shared" si="162"/>
        <v>440.249952564818</v>
      </c>
      <c r="G1438" s="57" t="s">
        <v>1283</v>
      </c>
      <c r="H1438" s="57" t="s">
        <v>988</v>
      </c>
      <c r="I1438" s="84">
        <f t="shared" si="163"/>
        <v>23.7459521340247</v>
      </c>
      <c r="J1438" s="84"/>
      <c r="K1438" s="84">
        <f t="shared" si="164"/>
        <v>0</v>
      </c>
    </row>
    <row r="1439" ht="14.85" customHeight="1" spans="1:11">
      <c r="A1439" s="57"/>
      <c r="B1439" s="57" t="s">
        <v>1297</v>
      </c>
      <c r="C1439" s="57" t="s">
        <v>988</v>
      </c>
      <c r="D1439" s="84">
        <f>建筑工程单价分析表!D453</f>
        <v>2.37852772237734</v>
      </c>
      <c r="E1439" s="252">
        <v>40.05</v>
      </c>
      <c r="F1439" s="84">
        <f t="shared" si="162"/>
        <v>95.2600352812125</v>
      </c>
      <c r="G1439" s="57" t="s">
        <v>1297</v>
      </c>
      <c r="H1439" s="57" t="s">
        <v>988</v>
      </c>
      <c r="I1439" s="84">
        <f t="shared" si="163"/>
        <v>2.37852772237734</v>
      </c>
      <c r="J1439" s="252">
        <v>40.05</v>
      </c>
      <c r="K1439" s="84">
        <f t="shared" si="164"/>
        <v>95.2600352812125</v>
      </c>
    </row>
    <row r="1440" ht="14.85" customHeight="1" spans="1:11">
      <c r="A1440" s="57"/>
      <c r="B1440" s="57" t="s">
        <v>1190</v>
      </c>
      <c r="C1440" s="57" t="s">
        <v>988</v>
      </c>
      <c r="D1440" s="84">
        <f>建筑工程单价分析表!D454</f>
        <v>0.813242919824491</v>
      </c>
      <c r="E1440" s="84">
        <v>83</v>
      </c>
      <c r="F1440" s="84">
        <f t="shared" si="162"/>
        <v>67.4991623454328</v>
      </c>
      <c r="G1440" s="57" t="s">
        <v>1190</v>
      </c>
      <c r="H1440" s="57" t="s">
        <v>988</v>
      </c>
      <c r="I1440" s="84">
        <f t="shared" si="163"/>
        <v>0.813242919824491</v>
      </c>
      <c r="J1440" s="84"/>
      <c r="K1440" s="84">
        <f t="shared" si="164"/>
        <v>0</v>
      </c>
    </row>
    <row r="1441" ht="14.85" customHeight="1" spans="1:11">
      <c r="A1441" s="57"/>
      <c r="B1441" s="57" t="s">
        <v>1223</v>
      </c>
      <c r="C1441" s="59" t="s">
        <v>423</v>
      </c>
      <c r="D1441" s="84">
        <f>SUM(F1435:F1440)</f>
        <v>725.955585153968</v>
      </c>
      <c r="E1441" s="84">
        <v>5</v>
      </c>
      <c r="F1441" s="84">
        <f>D1441*E1441/100</f>
        <v>36.2977792576984</v>
      </c>
      <c r="G1441" s="57" t="s">
        <v>1223</v>
      </c>
      <c r="H1441" s="59" t="s">
        <v>423</v>
      </c>
      <c r="I1441" s="84">
        <f>SUM(K1435:K1440)</f>
        <v>218.206470243717</v>
      </c>
      <c r="J1441" s="84">
        <v>5</v>
      </c>
      <c r="K1441" s="84">
        <f>I1441*J1441/100</f>
        <v>10.9103235121859</v>
      </c>
    </row>
    <row r="1442" ht="14.85" customHeight="1" spans="1:11">
      <c r="A1442" s="55">
        <v>4</v>
      </c>
      <c r="B1442" s="55" t="s">
        <v>1285</v>
      </c>
      <c r="C1442" s="253"/>
      <c r="D1442" s="254"/>
      <c r="E1442" s="254"/>
      <c r="F1442" s="254">
        <f>SUM(F1443:F1444)</f>
        <v>1986.41142067271</v>
      </c>
      <c r="G1442" s="55" t="s">
        <v>1285</v>
      </c>
      <c r="H1442" s="253"/>
      <c r="I1442" s="254"/>
      <c r="J1442" s="254"/>
      <c r="K1442" s="254">
        <f>SUM(K1443:K1444)</f>
        <v>0</v>
      </c>
    </row>
    <row r="1443" ht="14.85" customHeight="1" spans="1:11">
      <c r="A1443" s="57"/>
      <c r="B1443" s="245" t="s">
        <v>1286</v>
      </c>
      <c r="C1443" s="245" t="s">
        <v>1188</v>
      </c>
      <c r="D1443" s="246">
        <f>$F$2253/100</f>
        <v>5.03319379720782</v>
      </c>
      <c r="E1443" s="246">
        <v>103</v>
      </c>
      <c r="F1443" s="84">
        <f>D1443*E1443</f>
        <v>518.418961112405</v>
      </c>
      <c r="G1443" s="245" t="s">
        <v>1286</v>
      </c>
      <c r="H1443" s="245" t="s">
        <v>1188</v>
      </c>
      <c r="I1443" s="246">
        <f>$F$2253/100</f>
        <v>5.03319379720782</v>
      </c>
      <c r="J1443" s="246"/>
      <c r="K1443" s="84">
        <f>I1443*J1443</f>
        <v>0</v>
      </c>
    </row>
    <row r="1444" ht="14.85" customHeight="1" spans="1:11">
      <c r="A1444" s="57"/>
      <c r="B1444" s="245" t="s">
        <v>1287</v>
      </c>
      <c r="C1444" s="245" t="s">
        <v>1188</v>
      </c>
      <c r="D1444" s="246">
        <f>$F$2271/100</f>
        <v>14.2523539763136</v>
      </c>
      <c r="E1444" s="246">
        <v>103</v>
      </c>
      <c r="F1444" s="84">
        <f>D1444*E1444</f>
        <v>1467.99245956031</v>
      </c>
      <c r="G1444" s="245" t="s">
        <v>1287</v>
      </c>
      <c r="H1444" s="245" t="s">
        <v>1188</v>
      </c>
      <c r="I1444" s="246">
        <f>$F$2271/100</f>
        <v>14.2523539763136</v>
      </c>
      <c r="J1444" s="246"/>
      <c r="K1444" s="84">
        <f>I1444*J1444</f>
        <v>0</v>
      </c>
    </row>
    <row r="1445" ht="14.85" customHeight="1" spans="1:11">
      <c r="A1445" s="57" t="s">
        <v>70</v>
      </c>
      <c r="B1445" s="57" t="s">
        <v>977</v>
      </c>
      <c r="C1445" s="194">
        <f>取费表!$C$7</f>
        <v>0.048</v>
      </c>
      <c r="D1445" s="246"/>
      <c r="E1445" s="246">
        <f>F1420</f>
        <v>34799.3970493619</v>
      </c>
      <c r="F1445" s="84">
        <f t="shared" ref="F1445:F1448" si="165">E1445*C1445</f>
        <v>1670.37105836937</v>
      </c>
      <c r="G1445" s="57" t="s">
        <v>977</v>
      </c>
      <c r="H1445" s="194">
        <f>取费表!$C$7</f>
        <v>0.048</v>
      </c>
      <c r="I1445" s="246"/>
      <c r="J1445" s="246">
        <f>K1420</f>
        <v>33999.6577748059</v>
      </c>
      <c r="K1445" s="84">
        <f t="shared" ref="K1445:K1448" si="166">J1445*H1445</f>
        <v>1631.98357319068</v>
      </c>
    </row>
    <row r="1446" ht="14.85" customHeight="1" spans="1:11">
      <c r="A1446" s="57"/>
      <c r="B1446" s="57"/>
      <c r="C1446" s="194"/>
      <c r="D1446" s="246"/>
      <c r="E1446" s="246"/>
      <c r="F1446" s="84"/>
      <c r="G1446" s="57"/>
      <c r="H1446" s="194"/>
      <c r="I1446" s="246"/>
      <c r="J1446" s="246"/>
      <c r="K1446" s="84"/>
    </row>
    <row r="1447" ht="14.85" customHeight="1" spans="1:11">
      <c r="A1447" s="57" t="s">
        <v>979</v>
      </c>
      <c r="B1447" s="57" t="s">
        <v>973</v>
      </c>
      <c r="C1447" s="194">
        <f>取费表!$E$7</f>
        <v>0.07</v>
      </c>
      <c r="D1447" s="246"/>
      <c r="E1447" s="246">
        <f>F1419</f>
        <v>36469.7681077312</v>
      </c>
      <c r="F1447" s="84">
        <f t="shared" si="165"/>
        <v>2552.88376754119</v>
      </c>
      <c r="G1447" s="57" t="s">
        <v>973</v>
      </c>
      <c r="H1447" s="194">
        <f>取费表!$E$7</f>
        <v>0.07</v>
      </c>
      <c r="I1447" s="246"/>
      <c r="J1447" s="246">
        <f>K1419</f>
        <v>35631.6413479966</v>
      </c>
      <c r="K1447" s="84">
        <f t="shared" si="166"/>
        <v>2494.21489435976</v>
      </c>
    </row>
    <row r="1448" ht="14.85" customHeight="1" spans="1:11">
      <c r="A1448" s="57" t="s">
        <v>162</v>
      </c>
      <c r="B1448" s="57" t="s">
        <v>980</v>
      </c>
      <c r="C1448" s="194">
        <f>取费表!$F$7</f>
        <v>0.07</v>
      </c>
      <c r="D1448" s="246"/>
      <c r="E1448" s="246">
        <f>F1447+F1419</f>
        <v>39022.6518752724</v>
      </c>
      <c r="F1448" s="84">
        <f t="shared" si="165"/>
        <v>2731.58563126907</v>
      </c>
      <c r="G1448" s="57" t="s">
        <v>980</v>
      </c>
      <c r="H1448" s="194">
        <f>取费表!$F$7</f>
        <v>0.07</v>
      </c>
      <c r="I1448" s="246"/>
      <c r="J1448" s="246">
        <f>K1447+K1419</f>
        <v>38125.8562423563</v>
      </c>
      <c r="K1448" s="84">
        <f t="shared" si="166"/>
        <v>2668.80993696494</v>
      </c>
    </row>
    <row r="1449" ht="14.85" customHeight="1" spans="1:11">
      <c r="A1449" s="55" t="s">
        <v>214</v>
      </c>
      <c r="B1449" s="55" t="s">
        <v>1173</v>
      </c>
      <c r="C1449" s="253"/>
      <c r="D1449" s="254"/>
      <c r="E1449" s="55"/>
      <c r="F1449" s="255">
        <f>F1450+F1455</f>
        <v>9792.49822960639</v>
      </c>
      <c r="G1449" s="55" t="s">
        <v>1173</v>
      </c>
      <c r="H1449" s="253"/>
      <c r="I1449" s="254"/>
      <c r="J1449" s="55"/>
      <c r="K1449" s="255" t="e">
        <f>K1450+K1455</f>
        <v>#REF!</v>
      </c>
    </row>
    <row r="1450" ht="14.85" customHeight="1" spans="1:11">
      <c r="A1450" s="57">
        <v>1</v>
      </c>
      <c r="B1450" s="57" t="s">
        <v>1288</v>
      </c>
      <c r="C1450" s="59"/>
      <c r="D1450" s="84"/>
      <c r="E1450" s="57"/>
      <c r="F1450" s="113">
        <f>SUM(F1451:F1454)</f>
        <v>9712.57769560639</v>
      </c>
      <c r="G1450" s="57" t="s">
        <v>1288</v>
      </c>
      <c r="H1450" s="59"/>
      <c r="I1450" s="84"/>
      <c r="J1450" s="57"/>
      <c r="K1450" s="113" t="e">
        <f>SUM(K1451:K1455)</f>
        <v>#REF!</v>
      </c>
    </row>
    <row r="1451" ht="14.85" customHeight="1" spans="1:11">
      <c r="A1451" s="57"/>
      <c r="B1451" s="57"/>
      <c r="C1451" s="57"/>
      <c r="D1451" s="84"/>
      <c r="E1451" s="84"/>
      <c r="F1451" s="113"/>
      <c r="G1451" s="57" t="str">
        <f>G1431</f>
        <v>混凝土C35（商砼）</v>
      </c>
      <c r="H1451" s="57" t="s">
        <v>1188</v>
      </c>
      <c r="I1451" s="84" t="e">
        <f>材料预算价!#REF!-200</f>
        <v>#REF!</v>
      </c>
      <c r="J1451" s="84">
        <f>J1431</f>
        <v>103</v>
      </c>
      <c r="K1451" s="113" t="e">
        <f t="shared" ref="K1451:K1454" si="167">I1451*J1451</f>
        <v>#REF!</v>
      </c>
    </row>
    <row r="1452" ht="14.85" customHeight="1" spans="1:11">
      <c r="A1452" s="57"/>
      <c r="B1452" s="57" t="s">
        <v>1141</v>
      </c>
      <c r="C1452" s="57" t="s">
        <v>69</v>
      </c>
      <c r="D1452" s="84">
        <f>材料预算价!K5-材料预算价!L5</f>
        <v>156.64017</v>
      </c>
      <c r="E1452" s="84">
        <f>E1431*配合比!E10</f>
        <v>35.035759</v>
      </c>
      <c r="F1452" s="113">
        <f t="shared" ref="F1452:F1454" si="168">D1452*E1452</f>
        <v>5488.00724583903</v>
      </c>
      <c r="G1452" s="57" t="s">
        <v>1305</v>
      </c>
      <c r="H1452" s="57" t="s">
        <v>1188</v>
      </c>
      <c r="I1452" s="84">
        <v>27</v>
      </c>
      <c r="J1452" s="84"/>
      <c r="K1452" s="113">
        <f t="shared" si="167"/>
        <v>0</v>
      </c>
    </row>
    <row r="1453" ht="14.85" customHeight="1" spans="1:11">
      <c r="A1453" s="57"/>
      <c r="B1453" s="57" t="s">
        <v>1142</v>
      </c>
      <c r="C1453" s="57" t="s">
        <v>1188</v>
      </c>
      <c r="D1453" s="84">
        <f>建筑工程单价分析表!D467</f>
        <v>44.826214</v>
      </c>
      <c r="E1453" s="84">
        <f>E1431*配合比!G10</f>
        <v>54.40666</v>
      </c>
      <c r="F1453" s="113">
        <f t="shared" si="168"/>
        <v>2438.84458418524</v>
      </c>
      <c r="G1453" s="57" t="s">
        <v>1306</v>
      </c>
      <c r="H1453" s="57" t="s">
        <v>1188</v>
      </c>
      <c r="I1453" s="84">
        <v>40</v>
      </c>
      <c r="J1453" s="84"/>
      <c r="K1453" s="113">
        <f t="shared" si="167"/>
        <v>0</v>
      </c>
    </row>
    <row r="1454" ht="14.85" customHeight="1" spans="1:11">
      <c r="A1454" s="57"/>
      <c r="B1454" s="57" t="s">
        <v>1110</v>
      </c>
      <c r="C1454" s="57" t="s">
        <v>1188</v>
      </c>
      <c r="D1454" s="84">
        <f>材料预算价!K8-材料预算价!L8</f>
        <v>20.60443</v>
      </c>
      <c r="E1454" s="84">
        <f>E1431*配合比!I10</f>
        <v>86.667084</v>
      </c>
      <c r="F1454" s="113">
        <f t="shared" si="168"/>
        <v>1785.72586558212</v>
      </c>
      <c r="G1454" s="57" t="s">
        <v>1307</v>
      </c>
      <c r="H1454" s="57" t="s">
        <v>1188</v>
      </c>
      <c r="I1454" s="84">
        <f>材料预算价!K6-材料预算价!L6-I1431</f>
        <v>116.61055</v>
      </c>
      <c r="J1454" s="84"/>
      <c r="K1454" s="113">
        <f t="shared" si="167"/>
        <v>0</v>
      </c>
    </row>
    <row r="1455" ht="14.85" customHeight="1" spans="1:11">
      <c r="A1455" s="57">
        <v>2</v>
      </c>
      <c r="B1455" s="57" t="s">
        <v>1289</v>
      </c>
      <c r="C1455" s="57"/>
      <c r="D1455" s="84"/>
      <c r="E1455" s="88"/>
      <c r="F1455" s="113">
        <f>SUM(F1456:F1457)</f>
        <v>79.920534</v>
      </c>
      <c r="G1455" s="57" t="s">
        <v>1289</v>
      </c>
      <c r="H1455" s="57"/>
      <c r="I1455" s="84"/>
      <c r="J1455" s="84"/>
      <c r="K1455" s="113">
        <f>SUM(K1456:K1457)</f>
        <v>79.920534</v>
      </c>
    </row>
    <row r="1456" ht="14.85" customHeight="1" spans="1:11">
      <c r="A1456" s="57"/>
      <c r="B1456" s="57" t="s">
        <v>1290</v>
      </c>
      <c r="C1456" s="57" t="s">
        <v>184</v>
      </c>
      <c r="D1456" s="84">
        <f>建筑工程单价分析表!D470</f>
        <v>6.225</v>
      </c>
      <c r="E1456" s="88">
        <f>(E1435*7.2+E1436*5.8)</f>
        <v>12.83864</v>
      </c>
      <c r="F1456" s="113">
        <f>D1456*E1456</f>
        <v>79.920534</v>
      </c>
      <c r="G1456" s="57" t="s">
        <v>1290</v>
      </c>
      <c r="H1456" s="57" t="s">
        <v>184</v>
      </c>
      <c r="I1456" s="84">
        <f t="shared" ref="I1456:I1457" si="169">D1456</f>
        <v>6.225</v>
      </c>
      <c r="J1456" s="84">
        <f>E1456</f>
        <v>12.83864</v>
      </c>
      <c r="K1456" s="113">
        <f>I1456*J1456</f>
        <v>79.920534</v>
      </c>
    </row>
    <row r="1457" ht="14.85" customHeight="1" spans="1:11">
      <c r="A1457" s="57"/>
      <c r="B1457" s="57" t="s">
        <v>1174</v>
      </c>
      <c r="C1457" s="57" t="s">
        <v>184</v>
      </c>
      <c r="D1457" s="84">
        <f>建筑工程单价分析表!D471</f>
        <v>4.86</v>
      </c>
      <c r="E1457" s="88"/>
      <c r="F1457" s="113">
        <f>D1457*E1457</f>
        <v>0</v>
      </c>
      <c r="G1457" s="57" t="s">
        <v>1174</v>
      </c>
      <c r="H1457" s="57" t="s">
        <v>184</v>
      </c>
      <c r="I1457" s="84">
        <f t="shared" si="169"/>
        <v>4.86</v>
      </c>
      <c r="J1457" s="84">
        <f>E1457</f>
        <v>0</v>
      </c>
      <c r="K1457" s="113">
        <f>I1457*J1457</f>
        <v>0</v>
      </c>
    </row>
    <row r="1458" ht="14.85" customHeight="1" spans="1:11">
      <c r="A1458" s="57" t="s">
        <v>327</v>
      </c>
      <c r="B1458" s="57" t="s">
        <v>976</v>
      </c>
      <c r="C1458" s="195">
        <f>建筑工程单价分析表!C472</f>
        <v>0.09</v>
      </c>
      <c r="D1458" s="84"/>
      <c r="E1458" s="84">
        <f>F1449+F1448+F1447+F1419</f>
        <v>51546.7357361479</v>
      </c>
      <c r="F1458" s="84">
        <f>E1458*C1458</f>
        <v>4639.20621625331</v>
      </c>
      <c r="G1458" s="57" t="s">
        <v>976</v>
      </c>
      <c r="H1458" s="195">
        <f>C1458</f>
        <v>0.09</v>
      </c>
      <c r="I1458" s="84"/>
      <c r="J1458" s="84" t="e">
        <f>K1449+K1448+K1447+K1419</f>
        <v>#REF!</v>
      </c>
      <c r="K1458" s="84" t="e">
        <f>J1458*H1458</f>
        <v>#REF!</v>
      </c>
    </row>
    <row r="1459" ht="14.85" customHeight="1" spans="1:11">
      <c r="A1459" s="57"/>
      <c r="B1459" s="57" t="s">
        <v>984</v>
      </c>
      <c r="C1459" s="195"/>
      <c r="D1459" s="84"/>
      <c r="E1459" s="84"/>
      <c r="F1459" s="84">
        <f>(F1419+F1447+F1448+F1449+F1458)*取费表!H4</f>
        <v>1685.57825857204</v>
      </c>
      <c r="G1459" s="57" t="s">
        <v>984</v>
      </c>
      <c r="H1459" s="195"/>
      <c r="I1459" s="84"/>
      <c r="J1459" s="84"/>
      <c r="K1459" s="84" t="e">
        <f>(K1419+K1447+K1448+K1449+K1458)*取费表!H7</f>
        <v>#REF!</v>
      </c>
    </row>
    <row r="1460" ht="14.85" customHeight="1" spans="1:11">
      <c r="A1460" s="57"/>
      <c r="B1460" s="57" t="s">
        <v>278</v>
      </c>
      <c r="C1460" s="57"/>
      <c r="D1460" s="84"/>
      <c r="E1460" s="84"/>
      <c r="F1460" s="84">
        <f>F1458+E1458+F1459</f>
        <v>57871.5202109732</v>
      </c>
      <c r="G1460" s="57" t="s">
        <v>278</v>
      </c>
      <c r="H1460" s="57"/>
      <c r="I1460" s="84"/>
      <c r="J1460" s="84"/>
      <c r="K1460" s="84" t="e">
        <f>K1458+J1458+K1459</f>
        <v>#REF!</v>
      </c>
    </row>
    <row r="1461" ht="14.85" customHeight="1" spans="1:6">
      <c r="A1461" s="312" t="s">
        <v>1155</v>
      </c>
      <c r="B1461" s="312"/>
      <c r="C1461" s="312"/>
      <c r="D1461" s="312"/>
      <c r="E1461" s="312"/>
      <c r="F1461" s="312"/>
    </row>
    <row r="1462" ht="14.85" customHeight="1" spans="1:6">
      <c r="A1462" s="242" t="s">
        <v>1326</v>
      </c>
      <c r="C1462" s="243"/>
      <c r="D1462" s="243"/>
      <c r="E1462" s="243"/>
      <c r="F1462" s="243"/>
    </row>
    <row r="1463" ht="14.85" customHeight="1" spans="1:6">
      <c r="A1463" s="191" t="s">
        <v>1323</v>
      </c>
      <c r="B1463" s="191"/>
      <c r="C1463" s="168"/>
      <c r="D1463" s="168"/>
      <c r="E1463" s="191" t="s">
        <v>1159</v>
      </c>
      <c r="F1463" s="191"/>
    </row>
    <row r="1464" ht="14.85" customHeight="1" spans="1:6">
      <c r="A1464" s="117" t="s">
        <v>1324</v>
      </c>
      <c r="B1464" s="192"/>
      <c r="C1464" s="192"/>
      <c r="D1464" s="192"/>
      <c r="E1464" s="192"/>
      <c r="F1464" s="118"/>
    </row>
    <row r="1465" ht="14.85" customHeight="1" spans="1:6">
      <c r="A1465" s="57" t="s">
        <v>354</v>
      </c>
      <c r="B1465" s="57" t="s">
        <v>956</v>
      </c>
      <c r="C1465" s="57" t="s">
        <v>52</v>
      </c>
      <c r="D1465" s="57" t="s">
        <v>855</v>
      </c>
      <c r="E1465" s="57" t="s">
        <v>53</v>
      </c>
      <c r="F1465" s="57" t="s">
        <v>306</v>
      </c>
    </row>
    <row r="1466" ht="14.85" customHeight="1" spans="1:6">
      <c r="A1466" s="57" t="s">
        <v>959</v>
      </c>
      <c r="B1466" s="57" t="s">
        <v>960</v>
      </c>
      <c r="C1466" s="57"/>
      <c r="D1466" s="57"/>
      <c r="E1466" s="248"/>
      <c r="F1466" s="84">
        <f>F1467+F1492+F1493</f>
        <v>36989.7994648535</v>
      </c>
    </row>
    <row r="1467" ht="14.85" customHeight="1" spans="1:6">
      <c r="A1467" s="57" t="s">
        <v>59</v>
      </c>
      <c r="B1467" s="57" t="s">
        <v>957</v>
      </c>
      <c r="C1467" s="57"/>
      <c r="D1467" s="57"/>
      <c r="E1467" s="248"/>
      <c r="F1467" s="196">
        <f>F1468+F1471+F1481+F1489</f>
        <v>35295.6101763869</v>
      </c>
    </row>
    <row r="1468" ht="14.85" customHeight="1" spans="1:6">
      <c r="A1468" s="57">
        <v>1</v>
      </c>
      <c r="B1468" s="57" t="s">
        <v>964</v>
      </c>
      <c r="C1468" s="57" t="s">
        <v>965</v>
      </c>
      <c r="D1468" s="84"/>
      <c r="E1468" s="249">
        <f>SUM(E1469:E1470)</f>
        <v>1486.1</v>
      </c>
      <c r="F1468" s="113">
        <f>SUM(F1469:F1470)</f>
        <v>10790.86</v>
      </c>
    </row>
    <row r="1469" ht="14.85" customHeight="1" spans="1:6">
      <c r="A1469" s="57"/>
      <c r="B1469" s="57" t="s">
        <v>966</v>
      </c>
      <c r="C1469" s="57" t="s">
        <v>965</v>
      </c>
      <c r="D1469" s="113">
        <f t="shared" ref="D1469:D1472" si="170">D1422</f>
        <v>8.1</v>
      </c>
      <c r="E1469" s="250">
        <v>951.1</v>
      </c>
      <c r="F1469" s="113">
        <f>D1469*E1469</f>
        <v>7703.91</v>
      </c>
    </row>
    <row r="1470" ht="14.85" customHeight="1" spans="1:6">
      <c r="A1470" s="57"/>
      <c r="B1470" s="57" t="s">
        <v>968</v>
      </c>
      <c r="C1470" s="57" t="s">
        <v>965</v>
      </c>
      <c r="D1470" s="113">
        <f t="shared" si="170"/>
        <v>5.77</v>
      </c>
      <c r="E1470" s="250">
        <v>535</v>
      </c>
      <c r="F1470" s="113">
        <f>D1470*E1470</f>
        <v>3086.95</v>
      </c>
    </row>
    <row r="1471" ht="14.85" customHeight="1" spans="1:6">
      <c r="A1471" s="57">
        <v>2</v>
      </c>
      <c r="B1471" s="57" t="s">
        <v>1219</v>
      </c>
      <c r="C1471" s="57"/>
      <c r="D1471" s="84"/>
      <c r="E1471" s="84"/>
      <c r="F1471" s="84">
        <f>SUM(F1472:F1480)</f>
        <v>21756.0853913025</v>
      </c>
    </row>
    <row r="1472" ht="14.85" customHeight="1" spans="1:6">
      <c r="A1472" s="57"/>
      <c r="B1472" s="244" t="s">
        <v>1272</v>
      </c>
      <c r="C1472" s="244" t="s">
        <v>1188</v>
      </c>
      <c r="D1472" s="84">
        <f t="shared" si="170"/>
        <v>2232.665025</v>
      </c>
      <c r="E1472" s="84">
        <v>0.4</v>
      </c>
      <c r="F1472" s="84">
        <f t="shared" ref="F1472:F1479" si="171">D1472*E1472</f>
        <v>893.06601</v>
      </c>
    </row>
    <row r="1473" ht="14.85" customHeight="1" spans="1:6">
      <c r="A1473" s="57"/>
      <c r="B1473" s="244" t="s">
        <v>1273</v>
      </c>
      <c r="C1473" s="244" t="s">
        <v>184</v>
      </c>
      <c r="D1473" s="84">
        <f t="shared" ref="D1473:D1479" si="172">D1426</f>
        <v>4.44</v>
      </c>
      <c r="E1473" s="84">
        <v>52.08</v>
      </c>
      <c r="F1473" s="84">
        <f t="shared" si="171"/>
        <v>231.2352</v>
      </c>
    </row>
    <row r="1474" ht="14.85" customHeight="1" spans="1:6">
      <c r="A1474" s="57"/>
      <c r="B1474" s="244" t="s">
        <v>1274</v>
      </c>
      <c r="C1474" s="244" t="s">
        <v>184</v>
      </c>
      <c r="D1474" s="84">
        <f t="shared" si="172"/>
        <v>4.5</v>
      </c>
      <c r="E1474" s="84">
        <v>42.2</v>
      </c>
      <c r="F1474" s="84">
        <f t="shared" si="171"/>
        <v>189.9</v>
      </c>
    </row>
    <row r="1475" ht="14.85" customHeight="1" spans="1:6">
      <c r="A1475" s="57"/>
      <c r="B1475" s="244" t="s">
        <v>1275</v>
      </c>
      <c r="C1475" s="244" t="s">
        <v>184</v>
      </c>
      <c r="D1475" s="84">
        <f t="shared" si="172"/>
        <v>5.15</v>
      </c>
      <c r="E1475" s="84">
        <v>22.32</v>
      </c>
      <c r="F1475" s="84">
        <f t="shared" si="171"/>
        <v>114.948</v>
      </c>
    </row>
    <row r="1476" ht="14.85" customHeight="1" spans="1:6">
      <c r="A1476" s="57"/>
      <c r="B1476" s="244" t="s">
        <v>1276</v>
      </c>
      <c r="C1476" s="244" t="s">
        <v>184</v>
      </c>
      <c r="D1476" s="84">
        <f t="shared" si="172"/>
        <v>4.5</v>
      </c>
      <c r="E1476" s="84">
        <v>67.3</v>
      </c>
      <c r="F1476" s="84">
        <f t="shared" si="171"/>
        <v>302.85</v>
      </c>
    </row>
    <row r="1477" ht="14.85" customHeight="1" spans="1:6">
      <c r="A1477" s="57"/>
      <c r="B1477" s="244" t="s">
        <v>1278</v>
      </c>
      <c r="C1477" s="244" t="s">
        <v>184</v>
      </c>
      <c r="D1477" s="84">
        <f t="shared" si="172"/>
        <v>5.97</v>
      </c>
      <c r="E1477" s="84">
        <v>1.5</v>
      </c>
      <c r="F1477" s="84">
        <f t="shared" si="171"/>
        <v>8.955</v>
      </c>
    </row>
    <row r="1478" ht="14.85" customHeight="1" spans="1:6">
      <c r="A1478" s="57"/>
      <c r="B1478" s="57" t="s">
        <v>1296</v>
      </c>
      <c r="C1478" s="57" t="s">
        <v>1188</v>
      </c>
      <c r="D1478" s="84">
        <f>配合比!M11</f>
        <v>188.1795335</v>
      </c>
      <c r="E1478" s="84">
        <v>103</v>
      </c>
      <c r="F1478" s="84">
        <f t="shared" si="171"/>
        <v>19382.4919505</v>
      </c>
    </row>
    <row r="1479" ht="14.85" customHeight="1" spans="1:6">
      <c r="A1479" s="57"/>
      <c r="B1479" s="57" t="s">
        <v>1022</v>
      </c>
      <c r="C1479" s="57" t="s">
        <v>1188</v>
      </c>
      <c r="D1479" s="84">
        <f t="shared" si="172"/>
        <v>4.37</v>
      </c>
      <c r="E1479" s="84">
        <v>120</v>
      </c>
      <c r="F1479" s="84">
        <f t="shared" si="171"/>
        <v>524.4</v>
      </c>
    </row>
    <row r="1480" ht="14.85" customHeight="1" spans="1:6">
      <c r="A1480" s="57"/>
      <c r="B1480" s="57" t="s">
        <v>1163</v>
      </c>
      <c r="C1480" s="59" t="s">
        <v>423</v>
      </c>
      <c r="D1480" s="84">
        <f>F1472+F1473+F1474+F1475+F1476+F1477+F1478++F1479</f>
        <v>21647.8461605</v>
      </c>
      <c r="E1480" s="84">
        <v>0.5</v>
      </c>
      <c r="F1480" s="84">
        <f>D1480*E1480/100</f>
        <v>108.2392308025</v>
      </c>
    </row>
    <row r="1481" ht="14.85" customHeight="1" spans="1:6">
      <c r="A1481" s="57">
        <v>3</v>
      </c>
      <c r="B1481" s="57" t="s">
        <v>1171</v>
      </c>
      <c r="C1481" s="57"/>
      <c r="D1481" s="84"/>
      <c r="E1481" s="84"/>
      <c r="F1481" s="84">
        <f>SUM(F1482:F1488)</f>
        <v>762.253364411667</v>
      </c>
    </row>
    <row r="1482" ht="14.85" customHeight="1" spans="1:6">
      <c r="A1482" s="57"/>
      <c r="B1482" s="57" t="s">
        <v>1280</v>
      </c>
      <c r="C1482" s="57" t="s">
        <v>988</v>
      </c>
      <c r="D1482" s="84">
        <f>D1435</f>
        <v>49.389824491424</v>
      </c>
      <c r="E1482" s="84">
        <v>1.5012</v>
      </c>
      <c r="F1482" s="84">
        <f t="shared" ref="F1482:F1487" si="173">D1482*E1482</f>
        <v>74.1440045265257</v>
      </c>
    </row>
    <row r="1483" ht="14.85" customHeight="1" spans="1:6">
      <c r="A1483" s="57"/>
      <c r="B1483" s="57" t="s">
        <v>1281</v>
      </c>
      <c r="C1483" s="57" t="s">
        <v>988</v>
      </c>
      <c r="D1483" s="84">
        <f t="shared" ref="D1483:D1488" si="174">D1436</f>
        <v>62.3342780215397</v>
      </c>
      <c r="E1483" s="84">
        <v>0.35</v>
      </c>
      <c r="F1483" s="84">
        <f t="shared" si="173"/>
        <v>21.8169973075389</v>
      </c>
    </row>
    <row r="1484" ht="14.85" customHeight="1" spans="1:6">
      <c r="A1484" s="57"/>
      <c r="B1484" s="57" t="s">
        <v>1282</v>
      </c>
      <c r="C1484" s="57" t="s">
        <v>988</v>
      </c>
      <c r="D1484" s="84">
        <f t="shared" si="174"/>
        <v>8.0471858795373</v>
      </c>
      <c r="E1484" s="204">
        <v>3.3534</v>
      </c>
      <c r="F1484" s="84">
        <f t="shared" si="173"/>
        <v>26.9854331284404</v>
      </c>
    </row>
    <row r="1485" ht="14.85" customHeight="1" spans="1:6">
      <c r="A1485" s="57"/>
      <c r="B1485" s="57" t="s">
        <v>1283</v>
      </c>
      <c r="C1485" s="57" t="s">
        <v>988</v>
      </c>
      <c r="D1485" s="84">
        <f t="shared" si="174"/>
        <v>23.7459521340247</v>
      </c>
      <c r="E1485" s="84">
        <v>18.54</v>
      </c>
      <c r="F1485" s="84">
        <f t="shared" si="173"/>
        <v>440.249952564818</v>
      </c>
    </row>
    <row r="1486" ht="14.85" customHeight="1" spans="1:6">
      <c r="A1486" s="57"/>
      <c r="B1486" s="57" t="s">
        <v>1297</v>
      </c>
      <c r="C1486" s="57" t="s">
        <v>988</v>
      </c>
      <c r="D1486" s="84">
        <f t="shared" si="174"/>
        <v>2.37852772237734</v>
      </c>
      <c r="E1486" s="252">
        <v>40.05</v>
      </c>
      <c r="F1486" s="84">
        <f t="shared" si="173"/>
        <v>95.2600352812125</v>
      </c>
    </row>
    <row r="1487" ht="14.85" customHeight="1" spans="1:6">
      <c r="A1487" s="57"/>
      <c r="B1487" s="57" t="s">
        <v>1190</v>
      </c>
      <c r="C1487" s="57" t="s">
        <v>988</v>
      </c>
      <c r="D1487" s="84">
        <f t="shared" si="174"/>
        <v>0.813242919824491</v>
      </c>
      <c r="E1487" s="84">
        <v>83</v>
      </c>
      <c r="F1487" s="84">
        <f t="shared" si="173"/>
        <v>67.4991623454328</v>
      </c>
    </row>
    <row r="1488" ht="14.85" customHeight="1" spans="1:6">
      <c r="A1488" s="57"/>
      <c r="B1488" s="57" t="s">
        <v>1223</v>
      </c>
      <c r="C1488" s="59" t="s">
        <v>423</v>
      </c>
      <c r="D1488" s="84">
        <f t="shared" si="174"/>
        <v>725.955585153968</v>
      </c>
      <c r="E1488" s="84">
        <v>5</v>
      </c>
      <c r="F1488" s="84">
        <f>D1488*E1488/100</f>
        <v>36.2977792576984</v>
      </c>
    </row>
    <row r="1489" ht="14.85" customHeight="1" spans="1:6">
      <c r="A1489" s="55">
        <v>4</v>
      </c>
      <c r="B1489" s="55" t="s">
        <v>1285</v>
      </c>
      <c r="C1489" s="253"/>
      <c r="D1489" s="254"/>
      <c r="E1489" s="254"/>
      <c r="F1489" s="254">
        <f>SUM(F1490:F1491)</f>
        <v>1986.41142067271</v>
      </c>
    </row>
    <row r="1490" ht="14.85" customHeight="1" spans="1:6">
      <c r="A1490" s="57"/>
      <c r="B1490" s="245" t="s">
        <v>1286</v>
      </c>
      <c r="C1490" s="245" t="s">
        <v>1188</v>
      </c>
      <c r="D1490" s="246">
        <f>$F$2253/100</f>
        <v>5.03319379720782</v>
      </c>
      <c r="E1490" s="246">
        <v>103</v>
      </c>
      <c r="F1490" s="84">
        <f>D1490*E1490</f>
        <v>518.418961112405</v>
      </c>
    </row>
    <row r="1491" ht="14.85" customHeight="1" spans="1:6">
      <c r="A1491" s="57"/>
      <c r="B1491" s="245" t="s">
        <v>1287</v>
      </c>
      <c r="C1491" s="245" t="s">
        <v>1188</v>
      </c>
      <c r="D1491" s="246">
        <f>$F$2271/100</f>
        <v>14.2523539763136</v>
      </c>
      <c r="E1491" s="246">
        <v>103</v>
      </c>
      <c r="F1491" s="84">
        <f>D1491*E1491</f>
        <v>1467.99245956031</v>
      </c>
    </row>
    <row r="1492" ht="14.85" customHeight="1" spans="1:6">
      <c r="A1492" s="57" t="s">
        <v>70</v>
      </c>
      <c r="B1492" s="57" t="s">
        <v>977</v>
      </c>
      <c r="C1492" s="194">
        <f>取费表!$C$7</f>
        <v>0.048</v>
      </c>
      <c r="D1492" s="246"/>
      <c r="E1492" s="246">
        <f>F1467</f>
        <v>35295.6101763869</v>
      </c>
      <c r="F1492" s="84">
        <f t="shared" ref="F1492:F1495" si="175">E1492*C1492</f>
        <v>1694.18928846657</v>
      </c>
    </row>
    <row r="1493" ht="14.85" customHeight="1" spans="1:6">
      <c r="A1493" s="57"/>
      <c r="B1493" s="57"/>
      <c r="C1493" s="194"/>
      <c r="D1493" s="246"/>
      <c r="E1493" s="246"/>
      <c r="F1493" s="84"/>
    </row>
    <row r="1494" ht="14.85" customHeight="1" spans="1:6">
      <c r="A1494" s="57" t="s">
        <v>979</v>
      </c>
      <c r="B1494" s="57" t="s">
        <v>973</v>
      </c>
      <c r="C1494" s="194">
        <f>取费表!$E$7</f>
        <v>0.07</v>
      </c>
      <c r="D1494" s="246"/>
      <c r="E1494" s="246">
        <f>F1466</f>
        <v>36989.7994648535</v>
      </c>
      <c r="F1494" s="84">
        <f t="shared" si="175"/>
        <v>2589.28596253974</v>
      </c>
    </row>
    <row r="1495" ht="14.85" customHeight="1" spans="1:6">
      <c r="A1495" s="57" t="s">
        <v>162</v>
      </c>
      <c r="B1495" s="57" t="s">
        <v>980</v>
      </c>
      <c r="C1495" s="194">
        <f>取费表!$F$7</f>
        <v>0.07</v>
      </c>
      <c r="D1495" s="246"/>
      <c r="E1495" s="246">
        <f>F1494+F1466</f>
        <v>39579.0854273932</v>
      </c>
      <c r="F1495" s="84">
        <f t="shared" si="175"/>
        <v>2770.53597991752</v>
      </c>
    </row>
    <row r="1496" ht="14.85" customHeight="1" spans="1:6">
      <c r="A1496" s="55" t="s">
        <v>214</v>
      </c>
      <c r="B1496" s="55" t="s">
        <v>1173</v>
      </c>
      <c r="C1496" s="253"/>
      <c r="D1496" s="254"/>
      <c r="E1496" s="55"/>
      <c r="F1496" s="255">
        <f>F1497+F1502</f>
        <v>10091.7360861355</v>
      </c>
    </row>
    <row r="1497" ht="14.85" customHeight="1" spans="1:6">
      <c r="A1497" s="57">
        <v>1</v>
      </c>
      <c r="B1497" s="57" t="s">
        <v>1288</v>
      </c>
      <c r="C1497" s="59"/>
      <c r="D1497" s="84"/>
      <c r="E1497" s="57"/>
      <c r="F1497" s="113">
        <f>SUM(F1498:F1501)</f>
        <v>10011.8155521355</v>
      </c>
    </row>
    <row r="1498" ht="14.85" customHeight="1" spans="1:6">
      <c r="A1498" s="57"/>
      <c r="B1498" s="57"/>
      <c r="C1498" s="57"/>
      <c r="D1498" s="84"/>
      <c r="E1498" s="84"/>
      <c r="F1498" s="113"/>
    </row>
    <row r="1499" ht="14.85" customHeight="1" spans="1:6">
      <c r="A1499" s="57"/>
      <c r="B1499" s="57" t="s">
        <v>1141</v>
      </c>
      <c r="C1499" s="57" t="s">
        <v>69</v>
      </c>
      <c r="D1499" s="84">
        <f t="shared" ref="D1499:D1504" si="176">D1452</f>
        <v>156.64017</v>
      </c>
      <c r="E1499" s="84">
        <f>E1478*配合比!E11</f>
        <v>37.58161</v>
      </c>
      <c r="F1499" s="113">
        <f t="shared" ref="F1499:F1501" si="177">D1499*E1499</f>
        <v>5886.7897792737</v>
      </c>
    </row>
    <row r="1500" ht="14.85" customHeight="1" spans="1:6">
      <c r="A1500" s="57"/>
      <c r="B1500" s="57" t="s">
        <v>1142</v>
      </c>
      <c r="C1500" s="57" t="s">
        <v>1188</v>
      </c>
      <c r="D1500" s="84">
        <f t="shared" si="176"/>
        <v>44.826214</v>
      </c>
      <c r="E1500" s="84">
        <f>E1478*配合比!G11</f>
        <v>52.18598</v>
      </c>
      <c r="F1500" s="113">
        <f t="shared" si="177"/>
        <v>2339.29990727972</v>
      </c>
    </row>
    <row r="1501" ht="14.85" customHeight="1" spans="1:6">
      <c r="A1501" s="57"/>
      <c r="B1501" s="57" t="s">
        <v>1110</v>
      </c>
      <c r="C1501" s="57" t="s">
        <v>1188</v>
      </c>
      <c r="D1501" s="84">
        <f t="shared" si="176"/>
        <v>20.60443</v>
      </c>
      <c r="E1501" s="84">
        <f>E1478*配合比!I11</f>
        <v>86.667084</v>
      </c>
      <c r="F1501" s="113">
        <f t="shared" si="177"/>
        <v>1785.72586558212</v>
      </c>
    </row>
    <row r="1502" ht="14.85" customHeight="1" spans="1:6">
      <c r="A1502" s="57">
        <v>2</v>
      </c>
      <c r="B1502" s="57" t="s">
        <v>1289</v>
      </c>
      <c r="C1502" s="57"/>
      <c r="D1502" s="84"/>
      <c r="E1502" s="88"/>
      <c r="F1502" s="113">
        <f>SUM(F1503:F1504)</f>
        <v>79.920534</v>
      </c>
    </row>
    <row r="1503" ht="14.85" customHeight="1" spans="1:6">
      <c r="A1503" s="57"/>
      <c r="B1503" s="57" t="s">
        <v>1290</v>
      </c>
      <c r="C1503" s="57" t="s">
        <v>184</v>
      </c>
      <c r="D1503" s="84">
        <f t="shared" si="176"/>
        <v>6.225</v>
      </c>
      <c r="E1503" s="88">
        <f>(E1482*7.2+E1483*5.8)</f>
        <v>12.83864</v>
      </c>
      <c r="F1503" s="113">
        <f>D1503*E1503</f>
        <v>79.920534</v>
      </c>
    </row>
    <row r="1504" ht="14.85" customHeight="1" spans="1:6">
      <c r="A1504" s="57"/>
      <c r="B1504" s="57" t="s">
        <v>1174</v>
      </c>
      <c r="C1504" s="57" t="s">
        <v>184</v>
      </c>
      <c r="D1504" s="84">
        <f t="shared" si="176"/>
        <v>4.86</v>
      </c>
      <c r="E1504" s="88"/>
      <c r="F1504" s="113">
        <f>D1504*E1504</f>
        <v>0</v>
      </c>
    </row>
    <row r="1505" ht="14.85" customHeight="1" spans="1:6">
      <c r="A1505" s="57" t="s">
        <v>327</v>
      </c>
      <c r="B1505" s="57" t="s">
        <v>976</v>
      </c>
      <c r="C1505" s="195">
        <f>C1458</f>
        <v>0.09</v>
      </c>
      <c r="D1505" s="84"/>
      <c r="E1505" s="84">
        <f>F1496+F1495+F1494+F1466</f>
        <v>52441.3574934463</v>
      </c>
      <c r="F1505" s="84">
        <f>E1505*C1505</f>
        <v>4719.72217441016</v>
      </c>
    </row>
    <row r="1506" ht="14.85" customHeight="1" spans="1:6">
      <c r="A1506" s="57"/>
      <c r="B1506" s="57" t="s">
        <v>984</v>
      </c>
      <c r="C1506" s="195"/>
      <c r="D1506" s="84"/>
      <c r="E1506" s="84"/>
      <c r="F1506" s="84">
        <f>(F1466+F1494+F1495+F1496+F1505)*取费表!H7</f>
        <v>1714.83239003569</v>
      </c>
    </row>
    <row r="1507" ht="14.85" customHeight="1" spans="1:6">
      <c r="A1507" s="57"/>
      <c r="B1507" s="57" t="s">
        <v>278</v>
      </c>
      <c r="C1507" s="57"/>
      <c r="D1507" s="84"/>
      <c r="E1507" s="84"/>
      <c r="F1507" s="84">
        <f>F1505+E1505+F1506</f>
        <v>58875.9120578921</v>
      </c>
    </row>
    <row r="1508" ht="15.6" customHeight="1" spans="1:6">
      <c r="A1508" s="242" t="s">
        <v>1327</v>
      </c>
      <c r="C1508" s="243"/>
      <c r="D1508" s="243"/>
      <c r="E1508" s="243"/>
      <c r="F1508" s="243"/>
    </row>
    <row r="1509" ht="15.6" customHeight="1" spans="1:6">
      <c r="A1509" s="190" t="s">
        <v>1328</v>
      </c>
      <c r="B1509" s="191"/>
      <c r="C1509" s="243"/>
      <c r="D1509" s="243"/>
      <c r="E1509" s="191" t="s">
        <v>1159</v>
      </c>
      <c r="F1509" s="191"/>
    </row>
    <row r="1510" ht="15.6" customHeight="1" spans="1:6">
      <c r="A1510" s="197" t="s">
        <v>1218</v>
      </c>
      <c r="B1510" s="192"/>
      <c r="C1510" s="201"/>
      <c r="D1510" s="201"/>
      <c r="E1510" s="201"/>
      <c r="F1510" s="202"/>
    </row>
    <row r="1511" ht="15.6" customHeight="1" spans="1:6">
      <c r="A1511" s="57" t="s">
        <v>354</v>
      </c>
      <c r="B1511" s="57" t="s">
        <v>956</v>
      </c>
      <c r="C1511" s="57" t="s">
        <v>52</v>
      </c>
      <c r="D1511" s="57" t="s">
        <v>855</v>
      </c>
      <c r="E1511" s="57" t="s">
        <v>53</v>
      </c>
      <c r="F1511" s="57" t="s">
        <v>306</v>
      </c>
    </row>
    <row r="1512" ht="15.6" customHeight="1" spans="1:6">
      <c r="A1512" s="57" t="s">
        <v>959</v>
      </c>
      <c r="B1512" s="57" t="s">
        <v>960</v>
      </c>
      <c r="C1512" s="57"/>
      <c r="D1512" s="57"/>
      <c r="E1512" s="57"/>
      <c r="F1512" s="84">
        <f>F1513+F1535+F1536</f>
        <v>90005.1912743215</v>
      </c>
    </row>
    <row r="1513" ht="15.6" customHeight="1" spans="1:6">
      <c r="A1513" s="57" t="s">
        <v>59</v>
      </c>
      <c r="B1513" s="57" t="s">
        <v>957</v>
      </c>
      <c r="C1513" s="57"/>
      <c r="D1513" s="57"/>
      <c r="E1513" s="57"/>
      <c r="F1513" s="84">
        <f>F1514+F1517+F1524+F1532</f>
        <v>85882.8161014518</v>
      </c>
    </row>
    <row r="1514" ht="15.6" customHeight="1" spans="1:6">
      <c r="A1514" s="57">
        <v>1</v>
      </c>
      <c r="B1514" s="57" t="s">
        <v>964</v>
      </c>
      <c r="C1514" s="57" t="s">
        <v>965</v>
      </c>
      <c r="D1514" s="84"/>
      <c r="E1514" s="92">
        <f>SUM(E1515:E1516)</f>
        <v>2934.4</v>
      </c>
      <c r="F1514" s="113">
        <f>SUM(F1515:F1516)</f>
        <v>21717.541</v>
      </c>
    </row>
    <row r="1515" s="307" customFormat="1" ht="15.6" customHeight="1" spans="1:6">
      <c r="A1515" s="57"/>
      <c r="B1515" s="57" t="s">
        <v>966</v>
      </c>
      <c r="C1515" s="57" t="s">
        <v>965</v>
      </c>
      <c r="D1515" s="113">
        <f>D1422</f>
        <v>8.1</v>
      </c>
      <c r="E1515" s="92">
        <f>4108.2*0.5</f>
        <v>2054.1</v>
      </c>
      <c r="F1515" s="113">
        <f>D1515*E1515</f>
        <v>16638.21</v>
      </c>
    </row>
    <row r="1516" s="307" customFormat="1" ht="15.6" customHeight="1" spans="1:6">
      <c r="A1516" s="57"/>
      <c r="B1516" s="57" t="s">
        <v>968</v>
      </c>
      <c r="C1516" s="57" t="s">
        <v>965</v>
      </c>
      <c r="D1516" s="113">
        <f>D1423</f>
        <v>5.77</v>
      </c>
      <c r="E1516" s="92">
        <f>1760.6*0.5</f>
        <v>880.3</v>
      </c>
      <c r="F1516" s="113">
        <f>D1516*E1516</f>
        <v>5079.331</v>
      </c>
    </row>
    <row r="1517" ht="15.6" customHeight="1" spans="1:6">
      <c r="A1517" s="57">
        <v>2</v>
      </c>
      <c r="B1517" s="57" t="s">
        <v>1219</v>
      </c>
      <c r="C1517" s="57"/>
      <c r="D1517" s="84"/>
      <c r="E1517" s="84"/>
      <c r="F1517" s="84">
        <f>SUM(F1518:F1523)</f>
        <v>60366.0168532424</v>
      </c>
    </row>
    <row r="1518" ht="15.6" customHeight="1" spans="1:6">
      <c r="A1518" s="57"/>
      <c r="B1518" s="57" t="s">
        <v>1272</v>
      </c>
      <c r="C1518" s="57" t="s">
        <v>1188</v>
      </c>
      <c r="D1518" s="84">
        <f>D1472</f>
        <v>2232.665025</v>
      </c>
      <c r="E1518" s="84">
        <f>26.19*0.5</f>
        <v>13.095</v>
      </c>
      <c r="F1518" s="84">
        <f t="shared" ref="F1518:F1523" si="178">D1518*E1518</f>
        <v>29236.748502375</v>
      </c>
    </row>
    <row r="1519" ht="15.6" customHeight="1" spans="1:6">
      <c r="A1519" s="57"/>
      <c r="B1519" s="57" t="s">
        <v>1277</v>
      </c>
      <c r="C1519" s="57" t="s">
        <v>184</v>
      </c>
      <c r="D1519" s="84">
        <v>6.39</v>
      </c>
      <c r="E1519" s="84">
        <v>616.3</v>
      </c>
      <c r="F1519" s="84">
        <f t="shared" si="178"/>
        <v>3938.157</v>
      </c>
    </row>
    <row r="1520" ht="15.6" customHeight="1" spans="1:6">
      <c r="A1520" s="57"/>
      <c r="B1520" s="57" t="s">
        <v>1276</v>
      </c>
      <c r="C1520" s="57" t="s">
        <v>184</v>
      </c>
      <c r="D1520" s="84">
        <v>4.5</v>
      </c>
      <c r="E1520" s="84">
        <v>134.3</v>
      </c>
      <c r="F1520" s="84">
        <f t="shared" si="178"/>
        <v>604.35</v>
      </c>
    </row>
    <row r="1521" ht="15.6" customHeight="1" spans="1:6">
      <c r="A1521" s="57"/>
      <c r="B1521" s="57" t="s">
        <v>1292</v>
      </c>
      <c r="C1521" s="57" t="s">
        <v>1188</v>
      </c>
      <c r="D1521" s="84">
        <f>配合比!M10</f>
        <v>183.3858985</v>
      </c>
      <c r="E1521" s="84">
        <v>103</v>
      </c>
      <c r="F1521" s="84">
        <f t="shared" si="178"/>
        <v>18888.7475455</v>
      </c>
    </row>
    <row r="1522" ht="15.6" customHeight="1" spans="1:6">
      <c r="A1522" s="57"/>
      <c r="B1522" s="57" t="s">
        <v>1022</v>
      </c>
      <c r="C1522" s="57" t="s">
        <v>1188</v>
      </c>
      <c r="D1522" s="84">
        <f>材料预算价!K14</f>
        <v>4.37</v>
      </c>
      <c r="E1522" s="84">
        <v>140</v>
      </c>
      <c r="F1522" s="84">
        <f t="shared" si="178"/>
        <v>611.8</v>
      </c>
    </row>
    <row r="1523" ht="15.6" customHeight="1" spans="1:6">
      <c r="A1523" s="57"/>
      <c r="B1523" s="57" t="s">
        <v>1163</v>
      </c>
      <c r="C1523" s="59" t="s">
        <v>423</v>
      </c>
      <c r="D1523" s="84">
        <f>SUM(F1518:F1522)</f>
        <v>53279.803047875</v>
      </c>
      <c r="E1523" s="100">
        <v>0.133</v>
      </c>
      <c r="F1523" s="84">
        <f t="shared" si="178"/>
        <v>7086.21380536738</v>
      </c>
    </row>
    <row r="1524" ht="15.6" customHeight="1" spans="1:6">
      <c r="A1524" s="57">
        <v>3</v>
      </c>
      <c r="B1524" s="57" t="s">
        <v>1171</v>
      </c>
      <c r="C1524" s="57"/>
      <c r="D1524" s="84"/>
      <c r="E1524" s="84"/>
      <c r="F1524" s="84">
        <f>SUM(F1525:F1531)</f>
        <v>1812.8468275367</v>
      </c>
    </row>
    <row r="1525" ht="15.6" customHeight="1" spans="1:6">
      <c r="A1525" s="57"/>
      <c r="B1525" s="57" t="s">
        <v>1329</v>
      </c>
      <c r="C1525" s="57" t="s">
        <v>988</v>
      </c>
      <c r="D1525" s="84">
        <f>台时!H42</f>
        <v>49.389824491424</v>
      </c>
      <c r="E1525" s="84">
        <v>16.64</v>
      </c>
      <c r="F1525" s="84">
        <f t="shared" ref="F1525:F1530" si="179">D1525*E1525</f>
        <v>821.846679537295</v>
      </c>
    </row>
    <row r="1526" ht="15.6" customHeight="1" spans="1:6">
      <c r="A1526" s="57"/>
      <c r="B1526" s="57" t="s">
        <v>1330</v>
      </c>
      <c r="C1526" s="57" t="s">
        <v>988</v>
      </c>
      <c r="D1526" s="84">
        <f>台时!F84</f>
        <v>62.3342780215397</v>
      </c>
      <c r="E1526" s="84">
        <v>0.18</v>
      </c>
      <c r="F1526" s="84">
        <f t="shared" si="179"/>
        <v>11.2201700438771</v>
      </c>
    </row>
    <row r="1527" ht="15.6" customHeight="1" spans="1:6">
      <c r="A1527" s="57"/>
      <c r="B1527" s="57" t="s">
        <v>1331</v>
      </c>
      <c r="C1527" s="57" t="s">
        <v>988</v>
      </c>
      <c r="D1527" s="84">
        <f>台时!F63</f>
        <v>95.156325887515</v>
      </c>
      <c r="E1527" s="84">
        <v>0.21</v>
      </c>
      <c r="F1527" s="84">
        <f t="shared" si="179"/>
        <v>19.9828284363782</v>
      </c>
    </row>
    <row r="1528" ht="15.6" customHeight="1" spans="1:6">
      <c r="A1528" s="57"/>
      <c r="B1528" s="57" t="s">
        <v>1283</v>
      </c>
      <c r="C1528" s="57" t="s">
        <v>988</v>
      </c>
      <c r="D1528" s="84">
        <f>台时!D42</f>
        <v>23.7459521340247</v>
      </c>
      <c r="E1528" s="84">
        <v>18.54</v>
      </c>
      <c r="F1528" s="84">
        <f t="shared" si="179"/>
        <v>440.249952564819</v>
      </c>
    </row>
    <row r="1529" ht="15.6" customHeight="1" spans="1:6">
      <c r="A1529" s="57"/>
      <c r="B1529" s="57" t="s">
        <v>1297</v>
      </c>
      <c r="C1529" s="57" t="s">
        <v>988</v>
      </c>
      <c r="D1529" s="84">
        <f>台时!C84</f>
        <v>2.37852772237734</v>
      </c>
      <c r="E1529" s="84">
        <v>90.64</v>
      </c>
      <c r="F1529" s="84">
        <f t="shared" si="179"/>
        <v>215.589752756282</v>
      </c>
    </row>
    <row r="1530" ht="15.6" customHeight="1" spans="1:6">
      <c r="A1530" s="57"/>
      <c r="B1530" s="57" t="s">
        <v>1190</v>
      </c>
      <c r="C1530" s="57" t="s">
        <v>988</v>
      </c>
      <c r="D1530" s="84">
        <f>台时!C42</f>
        <v>0.813242919824491</v>
      </c>
      <c r="E1530" s="84">
        <v>83</v>
      </c>
      <c r="F1530" s="84">
        <f t="shared" si="179"/>
        <v>67.4991623454328</v>
      </c>
    </row>
    <row r="1531" ht="15.6" customHeight="1" spans="1:6">
      <c r="A1531" s="57"/>
      <c r="B1531" s="57" t="s">
        <v>1223</v>
      </c>
      <c r="C1531" s="59" t="s">
        <v>423</v>
      </c>
      <c r="D1531" s="84">
        <f>SUM(F1525:F1530)</f>
        <v>1576.38854568408</v>
      </c>
      <c r="E1531" s="84">
        <v>15</v>
      </c>
      <c r="F1531" s="84">
        <f>D1531*E1531/100</f>
        <v>236.458281852613</v>
      </c>
    </row>
    <row r="1532" s="307" customFormat="1" ht="15.6" customHeight="1" spans="1:6">
      <c r="A1532" s="57">
        <v>4</v>
      </c>
      <c r="B1532" s="57" t="s">
        <v>1285</v>
      </c>
      <c r="C1532" s="59"/>
      <c r="D1532" s="84"/>
      <c r="E1532" s="84"/>
      <c r="F1532" s="84">
        <f>SUM(F1533:F1534)</f>
        <v>1986.41142067271</v>
      </c>
    </row>
    <row r="1533" s="307" customFormat="1" ht="15.6" customHeight="1" spans="1:6">
      <c r="A1533" s="57"/>
      <c r="B1533" s="245" t="s">
        <v>1286</v>
      </c>
      <c r="C1533" s="245" t="s">
        <v>1188</v>
      </c>
      <c r="D1533" s="246">
        <f>D1443</f>
        <v>5.03319379720782</v>
      </c>
      <c r="E1533" s="246">
        <v>103</v>
      </c>
      <c r="F1533" s="84">
        <f>D1533*E1533</f>
        <v>518.418961112405</v>
      </c>
    </row>
    <row r="1534" s="307" customFormat="1" ht="15.6" customHeight="1" spans="1:6">
      <c r="A1534" s="57"/>
      <c r="B1534" s="245" t="s">
        <v>1287</v>
      </c>
      <c r="C1534" s="245" t="s">
        <v>1188</v>
      </c>
      <c r="D1534" s="246">
        <f>$F$2271/100</f>
        <v>14.2523539763136</v>
      </c>
      <c r="E1534" s="246">
        <v>103</v>
      </c>
      <c r="F1534" s="84">
        <f>D1534*E1534</f>
        <v>1467.99245956031</v>
      </c>
    </row>
    <row r="1535" s="307" customFormat="1" ht="15.6" customHeight="1" spans="1:6">
      <c r="A1535" s="57" t="s">
        <v>70</v>
      </c>
      <c r="B1535" s="57" t="s">
        <v>977</v>
      </c>
      <c r="C1535" s="194">
        <f>取费表!$C$7</f>
        <v>0.048</v>
      </c>
      <c r="D1535" s="246"/>
      <c r="E1535" s="246">
        <f>F1513</f>
        <v>85882.8161014518</v>
      </c>
      <c r="F1535" s="84">
        <f t="shared" ref="F1535:F1538" si="180">E1535*C1535</f>
        <v>4122.37517286969</v>
      </c>
    </row>
    <row r="1536" s="307" customFormat="1" ht="15.6" customHeight="1" spans="1:6">
      <c r="A1536" s="57"/>
      <c r="B1536" s="57"/>
      <c r="C1536" s="194"/>
      <c r="D1536" s="246"/>
      <c r="E1536" s="246"/>
      <c r="F1536" s="84"/>
    </row>
    <row r="1537" s="307" customFormat="1" ht="15.6" customHeight="1" spans="1:6">
      <c r="A1537" s="57" t="s">
        <v>979</v>
      </c>
      <c r="B1537" s="57" t="s">
        <v>973</v>
      </c>
      <c r="C1537" s="194">
        <f>取费表!$E$7</f>
        <v>0.07</v>
      </c>
      <c r="D1537" s="246"/>
      <c r="E1537" s="246">
        <f>F1512</f>
        <v>90005.1912743215</v>
      </c>
      <c r="F1537" s="84">
        <f t="shared" si="180"/>
        <v>6300.3633892025</v>
      </c>
    </row>
    <row r="1538" ht="15.6" customHeight="1" spans="1:6">
      <c r="A1538" s="57" t="s">
        <v>162</v>
      </c>
      <c r="B1538" s="57" t="s">
        <v>980</v>
      </c>
      <c r="C1538" s="194">
        <f>取费表!$F$7</f>
        <v>0.07</v>
      </c>
      <c r="D1538" s="246"/>
      <c r="E1538" s="246">
        <f>F1512+F1537</f>
        <v>96305.554663524</v>
      </c>
      <c r="F1538" s="84">
        <f t="shared" si="180"/>
        <v>6741.38882644668</v>
      </c>
    </row>
    <row r="1539" s="310" customFormat="1" ht="15.6" customHeight="1" spans="1:6">
      <c r="A1539" s="55" t="s">
        <v>214</v>
      </c>
      <c r="B1539" s="55" t="s">
        <v>1173</v>
      </c>
      <c r="C1539" s="253"/>
      <c r="D1539" s="254"/>
      <c r="E1539" s="55"/>
      <c r="F1539" s="255">
        <f>F1540+F1545</f>
        <v>10464.8813956064</v>
      </c>
    </row>
    <row r="1540" ht="15.6" customHeight="1" spans="1:6">
      <c r="A1540" s="57">
        <v>1</v>
      </c>
      <c r="B1540" s="57" t="s">
        <v>1288</v>
      </c>
      <c r="C1540" s="59"/>
      <c r="D1540" s="84"/>
      <c r="E1540" s="57"/>
      <c r="F1540" s="113">
        <f>SUM(F1541:F1544)</f>
        <v>9712.57769560639</v>
      </c>
    </row>
    <row r="1541" ht="15.6" customHeight="1" spans="1:6">
      <c r="A1541" s="57"/>
      <c r="B1541" s="57"/>
      <c r="C1541" s="57"/>
      <c r="D1541" s="84"/>
      <c r="E1541" s="84"/>
      <c r="F1541" s="84"/>
    </row>
    <row r="1542" ht="15.6" customHeight="1" spans="1:6">
      <c r="A1542" s="57"/>
      <c r="B1542" s="57" t="s">
        <v>1141</v>
      </c>
      <c r="C1542" s="57" t="s">
        <v>69</v>
      </c>
      <c r="D1542" s="84">
        <f>D1452</f>
        <v>156.64017</v>
      </c>
      <c r="E1542" s="88">
        <f>E1521*配合比!E10</f>
        <v>35.035759</v>
      </c>
      <c r="F1542" s="113">
        <f t="shared" ref="F1542:F1544" si="181">D1542*E1542</f>
        <v>5488.00724583903</v>
      </c>
    </row>
    <row r="1543" ht="15.6" customHeight="1" spans="1:6">
      <c r="A1543" s="57"/>
      <c r="B1543" s="57" t="s">
        <v>1142</v>
      </c>
      <c r="C1543" s="57" t="s">
        <v>1188</v>
      </c>
      <c r="D1543" s="84">
        <f>D1500</f>
        <v>44.826214</v>
      </c>
      <c r="E1543" s="88">
        <f>E1521*配合比!G10</f>
        <v>54.40666</v>
      </c>
      <c r="F1543" s="113">
        <f t="shared" si="181"/>
        <v>2438.84458418524</v>
      </c>
    </row>
    <row r="1544" ht="15.6" customHeight="1" spans="1:6">
      <c r="A1544" s="57"/>
      <c r="B1544" s="57" t="s">
        <v>1110</v>
      </c>
      <c r="C1544" s="57" t="s">
        <v>1188</v>
      </c>
      <c r="D1544" s="84">
        <f>D1454</f>
        <v>20.60443</v>
      </c>
      <c r="E1544" s="88">
        <f>E1521*配合比!I10</f>
        <v>86.667084</v>
      </c>
      <c r="F1544" s="113">
        <f t="shared" si="181"/>
        <v>1785.72586558212</v>
      </c>
    </row>
    <row r="1545" ht="15.6" customHeight="1" spans="1:6">
      <c r="A1545" s="57">
        <v>2</v>
      </c>
      <c r="B1545" s="57" t="s">
        <v>1289</v>
      </c>
      <c r="C1545" s="57"/>
      <c r="D1545" s="84"/>
      <c r="E1545" s="88"/>
      <c r="F1545" s="113">
        <f>SUM(F1546:F1547)</f>
        <v>752.3037</v>
      </c>
    </row>
    <row r="1546" ht="15.6" customHeight="1" spans="1:6">
      <c r="A1546" s="57"/>
      <c r="B1546" s="57" t="s">
        <v>1290</v>
      </c>
      <c r="C1546" s="57" t="s">
        <v>184</v>
      </c>
      <c r="D1546" s="84">
        <f>材料预算价!K13-材料预算价!L13</f>
        <v>6.225</v>
      </c>
      <c r="E1546" s="88">
        <f>E1525*台时!H34+新定额单价!E1526*台时!F76</f>
        <v>120.852</v>
      </c>
      <c r="F1546" s="113">
        <f>D1546*E1546</f>
        <v>752.3037</v>
      </c>
    </row>
    <row r="1547" ht="15.6" customHeight="1" spans="1:6">
      <c r="A1547" s="57"/>
      <c r="B1547" s="57" t="s">
        <v>1174</v>
      </c>
      <c r="C1547" s="57" t="s">
        <v>184</v>
      </c>
      <c r="D1547" s="84">
        <f>材料预算价!K12-材料预算价!L12</f>
        <v>4.86</v>
      </c>
      <c r="E1547" s="88"/>
      <c r="F1547" s="113">
        <f>D1547*E1547</f>
        <v>0</v>
      </c>
    </row>
    <row r="1548" ht="23.25" customHeight="1" spans="1:6">
      <c r="A1548" s="57"/>
      <c r="B1548" s="57" t="s">
        <v>976</v>
      </c>
      <c r="C1548" s="195">
        <f>C1458</f>
        <v>0.09</v>
      </c>
      <c r="D1548" s="275"/>
      <c r="E1548" s="84">
        <f>F1512+F1537+F1538+F1539</f>
        <v>113511.824885577</v>
      </c>
      <c r="F1548" s="84">
        <f>C1548*E1548</f>
        <v>10216.0642397019</v>
      </c>
    </row>
    <row r="1549" customHeight="1" spans="1:6">
      <c r="A1549" s="57"/>
      <c r="B1549" s="57" t="s">
        <v>984</v>
      </c>
      <c r="C1549" s="195"/>
      <c r="D1549" s="275"/>
      <c r="E1549" s="84"/>
      <c r="F1549" s="84">
        <f>(E1548+F1548)*取费表!H4</f>
        <v>3711.83667375837</v>
      </c>
    </row>
    <row r="1550" ht="22.5" customHeight="1" spans="1:6">
      <c r="A1550" s="57"/>
      <c r="B1550" s="57" t="s">
        <v>278</v>
      </c>
      <c r="C1550" s="58"/>
      <c r="D1550" s="275"/>
      <c r="E1550" s="275"/>
      <c r="F1550" s="84">
        <f>E1548+F1548+F1549</f>
        <v>127439.725799037</v>
      </c>
    </row>
    <row r="1551" ht="15" customHeight="1" spans="1:6">
      <c r="A1551" s="176" t="s">
        <v>1204</v>
      </c>
      <c r="B1551" s="175"/>
      <c r="C1551" s="175"/>
      <c r="D1551" s="175"/>
      <c r="E1551" s="175"/>
      <c r="F1551" s="175"/>
    </row>
    <row r="1552" ht="15" customHeight="1" spans="1:6">
      <c r="A1552" s="242" t="s">
        <v>1332</v>
      </c>
      <c r="C1552" s="243"/>
      <c r="D1552" s="243"/>
      <c r="E1552" s="243"/>
      <c r="F1552" s="243"/>
    </row>
    <row r="1553" ht="15" customHeight="1" spans="1:6">
      <c r="A1553" s="190" t="s">
        <v>1333</v>
      </c>
      <c r="B1553" s="191"/>
      <c r="C1553" s="243"/>
      <c r="D1553" s="243"/>
      <c r="E1553" s="191" t="s">
        <v>1159</v>
      </c>
      <c r="F1553" s="191"/>
    </row>
    <row r="1554" ht="15" customHeight="1" spans="1:6">
      <c r="A1554" s="117" t="s">
        <v>1218</v>
      </c>
      <c r="B1554" s="192"/>
      <c r="C1554" s="192"/>
      <c r="D1554" s="192"/>
      <c r="E1554" s="192"/>
      <c r="F1554" s="118"/>
    </row>
    <row r="1555" ht="15" customHeight="1" spans="1:6">
      <c r="A1555" s="57" t="s">
        <v>354</v>
      </c>
      <c r="B1555" s="57" t="s">
        <v>956</v>
      </c>
      <c r="C1555" s="57" t="s">
        <v>52</v>
      </c>
      <c r="D1555" s="57" t="s">
        <v>855</v>
      </c>
      <c r="E1555" s="57" t="s">
        <v>53</v>
      </c>
      <c r="F1555" s="57" t="s">
        <v>306</v>
      </c>
    </row>
    <row r="1556" ht="15" customHeight="1" spans="1:6">
      <c r="A1556" s="57" t="s">
        <v>959</v>
      </c>
      <c r="B1556" s="57" t="s">
        <v>960</v>
      </c>
      <c r="C1556" s="57"/>
      <c r="D1556" s="57"/>
      <c r="E1556" s="57"/>
      <c r="F1556" s="84">
        <f>F1557+F1581+F1582</f>
        <v>50026.3144562507</v>
      </c>
    </row>
    <row r="1557" ht="15" customHeight="1" spans="1:6">
      <c r="A1557" s="57" t="s">
        <v>59</v>
      </c>
      <c r="B1557" s="57" t="s">
        <v>957</v>
      </c>
      <c r="C1557" s="57"/>
      <c r="D1557" s="57"/>
      <c r="E1557" s="57"/>
      <c r="F1557" s="84">
        <f>F1558+F1561+F1571+F1578</f>
        <v>47735.0328781018</v>
      </c>
    </row>
    <row r="1558" ht="15" customHeight="1" spans="1:6">
      <c r="A1558" s="57">
        <v>1</v>
      </c>
      <c r="B1558" s="57" t="s">
        <v>964</v>
      </c>
      <c r="C1558" s="57" t="s">
        <v>965</v>
      </c>
      <c r="D1558" s="84"/>
      <c r="E1558" s="92">
        <f>SUM(E1559:E1560)</f>
        <v>1584.7</v>
      </c>
      <c r="F1558" s="113">
        <f>SUM(F1559:F1560)</f>
        <v>11728.388</v>
      </c>
    </row>
    <row r="1559" ht="15" customHeight="1" spans="1:6">
      <c r="A1559" s="57"/>
      <c r="B1559" s="57" t="s">
        <v>966</v>
      </c>
      <c r="C1559" s="57" t="s">
        <v>965</v>
      </c>
      <c r="D1559" s="113">
        <f>材料预算价!K20</f>
        <v>8.1</v>
      </c>
      <c r="E1559" s="92">
        <v>1109.3</v>
      </c>
      <c r="F1559" s="113">
        <f>D1559*E1559</f>
        <v>8985.33</v>
      </c>
    </row>
    <row r="1560" ht="15" customHeight="1" spans="1:6">
      <c r="A1560" s="57"/>
      <c r="B1560" s="57" t="s">
        <v>968</v>
      </c>
      <c r="C1560" s="57" t="s">
        <v>965</v>
      </c>
      <c r="D1560" s="113">
        <f>材料预算价!K19</f>
        <v>5.77</v>
      </c>
      <c r="E1560" s="92">
        <v>475.4</v>
      </c>
      <c r="F1560" s="113">
        <f>D1560*E1560</f>
        <v>2743.058</v>
      </c>
    </row>
    <row r="1561" ht="15" customHeight="1" spans="1:6">
      <c r="A1561" s="57">
        <v>2</v>
      </c>
      <c r="B1561" s="57" t="s">
        <v>1219</v>
      </c>
      <c r="C1561" s="57"/>
      <c r="D1561" s="84"/>
      <c r="E1561" s="84"/>
      <c r="F1561" s="84">
        <f>SUM(F1562:F1570)</f>
        <v>32885.7633049</v>
      </c>
    </row>
    <row r="1562" ht="15" customHeight="1" spans="1:6">
      <c r="A1562" s="57"/>
      <c r="B1562" s="244" t="s">
        <v>1272</v>
      </c>
      <c r="C1562" s="244" t="s">
        <v>1188</v>
      </c>
      <c r="D1562" s="84">
        <f>D1518</f>
        <v>2232.665025</v>
      </c>
      <c r="E1562" s="84">
        <v>2.8</v>
      </c>
      <c r="F1562" s="84">
        <f t="shared" ref="F1562:F1569" si="182">D1562*E1562</f>
        <v>6251.46207</v>
      </c>
    </row>
    <row r="1563" ht="15" customHeight="1" spans="1:6">
      <c r="A1563" s="57"/>
      <c r="B1563" s="244" t="s">
        <v>1334</v>
      </c>
      <c r="C1563" s="244" t="s">
        <v>184</v>
      </c>
      <c r="D1563" s="84">
        <v>4.44</v>
      </c>
      <c r="E1563" s="84">
        <v>116.3</v>
      </c>
      <c r="F1563" s="84">
        <f t="shared" si="182"/>
        <v>516.372</v>
      </c>
    </row>
    <row r="1564" ht="15" customHeight="1" spans="1:6">
      <c r="A1564" s="57"/>
      <c r="B1564" s="244" t="s">
        <v>1274</v>
      </c>
      <c r="C1564" s="244" t="s">
        <v>184</v>
      </c>
      <c r="D1564" s="84">
        <v>4.5</v>
      </c>
      <c r="E1564" s="84">
        <v>277.8</v>
      </c>
      <c r="F1564" s="84">
        <f t="shared" si="182"/>
        <v>1250.1</v>
      </c>
    </row>
    <row r="1565" ht="15" customHeight="1" spans="1:6">
      <c r="A1565" s="57"/>
      <c r="B1565" s="244" t="s">
        <v>1275</v>
      </c>
      <c r="C1565" s="244" t="s">
        <v>184</v>
      </c>
      <c r="D1565" s="84">
        <v>5.15</v>
      </c>
      <c r="E1565" s="84">
        <v>373</v>
      </c>
      <c r="F1565" s="84">
        <f t="shared" si="182"/>
        <v>1920.95</v>
      </c>
    </row>
    <row r="1566" ht="15" customHeight="1" spans="1:6">
      <c r="A1566" s="57"/>
      <c r="B1566" s="244" t="s">
        <v>1277</v>
      </c>
      <c r="C1566" s="244" t="s">
        <v>184</v>
      </c>
      <c r="D1566" s="84">
        <v>6.39</v>
      </c>
      <c r="E1566" s="84">
        <v>509.2</v>
      </c>
      <c r="F1566" s="84">
        <f t="shared" si="182"/>
        <v>3253.788</v>
      </c>
    </row>
    <row r="1567" ht="15" customHeight="1" spans="1:6">
      <c r="A1567" s="57"/>
      <c r="B1567" s="244" t="s">
        <v>1278</v>
      </c>
      <c r="C1567" s="244" t="s">
        <v>184</v>
      </c>
      <c r="D1567" s="84">
        <v>5.97</v>
      </c>
      <c r="E1567" s="84">
        <v>0.92</v>
      </c>
      <c r="F1567" s="84">
        <f t="shared" si="182"/>
        <v>5.4924</v>
      </c>
    </row>
    <row r="1568" ht="15" customHeight="1" spans="1:6">
      <c r="A1568" s="57"/>
      <c r="B1568" s="57" t="s">
        <v>1335</v>
      </c>
      <c r="C1568" s="57" t="s">
        <v>1188</v>
      </c>
      <c r="D1568" s="84">
        <f>配合比!M10</f>
        <v>183.3858985</v>
      </c>
      <c r="E1568" s="84">
        <v>103</v>
      </c>
      <c r="F1568" s="84">
        <f t="shared" si="182"/>
        <v>18888.7475455</v>
      </c>
    </row>
    <row r="1569" ht="15" customHeight="1" spans="1:6">
      <c r="A1569" s="57"/>
      <c r="B1569" s="57" t="s">
        <v>1022</v>
      </c>
      <c r="C1569" s="57" t="s">
        <v>1188</v>
      </c>
      <c r="D1569" s="84">
        <f>材料预算价!K14</f>
        <v>4.37</v>
      </c>
      <c r="E1569" s="84">
        <v>120</v>
      </c>
      <c r="F1569" s="84">
        <f t="shared" si="182"/>
        <v>524.4</v>
      </c>
    </row>
    <row r="1570" ht="15" customHeight="1" spans="1:6">
      <c r="A1570" s="57"/>
      <c r="B1570" s="57" t="s">
        <v>1163</v>
      </c>
      <c r="C1570" s="59" t="s">
        <v>423</v>
      </c>
      <c r="D1570" s="84">
        <f>F1562+F1563+F1564+F1565+F1566+F1567+F1569</f>
        <v>13722.56447</v>
      </c>
      <c r="E1570" s="84">
        <v>2</v>
      </c>
      <c r="F1570" s="84">
        <f>D1570*E1570/100</f>
        <v>274.4512894</v>
      </c>
    </row>
    <row r="1571" ht="15" customHeight="1" spans="1:6">
      <c r="A1571" s="57">
        <v>3</v>
      </c>
      <c r="B1571" s="57" t="s">
        <v>1171</v>
      </c>
      <c r="C1571" s="57"/>
      <c r="D1571" s="84"/>
      <c r="E1571" s="84"/>
      <c r="F1571" s="84">
        <f>SUM(F1572:F1577)</f>
        <v>1134.47015252908</v>
      </c>
    </row>
    <row r="1572" ht="15" customHeight="1" spans="1:6">
      <c r="A1572" s="57"/>
      <c r="B1572" s="57" t="s">
        <v>1280</v>
      </c>
      <c r="C1572" s="57" t="s">
        <v>988</v>
      </c>
      <c r="D1572" s="84">
        <f>台时!H42</f>
        <v>49.389824491424</v>
      </c>
      <c r="E1572" s="84">
        <v>4.88</v>
      </c>
      <c r="F1572" s="84">
        <f t="shared" ref="F1572:F1576" si="183">D1572*E1572</f>
        <v>241.022343518149</v>
      </c>
    </row>
    <row r="1573" ht="15" customHeight="1" spans="1:6">
      <c r="A1573" s="57"/>
      <c r="B1573" s="57" t="s">
        <v>1283</v>
      </c>
      <c r="C1573" s="57" t="s">
        <v>988</v>
      </c>
      <c r="D1573" s="84">
        <f>台时!D42</f>
        <v>23.7459521340247</v>
      </c>
      <c r="E1573" s="84">
        <v>16.83</v>
      </c>
      <c r="F1573" s="84">
        <f t="shared" si="183"/>
        <v>399.644374415636</v>
      </c>
    </row>
    <row r="1574" ht="15" customHeight="1" spans="1:6">
      <c r="A1574" s="57"/>
      <c r="B1574" s="57" t="s">
        <v>1336</v>
      </c>
      <c r="C1574" s="57" t="s">
        <v>988</v>
      </c>
      <c r="D1574" s="84">
        <f>台时!C84</f>
        <v>2.37852772237734</v>
      </c>
      <c r="E1574" s="84">
        <v>18.54</v>
      </c>
      <c r="F1574" s="84">
        <f t="shared" si="183"/>
        <v>44.0979039728759</v>
      </c>
    </row>
    <row r="1575" ht="15" customHeight="1" spans="1:6">
      <c r="A1575" s="57"/>
      <c r="B1575" s="244" t="s">
        <v>1337</v>
      </c>
      <c r="C1575" s="57" t="s">
        <v>988</v>
      </c>
      <c r="D1575" s="84">
        <f>台时!E84</f>
        <v>8.0471858795373</v>
      </c>
      <c r="E1575" s="204">
        <v>35.6</v>
      </c>
      <c r="F1575" s="84">
        <f t="shared" si="183"/>
        <v>286.479817311528</v>
      </c>
    </row>
    <row r="1576" ht="15" customHeight="1" spans="1:6">
      <c r="A1576" s="57"/>
      <c r="B1576" s="57" t="s">
        <v>1190</v>
      </c>
      <c r="C1576" s="57" t="s">
        <v>988</v>
      </c>
      <c r="D1576" s="84">
        <f>台时!C42</f>
        <v>0.813242919824491</v>
      </c>
      <c r="E1576" s="204">
        <v>83</v>
      </c>
      <c r="F1576" s="84">
        <f t="shared" si="183"/>
        <v>67.4991623454328</v>
      </c>
    </row>
    <row r="1577" ht="15" customHeight="1" spans="1:6">
      <c r="A1577" s="57"/>
      <c r="B1577" s="57" t="s">
        <v>1223</v>
      </c>
      <c r="C1577" s="59" t="s">
        <v>423</v>
      </c>
      <c r="D1577" s="84">
        <f>SUM(F1573:F1576)</f>
        <v>797.721258045472</v>
      </c>
      <c r="E1577" s="84">
        <v>12</v>
      </c>
      <c r="F1577" s="84">
        <f>D1577*E1577/100</f>
        <v>95.7265509654567</v>
      </c>
    </row>
    <row r="1578" ht="15" customHeight="1" spans="1:6">
      <c r="A1578" s="55">
        <v>4</v>
      </c>
      <c r="B1578" s="55" t="s">
        <v>1285</v>
      </c>
      <c r="C1578" s="253"/>
      <c r="D1578" s="254"/>
      <c r="E1578" s="254"/>
      <c r="F1578" s="254">
        <f>SUM(F1579:F1580)</f>
        <v>1986.41142067271</v>
      </c>
    </row>
    <row r="1579" ht="15" customHeight="1" spans="1:6">
      <c r="A1579" s="57"/>
      <c r="B1579" s="245" t="s">
        <v>1286</v>
      </c>
      <c r="C1579" s="245" t="s">
        <v>1188</v>
      </c>
      <c r="D1579" s="246">
        <f>$F$2253/100</f>
        <v>5.03319379720782</v>
      </c>
      <c r="E1579" s="246">
        <v>103</v>
      </c>
      <c r="F1579" s="84">
        <f>D1579*E1579</f>
        <v>518.418961112405</v>
      </c>
    </row>
    <row r="1580" ht="15" customHeight="1" spans="1:6">
      <c r="A1580" s="57"/>
      <c r="B1580" s="245" t="s">
        <v>1287</v>
      </c>
      <c r="C1580" s="245" t="s">
        <v>1188</v>
      </c>
      <c r="D1580" s="246">
        <f>$F$2271/100</f>
        <v>14.2523539763136</v>
      </c>
      <c r="E1580" s="246">
        <v>103</v>
      </c>
      <c r="F1580" s="84">
        <f>D1580*E1580</f>
        <v>1467.99245956031</v>
      </c>
    </row>
    <row r="1581" ht="15" customHeight="1" spans="1:6">
      <c r="A1581" s="57" t="s">
        <v>70</v>
      </c>
      <c r="B1581" s="57" t="s">
        <v>977</v>
      </c>
      <c r="C1581" s="194">
        <f>取费表!$C$7</f>
        <v>0.048</v>
      </c>
      <c r="D1581" s="246"/>
      <c r="E1581" s="246">
        <f>F1557</f>
        <v>47735.0328781018</v>
      </c>
      <c r="F1581" s="84">
        <f t="shared" ref="F1581:F1584" si="184">E1581*C1581</f>
        <v>2291.28157814889</v>
      </c>
    </row>
    <row r="1582" ht="15" customHeight="1" spans="1:6">
      <c r="A1582" s="57"/>
      <c r="B1582" s="57"/>
      <c r="C1582" s="194"/>
      <c r="D1582" s="246"/>
      <c r="E1582" s="246"/>
      <c r="F1582" s="84"/>
    </row>
    <row r="1583" ht="15" customHeight="1" spans="1:6">
      <c r="A1583" s="57" t="s">
        <v>979</v>
      </c>
      <c r="B1583" s="57" t="s">
        <v>973</v>
      </c>
      <c r="C1583" s="194">
        <f>取费表!$E$7</f>
        <v>0.07</v>
      </c>
      <c r="D1583" s="246"/>
      <c r="E1583" s="246">
        <f>F1556</f>
        <v>50026.3144562507</v>
      </c>
      <c r="F1583" s="84">
        <f t="shared" si="184"/>
        <v>3501.84201193755</v>
      </c>
    </row>
    <row r="1584" ht="15" customHeight="1" spans="1:6">
      <c r="A1584" s="57" t="s">
        <v>162</v>
      </c>
      <c r="B1584" s="57" t="s">
        <v>980</v>
      </c>
      <c r="C1584" s="194">
        <f>取费表!$F$7</f>
        <v>0.07</v>
      </c>
      <c r="D1584" s="246"/>
      <c r="E1584" s="246">
        <f>F1583+F1556</f>
        <v>53528.1564681882</v>
      </c>
      <c r="F1584" s="84">
        <f t="shared" si="184"/>
        <v>3746.97095277318</v>
      </c>
    </row>
    <row r="1585" ht="15" customHeight="1" spans="1:6">
      <c r="A1585" s="55" t="s">
        <v>214</v>
      </c>
      <c r="B1585" s="55" t="s">
        <v>1173</v>
      </c>
      <c r="C1585" s="253"/>
      <c r="D1585" s="254"/>
      <c r="E1585" s="55"/>
      <c r="F1585" s="255">
        <f>F1586+F1591</f>
        <v>9931.29929560639</v>
      </c>
    </row>
    <row r="1586" ht="15" customHeight="1" spans="1:6">
      <c r="A1586" s="57">
        <v>1</v>
      </c>
      <c r="B1586" s="57" t="s">
        <v>1288</v>
      </c>
      <c r="C1586" s="59"/>
      <c r="D1586" s="84"/>
      <c r="E1586" s="57"/>
      <c r="F1586" s="113">
        <f>SUM(F1587:F1590)</f>
        <v>9712.57769560639</v>
      </c>
    </row>
    <row r="1587" ht="15" customHeight="1" spans="1:6">
      <c r="A1587" s="57"/>
      <c r="B1587" s="57"/>
      <c r="C1587" s="57"/>
      <c r="D1587" s="84"/>
      <c r="E1587" s="84"/>
      <c r="F1587" s="113"/>
    </row>
    <row r="1588" ht="15" customHeight="1" spans="1:6">
      <c r="A1588" s="57"/>
      <c r="B1588" s="57" t="s">
        <v>1141</v>
      </c>
      <c r="C1588" s="57" t="s">
        <v>69</v>
      </c>
      <c r="D1588" s="84">
        <f>D1634</f>
        <v>156.64017</v>
      </c>
      <c r="E1588" s="84">
        <f>E1568*配合比!E10</f>
        <v>35.035759</v>
      </c>
      <c r="F1588" s="113">
        <f t="shared" ref="F1588:F1590" si="185">D1588*E1588</f>
        <v>5488.00724583903</v>
      </c>
    </row>
    <row r="1589" ht="15" customHeight="1" spans="1:6">
      <c r="A1589" s="57"/>
      <c r="B1589" s="57" t="s">
        <v>1142</v>
      </c>
      <c r="C1589" s="57" t="s">
        <v>1188</v>
      </c>
      <c r="D1589" s="84">
        <f t="shared" ref="D1589:D1593" si="186">D1543</f>
        <v>44.826214</v>
      </c>
      <c r="E1589" s="84">
        <f>E1568*配合比!G10</f>
        <v>54.40666</v>
      </c>
      <c r="F1589" s="113">
        <f t="shared" si="185"/>
        <v>2438.84458418524</v>
      </c>
    </row>
    <row r="1590" ht="15" customHeight="1" spans="1:6">
      <c r="A1590" s="57"/>
      <c r="B1590" s="57" t="s">
        <v>1110</v>
      </c>
      <c r="C1590" s="57" t="s">
        <v>1188</v>
      </c>
      <c r="D1590" s="84">
        <f>D1636</f>
        <v>20.60443</v>
      </c>
      <c r="E1590" s="84">
        <f>E1568*配合比!I10</f>
        <v>86.667084</v>
      </c>
      <c r="F1590" s="113">
        <f t="shared" si="185"/>
        <v>1785.72586558212</v>
      </c>
    </row>
    <row r="1591" ht="15" customHeight="1" spans="1:6">
      <c r="A1591" s="57">
        <v>2</v>
      </c>
      <c r="B1591" s="57" t="s">
        <v>1289</v>
      </c>
      <c r="C1591" s="57"/>
      <c r="D1591" s="84"/>
      <c r="E1591" s="88"/>
      <c r="F1591" s="113">
        <f>SUM(F1592:F1593)</f>
        <v>218.7216</v>
      </c>
    </row>
    <row r="1592" ht="15" customHeight="1" spans="1:6">
      <c r="A1592" s="57"/>
      <c r="B1592" s="57" t="s">
        <v>1290</v>
      </c>
      <c r="C1592" s="57" t="s">
        <v>184</v>
      </c>
      <c r="D1592" s="84">
        <f t="shared" si="186"/>
        <v>6.225</v>
      </c>
      <c r="E1592" s="88">
        <f>(E1572*7.2+E1573*0)</f>
        <v>35.136</v>
      </c>
      <c r="F1592" s="113">
        <f>D1592*E1592</f>
        <v>218.7216</v>
      </c>
    </row>
    <row r="1593" ht="15" customHeight="1" spans="1:6">
      <c r="A1593" s="57"/>
      <c r="B1593" s="57" t="s">
        <v>1174</v>
      </c>
      <c r="C1593" s="57" t="s">
        <v>184</v>
      </c>
      <c r="D1593" s="84">
        <f t="shared" si="186"/>
        <v>4.86</v>
      </c>
      <c r="E1593" s="88"/>
      <c r="F1593" s="113">
        <f>D1593*E1593</f>
        <v>0</v>
      </c>
    </row>
    <row r="1594" ht="15" customHeight="1" spans="1:6">
      <c r="A1594" s="57" t="s">
        <v>327</v>
      </c>
      <c r="B1594" s="57" t="s">
        <v>976</v>
      </c>
      <c r="C1594" s="195">
        <f>C1548</f>
        <v>0.09</v>
      </c>
      <c r="D1594" s="84"/>
      <c r="E1594" s="84">
        <f>F1585+F1584+F1583+F1556</f>
        <v>67206.4267165678</v>
      </c>
      <c r="F1594" s="84">
        <f>E1594*C1594</f>
        <v>6048.5784044911</v>
      </c>
    </row>
    <row r="1595" ht="15" customHeight="1" spans="1:6">
      <c r="A1595" s="57"/>
      <c r="B1595" s="57" t="s">
        <v>984</v>
      </c>
      <c r="C1595" s="195"/>
      <c r="D1595" s="84"/>
      <c r="E1595" s="84"/>
      <c r="F1595" s="84">
        <f>(F1556+F1583+F1584+F1585+F1594)*取费表!H4</f>
        <v>2197.65015363177</v>
      </c>
    </row>
    <row r="1596" ht="15" customHeight="1" spans="1:6">
      <c r="A1596" s="57"/>
      <c r="B1596" s="57" t="s">
        <v>278</v>
      </c>
      <c r="C1596" s="57"/>
      <c r="D1596" s="84"/>
      <c r="E1596" s="84"/>
      <c r="F1596" s="84">
        <f>F1594+E1594+F1595</f>
        <v>75452.6552746907</v>
      </c>
    </row>
    <row r="1597" ht="15" customHeight="1" spans="1:6">
      <c r="A1597" s="176" t="s">
        <v>1204</v>
      </c>
      <c r="B1597" s="175"/>
      <c r="C1597" s="175"/>
      <c r="D1597" s="175"/>
      <c r="E1597" s="175"/>
      <c r="F1597" s="175"/>
    </row>
    <row r="1598" ht="15" customHeight="1" spans="1:6">
      <c r="A1598" s="242" t="s">
        <v>1338</v>
      </c>
      <c r="C1598" s="243"/>
      <c r="D1598" s="243"/>
      <c r="E1598" s="243"/>
      <c r="F1598" s="243"/>
    </row>
    <row r="1599" ht="15" customHeight="1" spans="1:6">
      <c r="A1599" s="190" t="s">
        <v>1333</v>
      </c>
      <c r="B1599" s="191"/>
      <c r="C1599" s="243"/>
      <c r="D1599" s="243"/>
      <c r="E1599" s="191" t="s">
        <v>1159</v>
      </c>
      <c r="F1599" s="191"/>
    </row>
    <row r="1600" ht="15" customHeight="1" spans="1:6">
      <c r="A1600" s="117" t="s">
        <v>1218</v>
      </c>
      <c r="B1600" s="192"/>
      <c r="C1600" s="192"/>
      <c r="D1600" s="192"/>
      <c r="E1600" s="192"/>
      <c r="F1600" s="118"/>
    </row>
    <row r="1601" ht="15" customHeight="1" spans="1:6">
      <c r="A1601" s="57" t="s">
        <v>354</v>
      </c>
      <c r="B1601" s="57" t="s">
        <v>956</v>
      </c>
      <c r="C1601" s="57" t="s">
        <v>52</v>
      </c>
      <c r="D1601" s="57" t="s">
        <v>855</v>
      </c>
      <c r="E1601" s="57" t="s">
        <v>53</v>
      </c>
      <c r="F1601" s="57" t="s">
        <v>306</v>
      </c>
    </row>
    <row r="1602" ht="15" customHeight="1" spans="1:6">
      <c r="A1602" s="57" t="s">
        <v>959</v>
      </c>
      <c r="B1602" s="57" t="s">
        <v>960</v>
      </c>
      <c r="C1602" s="57"/>
      <c r="D1602" s="57"/>
      <c r="E1602" s="57"/>
      <c r="F1602" s="84">
        <f>F1603+F1627+F1628</f>
        <v>49312.3968826515</v>
      </c>
    </row>
    <row r="1603" ht="15" customHeight="1" spans="1:6">
      <c r="A1603" s="57" t="s">
        <v>59</v>
      </c>
      <c r="B1603" s="57" t="s">
        <v>957</v>
      </c>
      <c r="C1603" s="57"/>
      <c r="D1603" s="57"/>
      <c r="E1603" s="57"/>
      <c r="F1603" s="84">
        <f>F1604+F1607+F1617+F1624</f>
        <v>47053.813819324</v>
      </c>
    </row>
    <row r="1604" ht="15" customHeight="1" spans="1:6">
      <c r="A1604" s="57">
        <v>1</v>
      </c>
      <c r="B1604" s="57" t="s">
        <v>964</v>
      </c>
      <c r="C1604" s="57" t="s">
        <v>965</v>
      </c>
      <c r="D1604" s="84"/>
      <c r="E1604" s="92">
        <f>SUM(E1605:E1606)</f>
        <v>1584.7</v>
      </c>
      <c r="F1604" s="113">
        <f>SUM(F1605:F1606)</f>
        <v>11728.388</v>
      </c>
    </row>
    <row r="1605" s="307" customFormat="1" ht="15" customHeight="1" spans="1:6">
      <c r="A1605" s="57"/>
      <c r="B1605" s="57" t="s">
        <v>966</v>
      </c>
      <c r="C1605" s="57" t="s">
        <v>965</v>
      </c>
      <c r="D1605" s="113">
        <f>材料预算价!K20</f>
        <v>8.1</v>
      </c>
      <c r="E1605" s="92">
        <v>1109.3</v>
      </c>
      <c r="F1605" s="113">
        <f>D1605*E1605</f>
        <v>8985.33</v>
      </c>
    </row>
    <row r="1606" s="307" customFormat="1" ht="15" customHeight="1" spans="1:6">
      <c r="A1606" s="57"/>
      <c r="B1606" s="57" t="s">
        <v>968</v>
      </c>
      <c r="C1606" s="57" t="s">
        <v>965</v>
      </c>
      <c r="D1606" s="113">
        <f>材料预算价!K19</f>
        <v>5.77</v>
      </c>
      <c r="E1606" s="92">
        <v>475.4</v>
      </c>
      <c r="F1606" s="113">
        <f>D1606*E1606</f>
        <v>2743.058</v>
      </c>
    </row>
    <row r="1607" ht="15" customHeight="1" spans="1:6">
      <c r="A1607" s="57">
        <v>2</v>
      </c>
      <c r="B1607" s="57" t="s">
        <v>1219</v>
      </c>
      <c r="C1607" s="57"/>
      <c r="D1607" s="84"/>
      <c r="E1607" s="84"/>
      <c r="F1607" s="84">
        <f>SUM(F1608:F1616)</f>
        <v>32175.6215649</v>
      </c>
    </row>
    <row r="1608" ht="15" customHeight="1" spans="1:6">
      <c r="A1608" s="57"/>
      <c r="B1608" s="244" t="s">
        <v>1272</v>
      </c>
      <c r="C1608" s="244" t="s">
        <v>1188</v>
      </c>
      <c r="D1608" s="84">
        <f t="shared" ref="D1608:D1613" si="187">D1562</f>
        <v>2232.665025</v>
      </c>
      <c r="E1608" s="84">
        <v>2.8</v>
      </c>
      <c r="F1608" s="84">
        <f t="shared" ref="F1608:F1615" si="188">D1608*E1608</f>
        <v>6251.46207</v>
      </c>
    </row>
    <row r="1609" ht="15" customHeight="1" spans="1:6">
      <c r="A1609" s="57"/>
      <c r="B1609" s="244" t="s">
        <v>1334</v>
      </c>
      <c r="C1609" s="244" t="s">
        <v>184</v>
      </c>
      <c r="D1609" s="84">
        <f t="shared" si="187"/>
        <v>4.44</v>
      </c>
      <c r="E1609" s="84">
        <v>116.3</v>
      </c>
      <c r="F1609" s="84">
        <f t="shared" si="188"/>
        <v>516.372</v>
      </c>
    </row>
    <row r="1610" ht="15" customHeight="1" spans="1:6">
      <c r="A1610" s="57"/>
      <c r="B1610" s="244" t="s">
        <v>1274</v>
      </c>
      <c r="C1610" s="244" t="s">
        <v>184</v>
      </c>
      <c r="D1610" s="84">
        <f t="shared" si="187"/>
        <v>4.5</v>
      </c>
      <c r="E1610" s="84">
        <v>277.8</v>
      </c>
      <c r="F1610" s="84">
        <f t="shared" si="188"/>
        <v>1250.1</v>
      </c>
    </row>
    <row r="1611" ht="15" customHeight="1" spans="1:6">
      <c r="A1611" s="57"/>
      <c r="B1611" s="244" t="s">
        <v>1275</v>
      </c>
      <c r="C1611" s="244" t="s">
        <v>184</v>
      </c>
      <c r="D1611" s="84">
        <f t="shared" si="187"/>
        <v>5.15</v>
      </c>
      <c r="E1611" s="84">
        <v>373</v>
      </c>
      <c r="F1611" s="84">
        <f t="shared" si="188"/>
        <v>1920.95</v>
      </c>
    </row>
    <row r="1612" ht="15" customHeight="1" spans="1:6">
      <c r="A1612" s="57"/>
      <c r="B1612" s="244" t="s">
        <v>1277</v>
      </c>
      <c r="C1612" s="244" t="s">
        <v>184</v>
      </c>
      <c r="D1612" s="84">
        <f t="shared" si="187"/>
        <v>6.39</v>
      </c>
      <c r="E1612" s="84">
        <v>509.2</v>
      </c>
      <c r="F1612" s="84">
        <f t="shared" si="188"/>
        <v>3253.788</v>
      </c>
    </row>
    <row r="1613" ht="15" customHeight="1" spans="1:6">
      <c r="A1613" s="57"/>
      <c r="B1613" s="244" t="s">
        <v>1278</v>
      </c>
      <c r="C1613" s="244" t="s">
        <v>184</v>
      </c>
      <c r="D1613" s="84">
        <f t="shared" si="187"/>
        <v>5.97</v>
      </c>
      <c r="E1613" s="84">
        <v>0.92</v>
      </c>
      <c r="F1613" s="84">
        <f t="shared" si="188"/>
        <v>5.4924</v>
      </c>
    </row>
    <row r="1614" ht="15" customHeight="1" spans="1:6">
      <c r="A1614" s="57"/>
      <c r="B1614" s="57" t="s">
        <v>1279</v>
      </c>
      <c r="C1614" s="57" t="s">
        <v>1188</v>
      </c>
      <c r="D1614" s="84">
        <f>配合比!M8</f>
        <v>176.4913185</v>
      </c>
      <c r="E1614" s="84">
        <v>103</v>
      </c>
      <c r="F1614" s="84">
        <f t="shared" si="188"/>
        <v>18178.6058055</v>
      </c>
    </row>
    <row r="1615" ht="15" customHeight="1" spans="1:6">
      <c r="A1615" s="57"/>
      <c r="B1615" s="57" t="s">
        <v>1022</v>
      </c>
      <c r="C1615" s="57" t="s">
        <v>1188</v>
      </c>
      <c r="D1615" s="84">
        <f>材料预算价!K14</f>
        <v>4.37</v>
      </c>
      <c r="E1615" s="84">
        <v>120</v>
      </c>
      <c r="F1615" s="84">
        <f t="shared" si="188"/>
        <v>524.4</v>
      </c>
    </row>
    <row r="1616" ht="15" customHeight="1" spans="1:6">
      <c r="A1616" s="57"/>
      <c r="B1616" s="57" t="s">
        <v>1163</v>
      </c>
      <c r="C1616" s="59" t="s">
        <v>423</v>
      </c>
      <c r="D1616" s="84">
        <f>F1608+F1609+F1610+F1611+F1612+F1613+F1615</f>
        <v>13722.56447</v>
      </c>
      <c r="E1616" s="84">
        <v>2</v>
      </c>
      <c r="F1616" s="84">
        <f>D1616*E1616/100</f>
        <v>274.4512894</v>
      </c>
    </row>
    <row r="1617" ht="15" customHeight="1" spans="1:6">
      <c r="A1617" s="57">
        <v>3</v>
      </c>
      <c r="B1617" s="57" t="s">
        <v>1171</v>
      </c>
      <c r="C1617" s="57"/>
      <c r="D1617" s="84"/>
      <c r="E1617" s="84"/>
      <c r="F1617" s="84">
        <f>SUM(F1618:F1623)</f>
        <v>1163.39283375126</v>
      </c>
    </row>
    <row r="1618" ht="15" customHeight="1" spans="1:6">
      <c r="A1618" s="57"/>
      <c r="B1618" s="57" t="s">
        <v>1280</v>
      </c>
      <c r="C1618" s="57" t="s">
        <v>988</v>
      </c>
      <c r="D1618" s="84">
        <f t="shared" ref="D1618:D1622" si="189">D1572</f>
        <v>49.389824491424</v>
      </c>
      <c r="E1618" s="84">
        <v>4.88</v>
      </c>
      <c r="F1618" s="84">
        <f t="shared" ref="F1618:F1622" si="190">D1618*E1618</f>
        <v>241.022343518149</v>
      </c>
    </row>
    <row r="1619" ht="15" customHeight="1" spans="1:6">
      <c r="A1619" s="57"/>
      <c r="B1619" s="57" t="s">
        <v>1283</v>
      </c>
      <c r="C1619" s="57" t="s">
        <v>988</v>
      </c>
      <c r="D1619" s="84">
        <f t="shared" si="189"/>
        <v>23.7459521340247</v>
      </c>
      <c r="E1619" s="84">
        <v>16.83</v>
      </c>
      <c r="F1619" s="84">
        <f t="shared" si="190"/>
        <v>399.644374415636</v>
      </c>
    </row>
    <row r="1620" ht="15" customHeight="1" spans="1:6">
      <c r="A1620" s="57"/>
      <c r="B1620" s="57" t="s">
        <v>1336</v>
      </c>
      <c r="C1620" s="57" t="s">
        <v>988</v>
      </c>
      <c r="D1620" s="84">
        <f t="shared" si="189"/>
        <v>2.37852772237734</v>
      </c>
      <c r="E1620" s="84">
        <v>18.54</v>
      </c>
      <c r="F1620" s="84">
        <f t="shared" si="190"/>
        <v>44.0979039728759</v>
      </c>
    </row>
    <row r="1621" ht="15" customHeight="1" spans="1:6">
      <c r="A1621" s="57"/>
      <c r="B1621" s="244" t="s">
        <v>1337</v>
      </c>
      <c r="C1621" s="57" t="s">
        <v>988</v>
      </c>
      <c r="D1621" s="84">
        <f t="shared" si="189"/>
        <v>8.0471858795373</v>
      </c>
      <c r="E1621" s="204">
        <v>35.6</v>
      </c>
      <c r="F1621" s="84">
        <f t="shared" si="190"/>
        <v>286.479817311528</v>
      </c>
    </row>
    <row r="1622" ht="15" customHeight="1" spans="1:6">
      <c r="A1622" s="57"/>
      <c r="B1622" s="57" t="s">
        <v>1190</v>
      </c>
      <c r="C1622" s="57" t="s">
        <v>988</v>
      </c>
      <c r="D1622" s="84">
        <f t="shared" si="189"/>
        <v>0.813242919824491</v>
      </c>
      <c r="E1622" s="204">
        <v>83</v>
      </c>
      <c r="F1622" s="84">
        <f t="shared" si="190"/>
        <v>67.4991623454328</v>
      </c>
    </row>
    <row r="1623" ht="15" customHeight="1" spans="1:6">
      <c r="A1623" s="57"/>
      <c r="B1623" s="57" t="s">
        <v>1223</v>
      </c>
      <c r="C1623" s="59" t="s">
        <v>423</v>
      </c>
      <c r="D1623" s="84">
        <f>SUM(F1618:F1622)</f>
        <v>1038.74360156362</v>
      </c>
      <c r="E1623" s="84">
        <v>12</v>
      </c>
      <c r="F1623" s="84">
        <f>D1623*E1623/100</f>
        <v>124.649232187635</v>
      </c>
    </row>
    <row r="1624" s="309" customFormat="1" ht="15" customHeight="1" spans="1:6">
      <c r="A1624" s="55">
        <v>4</v>
      </c>
      <c r="B1624" s="55" t="s">
        <v>1285</v>
      </c>
      <c r="C1624" s="253"/>
      <c r="D1624" s="254"/>
      <c r="E1624" s="254"/>
      <c r="F1624" s="254">
        <f>SUM(F1625:F1626)</f>
        <v>1986.41142067271</v>
      </c>
    </row>
    <row r="1625" s="307" customFormat="1" ht="15" customHeight="1" spans="1:6">
      <c r="A1625" s="57"/>
      <c r="B1625" s="245" t="s">
        <v>1286</v>
      </c>
      <c r="C1625" s="245" t="s">
        <v>1188</v>
      </c>
      <c r="D1625" s="246">
        <f>$F$2253/100</f>
        <v>5.03319379720782</v>
      </c>
      <c r="E1625" s="246">
        <v>103</v>
      </c>
      <c r="F1625" s="84">
        <f>D1625*E1625</f>
        <v>518.418961112405</v>
      </c>
    </row>
    <row r="1626" s="307" customFormat="1" ht="15" customHeight="1" spans="1:6">
      <c r="A1626" s="57"/>
      <c r="B1626" s="245" t="s">
        <v>1287</v>
      </c>
      <c r="C1626" s="245" t="s">
        <v>1188</v>
      </c>
      <c r="D1626" s="246">
        <f>$F$2271/100</f>
        <v>14.2523539763136</v>
      </c>
      <c r="E1626" s="246">
        <v>103</v>
      </c>
      <c r="F1626" s="84">
        <f>D1626*E1626</f>
        <v>1467.99245956031</v>
      </c>
    </row>
    <row r="1627" s="307" customFormat="1" ht="15" customHeight="1" spans="1:6">
      <c r="A1627" s="57" t="s">
        <v>70</v>
      </c>
      <c r="B1627" s="57" t="s">
        <v>977</v>
      </c>
      <c r="C1627" s="194">
        <f>取费表!$C$7</f>
        <v>0.048</v>
      </c>
      <c r="D1627" s="246"/>
      <c r="E1627" s="246">
        <f>F1603</f>
        <v>47053.813819324</v>
      </c>
      <c r="F1627" s="84">
        <f t="shared" ref="F1627:F1630" si="191">E1627*C1627</f>
        <v>2258.58306332755</v>
      </c>
    </row>
    <row r="1628" s="307" customFormat="1" ht="15" customHeight="1" spans="1:6">
      <c r="A1628" s="57"/>
      <c r="B1628" s="57"/>
      <c r="C1628" s="194"/>
      <c r="D1628" s="246"/>
      <c r="E1628" s="246"/>
      <c r="F1628" s="84"/>
    </row>
    <row r="1629" s="307" customFormat="1" ht="15" customHeight="1" spans="1:6">
      <c r="A1629" s="57" t="s">
        <v>979</v>
      </c>
      <c r="B1629" s="57" t="s">
        <v>973</v>
      </c>
      <c r="C1629" s="194">
        <f>取费表!$E$7</f>
        <v>0.07</v>
      </c>
      <c r="D1629" s="246"/>
      <c r="E1629" s="246">
        <f>F1602</f>
        <v>49312.3968826515</v>
      </c>
      <c r="F1629" s="84">
        <f t="shared" si="191"/>
        <v>3451.86778178561</v>
      </c>
    </row>
    <row r="1630" s="307" customFormat="1" ht="15" customHeight="1" spans="1:6">
      <c r="A1630" s="57" t="s">
        <v>162</v>
      </c>
      <c r="B1630" s="57" t="s">
        <v>980</v>
      </c>
      <c r="C1630" s="194">
        <f>取费表!$F$7</f>
        <v>0.07</v>
      </c>
      <c r="D1630" s="246"/>
      <c r="E1630" s="246">
        <f>F1629+F1602</f>
        <v>52764.2646644371</v>
      </c>
      <c r="F1630" s="84">
        <f t="shared" si="191"/>
        <v>3693.4985265106</v>
      </c>
    </row>
    <row r="1631" s="310" customFormat="1" ht="15" customHeight="1" spans="1:6">
      <c r="A1631" s="55" t="s">
        <v>214</v>
      </c>
      <c r="B1631" s="55" t="s">
        <v>1173</v>
      </c>
      <c r="C1631" s="253"/>
      <c r="D1631" s="254"/>
      <c r="E1631" s="55"/>
      <c r="F1631" s="255">
        <f>F1632+F1637</f>
        <v>9499.13392793235</v>
      </c>
    </row>
    <row r="1632" ht="15" customHeight="1" spans="1:6">
      <c r="A1632" s="57">
        <v>1</v>
      </c>
      <c r="B1632" s="57" t="s">
        <v>1288</v>
      </c>
      <c r="C1632" s="59"/>
      <c r="D1632" s="84"/>
      <c r="E1632" s="57"/>
      <c r="F1632" s="113">
        <f>SUM(F1633:F1636)</f>
        <v>9280.41232793235</v>
      </c>
    </row>
    <row r="1633" ht="15" customHeight="1" spans="1:6">
      <c r="A1633" s="57"/>
      <c r="B1633" s="57"/>
      <c r="C1633" s="57"/>
      <c r="D1633" s="84"/>
      <c r="E1633" s="84"/>
      <c r="F1633" s="113"/>
    </row>
    <row r="1634" ht="15" customHeight="1" spans="1:6">
      <c r="A1634" s="57"/>
      <c r="B1634" s="57" t="s">
        <v>1141</v>
      </c>
      <c r="C1634" s="57" t="s">
        <v>69</v>
      </c>
      <c r="D1634" s="84">
        <f>材料预算价!K5-材料预算价!L5</f>
        <v>156.64017</v>
      </c>
      <c r="E1634" s="84">
        <f>E1614*配合比!E8</f>
        <v>31.641291</v>
      </c>
      <c r="F1634" s="113">
        <f t="shared" ref="F1634:F1636" si="192">D1634*E1634</f>
        <v>4956.29720125947</v>
      </c>
    </row>
    <row r="1635" ht="15" customHeight="1" spans="1:6">
      <c r="A1635" s="57"/>
      <c r="B1635" s="57" t="s">
        <v>1142</v>
      </c>
      <c r="C1635" s="57" t="s">
        <v>1188</v>
      </c>
      <c r="D1635" s="84">
        <f t="shared" ref="D1635:D1639" si="193">D1589</f>
        <v>44.826214</v>
      </c>
      <c r="E1635" s="84">
        <f>E1614*配合比!G8</f>
        <v>56.62734</v>
      </c>
      <c r="F1635" s="113">
        <f t="shared" si="192"/>
        <v>2538.38926109076</v>
      </c>
    </row>
    <row r="1636" ht="15" customHeight="1" spans="1:6">
      <c r="A1636" s="57"/>
      <c r="B1636" s="57" t="s">
        <v>1110</v>
      </c>
      <c r="C1636" s="57" t="s">
        <v>1188</v>
      </c>
      <c r="D1636" s="84">
        <f>材料预算价!K8-材料预算价!L8</f>
        <v>20.60443</v>
      </c>
      <c r="E1636" s="84">
        <f>E1614*配合比!I8</f>
        <v>86.667084</v>
      </c>
      <c r="F1636" s="113">
        <f t="shared" si="192"/>
        <v>1785.72586558212</v>
      </c>
    </row>
    <row r="1637" ht="15" customHeight="1" spans="1:6">
      <c r="A1637" s="57">
        <v>2</v>
      </c>
      <c r="B1637" s="57" t="s">
        <v>1289</v>
      </c>
      <c r="C1637" s="57"/>
      <c r="D1637" s="84"/>
      <c r="E1637" s="88"/>
      <c r="F1637" s="113">
        <f>SUM(F1638:F1639)</f>
        <v>218.7216</v>
      </c>
    </row>
    <row r="1638" ht="15" customHeight="1" spans="1:6">
      <c r="A1638" s="57"/>
      <c r="B1638" s="57" t="s">
        <v>1290</v>
      </c>
      <c r="C1638" s="57" t="s">
        <v>184</v>
      </c>
      <c r="D1638" s="84">
        <f t="shared" si="193"/>
        <v>6.225</v>
      </c>
      <c r="E1638" s="88">
        <f>(E1618*7.2+E1619*0)</f>
        <v>35.136</v>
      </c>
      <c r="F1638" s="113">
        <f>D1638*E1638</f>
        <v>218.7216</v>
      </c>
    </row>
    <row r="1639" ht="15" customHeight="1" spans="1:6">
      <c r="A1639" s="57"/>
      <c r="B1639" s="57" t="s">
        <v>1174</v>
      </c>
      <c r="C1639" s="57" t="s">
        <v>184</v>
      </c>
      <c r="D1639" s="84">
        <f t="shared" si="193"/>
        <v>4.86</v>
      </c>
      <c r="E1639" s="88"/>
      <c r="F1639" s="113">
        <f>D1639*E1639</f>
        <v>0</v>
      </c>
    </row>
    <row r="1640" ht="15" customHeight="1" spans="1:6">
      <c r="A1640" s="57" t="s">
        <v>327</v>
      </c>
      <c r="B1640" s="57" t="s">
        <v>976</v>
      </c>
      <c r="C1640" s="195">
        <f>C1594</f>
        <v>0.09</v>
      </c>
      <c r="D1640" s="84"/>
      <c r="E1640" s="84">
        <f>F1631+F1630+F1629+F1602</f>
        <v>65956.8971188801</v>
      </c>
      <c r="F1640" s="84">
        <f>E1640*C1640</f>
        <v>5936.12074069921</v>
      </c>
    </row>
    <row r="1641" ht="15" customHeight="1" spans="1:6">
      <c r="A1641" s="57"/>
      <c r="B1641" s="57" t="s">
        <v>984</v>
      </c>
      <c r="C1641" s="195"/>
      <c r="D1641" s="84"/>
      <c r="E1641" s="84"/>
      <c r="F1641" s="84">
        <f>(F1602+F1629+F1630+F1631+F1640)*取费表!H4</f>
        <v>2156.79053578738</v>
      </c>
    </row>
    <row r="1642" ht="15" customHeight="1" spans="1:6">
      <c r="A1642" s="57"/>
      <c r="B1642" s="57" t="s">
        <v>278</v>
      </c>
      <c r="C1642" s="57"/>
      <c r="D1642" s="84"/>
      <c r="E1642" s="84"/>
      <c r="F1642" s="84">
        <f>F1640+E1640+F1641</f>
        <v>74049.8083953667</v>
      </c>
    </row>
    <row r="1643" ht="15" customHeight="1" spans="1:6">
      <c r="A1643" s="176" t="s">
        <v>1204</v>
      </c>
      <c r="B1643" s="175"/>
      <c r="C1643" s="175"/>
      <c r="D1643" s="175"/>
      <c r="E1643" s="175"/>
      <c r="F1643" s="175"/>
    </row>
    <row r="1644" ht="15" customHeight="1" spans="1:6">
      <c r="A1644" s="242" t="s">
        <v>1339</v>
      </c>
      <c r="C1644" s="243"/>
      <c r="D1644" s="243"/>
      <c r="E1644" s="243"/>
      <c r="F1644" s="243"/>
    </row>
    <row r="1645" ht="15" customHeight="1" spans="1:6">
      <c r="A1645" s="190" t="s">
        <v>1333</v>
      </c>
      <c r="B1645" s="191"/>
      <c r="C1645" s="243"/>
      <c r="D1645" s="243"/>
      <c r="E1645" s="191" t="s">
        <v>1159</v>
      </c>
      <c r="F1645" s="191"/>
    </row>
    <row r="1646" ht="15" customHeight="1" spans="1:6">
      <c r="A1646" s="117" t="s">
        <v>1218</v>
      </c>
      <c r="B1646" s="192"/>
      <c r="C1646" s="192"/>
      <c r="D1646" s="192"/>
      <c r="E1646" s="192"/>
      <c r="F1646" s="118"/>
    </row>
    <row r="1647" ht="15" customHeight="1" spans="1:6">
      <c r="A1647" s="57" t="s">
        <v>354</v>
      </c>
      <c r="B1647" s="57" t="s">
        <v>956</v>
      </c>
      <c r="C1647" s="57" t="s">
        <v>52</v>
      </c>
      <c r="D1647" s="57" t="s">
        <v>855</v>
      </c>
      <c r="E1647" s="57" t="s">
        <v>53</v>
      </c>
      <c r="F1647" s="57" t="s">
        <v>306</v>
      </c>
    </row>
    <row r="1648" ht="15" customHeight="1" spans="1:6">
      <c r="A1648" s="57" t="s">
        <v>959</v>
      </c>
      <c r="B1648" s="57" t="s">
        <v>960</v>
      </c>
      <c r="C1648" s="57"/>
      <c r="D1648" s="57"/>
      <c r="E1648" s="57"/>
      <c r="F1648" s="84">
        <f>F1649+F1673+F1674</f>
        <v>50874.3815534763</v>
      </c>
    </row>
    <row r="1649" ht="15" customHeight="1" spans="1:6">
      <c r="A1649" s="57" t="s">
        <v>59</v>
      </c>
      <c r="B1649" s="57" t="s">
        <v>957</v>
      </c>
      <c r="C1649" s="57"/>
      <c r="D1649" s="57"/>
      <c r="E1649" s="57"/>
      <c r="F1649" s="84">
        <f>F1650+F1653+F1663+F1670</f>
        <v>48544.2572075155</v>
      </c>
    </row>
    <row r="1650" ht="15" customHeight="1" spans="1:6">
      <c r="A1650" s="57">
        <v>1</v>
      </c>
      <c r="B1650" s="57" t="s">
        <v>964</v>
      </c>
      <c r="C1650" s="57" t="s">
        <v>965</v>
      </c>
      <c r="D1650" s="84"/>
      <c r="E1650" s="92">
        <f>SUM(E1651:E1652)</f>
        <v>1584.7</v>
      </c>
      <c r="F1650" s="113">
        <f>SUM(F1651:F1652)</f>
        <v>11728.388</v>
      </c>
    </row>
    <row r="1651" s="307" customFormat="1" ht="15" customHeight="1" spans="1:6">
      <c r="A1651" s="57"/>
      <c r="B1651" s="57" t="s">
        <v>966</v>
      </c>
      <c r="C1651" s="57" t="s">
        <v>965</v>
      </c>
      <c r="D1651" s="113">
        <f>D1605</f>
        <v>8.1</v>
      </c>
      <c r="E1651" s="92">
        <v>1109.3</v>
      </c>
      <c r="F1651" s="113">
        <f>D1651*E1651</f>
        <v>8985.33</v>
      </c>
    </row>
    <row r="1652" s="307" customFormat="1" ht="15" customHeight="1" spans="1:6">
      <c r="A1652" s="57"/>
      <c r="B1652" s="57" t="s">
        <v>968</v>
      </c>
      <c r="C1652" s="57" t="s">
        <v>965</v>
      </c>
      <c r="D1652" s="113">
        <f>D1606</f>
        <v>5.77</v>
      </c>
      <c r="E1652" s="92">
        <v>475.4</v>
      </c>
      <c r="F1652" s="113">
        <f>D1652*E1652</f>
        <v>2743.058</v>
      </c>
    </row>
    <row r="1653" ht="15" customHeight="1" spans="1:6">
      <c r="A1653" s="57">
        <v>2</v>
      </c>
      <c r="B1653" s="57" t="s">
        <v>1219</v>
      </c>
      <c r="C1653" s="57"/>
      <c r="D1653" s="84"/>
      <c r="E1653" s="84"/>
      <c r="F1653" s="84">
        <f>SUM(F1654:F1662)</f>
        <v>33767.15754891</v>
      </c>
    </row>
    <row r="1654" ht="15" customHeight="1" spans="1:6">
      <c r="A1654" s="57"/>
      <c r="B1654" s="244" t="s">
        <v>1272</v>
      </c>
      <c r="C1654" s="244" t="s">
        <v>1188</v>
      </c>
      <c r="D1654" s="84">
        <f t="shared" ref="D1654:D1659" si="194">D1608</f>
        <v>2232.665025</v>
      </c>
      <c r="E1654" s="84">
        <v>2.8</v>
      </c>
      <c r="F1654" s="84">
        <f t="shared" ref="F1654:F1661" si="195">D1654*E1654</f>
        <v>6251.46207</v>
      </c>
    </row>
    <row r="1655" ht="15" customHeight="1" spans="1:6">
      <c r="A1655" s="57"/>
      <c r="B1655" s="244" t="s">
        <v>1334</v>
      </c>
      <c r="C1655" s="244" t="s">
        <v>184</v>
      </c>
      <c r="D1655" s="84">
        <f t="shared" si="194"/>
        <v>4.44</v>
      </c>
      <c r="E1655" s="84">
        <v>116.3</v>
      </c>
      <c r="F1655" s="84">
        <f t="shared" si="195"/>
        <v>516.372</v>
      </c>
    </row>
    <row r="1656" ht="15" customHeight="1" spans="1:6">
      <c r="A1656" s="57"/>
      <c r="B1656" s="244" t="s">
        <v>1274</v>
      </c>
      <c r="C1656" s="244" t="s">
        <v>184</v>
      </c>
      <c r="D1656" s="84">
        <f t="shared" si="194"/>
        <v>4.5</v>
      </c>
      <c r="E1656" s="84">
        <v>277.8</v>
      </c>
      <c r="F1656" s="84">
        <f t="shared" si="195"/>
        <v>1250.1</v>
      </c>
    </row>
    <row r="1657" ht="15" customHeight="1" spans="1:6">
      <c r="A1657" s="57"/>
      <c r="B1657" s="244" t="s">
        <v>1275</v>
      </c>
      <c r="C1657" s="244" t="s">
        <v>184</v>
      </c>
      <c r="D1657" s="84">
        <f t="shared" si="194"/>
        <v>5.15</v>
      </c>
      <c r="E1657" s="84">
        <v>373</v>
      </c>
      <c r="F1657" s="84">
        <f t="shared" si="195"/>
        <v>1920.95</v>
      </c>
    </row>
    <row r="1658" ht="15" customHeight="1" spans="1:6">
      <c r="A1658" s="57"/>
      <c r="B1658" s="244" t="s">
        <v>1277</v>
      </c>
      <c r="C1658" s="244" t="s">
        <v>184</v>
      </c>
      <c r="D1658" s="84">
        <f t="shared" si="194"/>
        <v>6.39</v>
      </c>
      <c r="E1658" s="84">
        <v>509.2</v>
      </c>
      <c r="F1658" s="84">
        <f t="shared" si="195"/>
        <v>3253.788</v>
      </c>
    </row>
    <row r="1659" ht="15" customHeight="1" spans="1:6">
      <c r="A1659" s="57"/>
      <c r="B1659" s="244" t="s">
        <v>1278</v>
      </c>
      <c r="C1659" s="244" t="s">
        <v>184</v>
      </c>
      <c r="D1659" s="84">
        <f t="shared" si="194"/>
        <v>5.97</v>
      </c>
      <c r="E1659" s="84">
        <v>0.92</v>
      </c>
      <c r="F1659" s="84">
        <f t="shared" si="195"/>
        <v>5.4924</v>
      </c>
    </row>
    <row r="1660" ht="15" customHeight="1" spans="1:6">
      <c r="A1660" s="57"/>
      <c r="B1660" s="57" t="s">
        <v>1296</v>
      </c>
      <c r="C1660" s="57" t="s">
        <v>1188</v>
      </c>
      <c r="D1660" s="84">
        <f>配合比!M11</f>
        <v>188.1795335</v>
      </c>
      <c r="E1660" s="84">
        <v>103</v>
      </c>
      <c r="F1660" s="84">
        <f t="shared" si="195"/>
        <v>19382.4919505</v>
      </c>
    </row>
    <row r="1661" ht="15" customHeight="1" spans="1:6">
      <c r="A1661" s="57"/>
      <c r="B1661" s="57" t="s">
        <v>1022</v>
      </c>
      <c r="C1661" s="57" t="s">
        <v>1188</v>
      </c>
      <c r="D1661" s="84">
        <f>材料预算价!K14</f>
        <v>4.37</v>
      </c>
      <c r="E1661" s="84">
        <v>120</v>
      </c>
      <c r="F1661" s="84">
        <f t="shared" si="195"/>
        <v>524.4</v>
      </c>
    </row>
    <row r="1662" ht="15" customHeight="1" spans="1:6">
      <c r="A1662" s="57"/>
      <c r="B1662" s="57" t="s">
        <v>1163</v>
      </c>
      <c r="C1662" s="59" t="s">
        <v>423</v>
      </c>
      <c r="D1662" s="84">
        <f>SUM(F1654:F1661)</f>
        <v>33105.0564205</v>
      </c>
      <c r="E1662" s="84">
        <v>2</v>
      </c>
      <c r="F1662" s="84">
        <f>D1662*E1662/100</f>
        <v>662.10112841</v>
      </c>
    </row>
    <row r="1663" ht="15" customHeight="1" spans="1:6">
      <c r="A1663" s="57">
        <v>3</v>
      </c>
      <c r="B1663" s="57" t="s">
        <v>1171</v>
      </c>
      <c r="C1663" s="57"/>
      <c r="D1663" s="84"/>
      <c r="E1663" s="84"/>
      <c r="F1663" s="84">
        <f>SUM(F1664:F1669)</f>
        <v>1062.30023793283</v>
      </c>
    </row>
    <row r="1664" ht="15" customHeight="1" spans="1:6">
      <c r="A1664" s="57"/>
      <c r="B1664" s="57" t="s">
        <v>1337</v>
      </c>
      <c r="C1664" s="57" t="s">
        <v>988</v>
      </c>
      <c r="D1664" s="84">
        <f>D1621</f>
        <v>8.0471858795373</v>
      </c>
      <c r="E1664" s="84">
        <v>16.83</v>
      </c>
      <c r="F1664" s="84">
        <f t="shared" ref="F1664:F1668" si="196">D1664*E1664</f>
        <v>135.434138352613</v>
      </c>
    </row>
    <row r="1665" ht="15" customHeight="1" spans="1:6">
      <c r="A1665" s="57"/>
      <c r="B1665" s="57" t="s">
        <v>1280</v>
      </c>
      <c r="C1665" s="57" t="s">
        <v>988</v>
      </c>
      <c r="D1665" s="84">
        <f>D1618</f>
        <v>49.389824491424</v>
      </c>
      <c r="E1665" s="84">
        <v>4.88</v>
      </c>
      <c r="F1665" s="84">
        <f t="shared" si="196"/>
        <v>241.022343518149</v>
      </c>
    </row>
    <row r="1666" ht="15" customHeight="1" spans="1:6">
      <c r="A1666" s="57"/>
      <c r="B1666" s="57" t="s">
        <v>1340</v>
      </c>
      <c r="C1666" s="57" t="s">
        <v>988</v>
      </c>
      <c r="D1666" s="84">
        <f>D1619</f>
        <v>23.7459521340247</v>
      </c>
      <c r="E1666" s="204">
        <v>18.54</v>
      </c>
      <c r="F1666" s="84">
        <f t="shared" si="196"/>
        <v>440.249952564819</v>
      </c>
    </row>
    <row r="1667" ht="15" customHeight="1" spans="1:6">
      <c r="A1667" s="57"/>
      <c r="B1667" s="57" t="s">
        <v>1284</v>
      </c>
      <c r="C1667" s="57" t="s">
        <v>988</v>
      </c>
      <c r="D1667" s="84">
        <f>台时!F42</f>
        <v>1.80552692461109</v>
      </c>
      <c r="E1667" s="204">
        <v>35.6</v>
      </c>
      <c r="F1667" s="84">
        <f t="shared" si="196"/>
        <v>64.2767585161548</v>
      </c>
    </row>
    <row r="1668" ht="15" customHeight="1" spans="1:6">
      <c r="A1668" s="57"/>
      <c r="B1668" s="57" t="s">
        <v>1190</v>
      </c>
      <c r="C1668" s="57" t="s">
        <v>988</v>
      </c>
      <c r="D1668" s="84">
        <f>D1622</f>
        <v>0.813242919824491</v>
      </c>
      <c r="E1668" s="204">
        <v>83</v>
      </c>
      <c r="F1668" s="84">
        <f t="shared" si="196"/>
        <v>67.4991623454328</v>
      </c>
    </row>
    <row r="1669" ht="15" customHeight="1" spans="1:6">
      <c r="A1669" s="57"/>
      <c r="B1669" s="57" t="s">
        <v>1223</v>
      </c>
      <c r="C1669" s="59" t="s">
        <v>423</v>
      </c>
      <c r="D1669" s="84">
        <f>SUM(F1664:F1668)</f>
        <v>948.482355297168</v>
      </c>
      <c r="E1669" s="84">
        <v>12</v>
      </c>
      <c r="F1669" s="84">
        <f>D1669*E1669/100</f>
        <v>113.81788263566</v>
      </c>
    </row>
    <row r="1670" s="309" customFormat="1" ht="15" customHeight="1" spans="1:6">
      <c r="A1670" s="55">
        <v>4</v>
      </c>
      <c r="B1670" s="55" t="s">
        <v>1285</v>
      </c>
      <c r="C1670" s="253"/>
      <c r="D1670" s="254"/>
      <c r="E1670" s="254"/>
      <c r="F1670" s="254">
        <f>SUM(F1671:F1672)</f>
        <v>1986.41142067271</v>
      </c>
    </row>
    <row r="1671" s="307" customFormat="1" ht="15" customHeight="1" spans="1:6">
      <c r="A1671" s="57"/>
      <c r="B1671" s="245" t="s">
        <v>1286</v>
      </c>
      <c r="C1671" s="245" t="s">
        <v>1188</v>
      </c>
      <c r="D1671" s="246">
        <f>$F$2253/100</f>
        <v>5.03319379720782</v>
      </c>
      <c r="E1671" s="246">
        <v>103</v>
      </c>
      <c r="F1671" s="84">
        <f>D1671*E1671</f>
        <v>518.418961112405</v>
      </c>
    </row>
    <row r="1672" s="307" customFormat="1" ht="15" customHeight="1" spans="1:6">
      <c r="A1672" s="57"/>
      <c r="B1672" s="245" t="s">
        <v>1287</v>
      </c>
      <c r="C1672" s="245" t="s">
        <v>1188</v>
      </c>
      <c r="D1672" s="246">
        <f>$F$2271/100</f>
        <v>14.2523539763136</v>
      </c>
      <c r="E1672" s="246">
        <v>103</v>
      </c>
      <c r="F1672" s="84">
        <f>D1672*E1672</f>
        <v>1467.99245956031</v>
      </c>
    </row>
    <row r="1673" s="307" customFormat="1" ht="15" customHeight="1" spans="1:6">
      <c r="A1673" s="57" t="s">
        <v>70</v>
      </c>
      <c r="B1673" s="57" t="s">
        <v>977</v>
      </c>
      <c r="C1673" s="194">
        <f>取费表!$C$7</f>
        <v>0.048</v>
      </c>
      <c r="D1673" s="246"/>
      <c r="E1673" s="246">
        <f>F1649</f>
        <v>48544.2572075155</v>
      </c>
      <c r="F1673" s="84">
        <f t="shared" ref="F1673:F1676" si="197">E1673*C1673</f>
        <v>2330.12434596075</v>
      </c>
    </row>
    <row r="1674" s="307" customFormat="1" ht="15" customHeight="1" spans="1:6">
      <c r="A1674" s="57"/>
      <c r="B1674" s="57"/>
      <c r="C1674" s="194"/>
      <c r="D1674" s="246"/>
      <c r="E1674" s="246"/>
      <c r="F1674" s="84"/>
    </row>
    <row r="1675" s="307" customFormat="1" ht="15" customHeight="1" spans="1:6">
      <c r="A1675" s="57" t="s">
        <v>979</v>
      </c>
      <c r="B1675" s="57" t="s">
        <v>973</v>
      </c>
      <c r="C1675" s="194">
        <f>取费表!$E$7</f>
        <v>0.07</v>
      </c>
      <c r="D1675" s="246"/>
      <c r="E1675" s="246">
        <f>F1648</f>
        <v>50874.3815534763</v>
      </c>
      <c r="F1675" s="84">
        <f t="shared" si="197"/>
        <v>3561.20670874334</v>
      </c>
    </row>
    <row r="1676" s="307" customFormat="1" ht="15" customHeight="1" spans="1:6">
      <c r="A1676" s="57" t="s">
        <v>162</v>
      </c>
      <c r="B1676" s="57" t="s">
        <v>980</v>
      </c>
      <c r="C1676" s="194">
        <f>取费表!$F$7</f>
        <v>0.07</v>
      </c>
      <c r="D1676" s="246"/>
      <c r="E1676" s="246">
        <f>F1675+F1648</f>
        <v>54435.5882622196</v>
      </c>
      <c r="F1676" s="84">
        <f t="shared" si="197"/>
        <v>3810.49117835537</v>
      </c>
    </row>
    <row r="1677" s="310" customFormat="1" ht="15" customHeight="1" spans="1:6">
      <c r="A1677" s="55" t="s">
        <v>214</v>
      </c>
      <c r="B1677" s="55" t="s">
        <v>1173</v>
      </c>
      <c r="C1677" s="253"/>
      <c r="D1677" s="254"/>
      <c r="E1677" s="55"/>
      <c r="F1677" s="255">
        <f>F1678+F1683</f>
        <v>10838.1843021355</v>
      </c>
    </row>
    <row r="1678" ht="15" customHeight="1" spans="1:6">
      <c r="A1678" s="57">
        <v>1</v>
      </c>
      <c r="B1678" s="57" t="s">
        <v>1288</v>
      </c>
      <c r="C1678" s="59"/>
      <c r="D1678" s="84"/>
      <c r="E1678" s="57"/>
      <c r="F1678" s="113">
        <f>SUM(F1679:F1682)</f>
        <v>10011.8155521355</v>
      </c>
    </row>
    <row r="1679" ht="15" customHeight="1" spans="1:6">
      <c r="A1679" s="57"/>
      <c r="B1679" s="57"/>
      <c r="C1679" s="57"/>
      <c r="D1679" s="84"/>
      <c r="E1679" s="84"/>
      <c r="F1679" s="113"/>
    </row>
    <row r="1680" ht="15" customHeight="1" spans="1:6">
      <c r="A1680" s="57"/>
      <c r="B1680" s="57" t="s">
        <v>1141</v>
      </c>
      <c r="C1680" s="57" t="s">
        <v>69</v>
      </c>
      <c r="D1680" s="84">
        <f>材料预算价!K5-材料预算价!L5</f>
        <v>156.64017</v>
      </c>
      <c r="E1680" s="84">
        <f>E1660*配合比!E11</f>
        <v>37.58161</v>
      </c>
      <c r="F1680" s="113">
        <f t="shared" ref="F1680:F1682" si="198">D1680*E1680</f>
        <v>5886.7897792737</v>
      </c>
    </row>
    <row r="1681" ht="15" customHeight="1" spans="1:6">
      <c r="A1681" s="57"/>
      <c r="B1681" s="57" t="s">
        <v>1142</v>
      </c>
      <c r="C1681" s="57" t="s">
        <v>1188</v>
      </c>
      <c r="D1681" s="84">
        <f t="shared" ref="D1681:D1685" si="199">D1635</f>
        <v>44.826214</v>
      </c>
      <c r="E1681" s="84">
        <f>E1660*配合比!G11</f>
        <v>52.18598</v>
      </c>
      <c r="F1681" s="113">
        <f t="shared" si="198"/>
        <v>2339.29990727972</v>
      </c>
    </row>
    <row r="1682" ht="15" customHeight="1" spans="1:6">
      <c r="A1682" s="57"/>
      <c r="B1682" s="57" t="s">
        <v>1110</v>
      </c>
      <c r="C1682" s="57" t="s">
        <v>1188</v>
      </c>
      <c r="D1682" s="84">
        <f>材料预算价!K8-材料预算价!L8</f>
        <v>20.60443</v>
      </c>
      <c r="E1682" s="84">
        <f>E1660*配合比!I11</f>
        <v>86.667084</v>
      </c>
      <c r="F1682" s="113">
        <f t="shared" si="198"/>
        <v>1785.72586558212</v>
      </c>
    </row>
    <row r="1683" ht="15" customHeight="1" spans="1:6">
      <c r="A1683" s="57">
        <v>2</v>
      </c>
      <c r="B1683" s="57" t="s">
        <v>1289</v>
      </c>
      <c r="C1683" s="57"/>
      <c r="D1683" s="84"/>
      <c r="E1683" s="88"/>
      <c r="F1683" s="113">
        <f>SUM(F1684:F1685)</f>
        <v>826.36875</v>
      </c>
    </row>
    <row r="1684" ht="15" customHeight="1" spans="1:6">
      <c r="A1684" s="57"/>
      <c r="B1684" s="57" t="s">
        <v>1290</v>
      </c>
      <c r="C1684" s="57" t="s">
        <v>184</v>
      </c>
      <c r="D1684" s="84">
        <f t="shared" si="199"/>
        <v>6.225</v>
      </c>
      <c r="E1684" s="88">
        <f>E1664*台时!F76+E1665*台时!H34</f>
        <v>132.75</v>
      </c>
      <c r="F1684" s="113">
        <f>D1684*E1684</f>
        <v>826.36875</v>
      </c>
    </row>
    <row r="1685" ht="15" customHeight="1" spans="1:6">
      <c r="A1685" s="57"/>
      <c r="B1685" s="57" t="s">
        <v>1174</v>
      </c>
      <c r="C1685" s="57" t="s">
        <v>184</v>
      </c>
      <c r="D1685" s="84">
        <f t="shared" si="199"/>
        <v>4.86</v>
      </c>
      <c r="E1685" s="88"/>
      <c r="F1685" s="113">
        <f>D1685*E1685</f>
        <v>0</v>
      </c>
    </row>
    <row r="1686" ht="15" customHeight="1" spans="1:6">
      <c r="A1686" s="57" t="s">
        <v>327</v>
      </c>
      <c r="B1686" s="57" t="s">
        <v>976</v>
      </c>
      <c r="C1686" s="195">
        <f>C1640</f>
        <v>0.09</v>
      </c>
      <c r="D1686" s="84"/>
      <c r="E1686" s="84">
        <f>F1677+F1676+F1675+F1648</f>
        <v>69084.2637427105</v>
      </c>
      <c r="F1686" s="84">
        <f>E1686*C1686</f>
        <v>6217.58373684395</v>
      </c>
    </row>
    <row r="1687" ht="15" customHeight="1" spans="1:6">
      <c r="A1687" s="57"/>
      <c r="B1687" s="57" t="s">
        <v>984</v>
      </c>
      <c r="C1687" s="195"/>
      <c r="D1687" s="84"/>
      <c r="E1687" s="84"/>
      <c r="F1687" s="84">
        <f>(F1648+F1675+F1676+F1677+F1686)*取费表!H4</f>
        <v>2259.05542438663</v>
      </c>
    </row>
    <row r="1688" ht="15" customHeight="1" spans="1:6">
      <c r="A1688" s="57"/>
      <c r="B1688" s="57" t="s">
        <v>278</v>
      </c>
      <c r="C1688" s="57"/>
      <c r="D1688" s="84"/>
      <c r="E1688" s="84"/>
      <c r="F1688" s="84">
        <f>F1686+E1686+F1687</f>
        <v>77560.9029039411</v>
      </c>
    </row>
    <row r="1689" ht="15" customHeight="1" spans="1:6">
      <c r="A1689" s="176" t="s">
        <v>1204</v>
      </c>
      <c r="B1689" s="175"/>
      <c r="C1689" s="175"/>
      <c r="D1689" s="175"/>
      <c r="E1689" s="175"/>
      <c r="F1689" s="175"/>
    </row>
    <row r="1690" ht="15" customHeight="1" spans="1:6">
      <c r="A1690" s="242" t="s">
        <v>1341</v>
      </c>
      <c r="C1690" s="243"/>
      <c r="D1690" s="243"/>
      <c r="E1690" s="243"/>
      <c r="F1690" s="243"/>
    </row>
    <row r="1691" ht="15" customHeight="1" spans="1:6">
      <c r="A1691" s="190" t="s">
        <v>1342</v>
      </c>
      <c r="B1691" s="191"/>
      <c r="C1691" s="243"/>
      <c r="D1691" s="243"/>
      <c r="E1691" s="191" t="s">
        <v>1159</v>
      </c>
      <c r="F1691" s="191"/>
    </row>
    <row r="1692" ht="15" customHeight="1" spans="1:6">
      <c r="A1692" s="117" t="s">
        <v>1218</v>
      </c>
      <c r="B1692" s="192"/>
      <c r="C1692" s="192"/>
      <c r="D1692" s="192"/>
      <c r="E1692" s="192"/>
      <c r="F1692" s="118"/>
    </row>
    <row r="1693" ht="15" customHeight="1" spans="1:6">
      <c r="A1693" s="57" t="s">
        <v>354</v>
      </c>
      <c r="B1693" s="57" t="s">
        <v>956</v>
      </c>
      <c r="C1693" s="57" t="s">
        <v>52</v>
      </c>
      <c r="D1693" s="57" t="s">
        <v>855</v>
      </c>
      <c r="E1693" s="57" t="s">
        <v>53</v>
      </c>
      <c r="F1693" s="57" t="s">
        <v>306</v>
      </c>
    </row>
    <row r="1694" ht="15" customHeight="1" spans="1:6">
      <c r="A1694" s="57" t="s">
        <v>959</v>
      </c>
      <c r="B1694" s="57" t="s">
        <v>960</v>
      </c>
      <c r="C1694" s="57"/>
      <c r="D1694" s="57"/>
      <c r="E1694" s="57"/>
      <c r="F1694" s="84">
        <f>F1695+F1719+F1720</f>
        <v>31677.2093151941</v>
      </c>
    </row>
    <row r="1695" ht="15" customHeight="1" spans="1:6">
      <c r="A1695" s="57" t="s">
        <v>59</v>
      </c>
      <c r="B1695" s="57" t="s">
        <v>957</v>
      </c>
      <c r="C1695" s="57"/>
      <c r="D1695" s="57"/>
      <c r="E1695" s="57"/>
      <c r="F1695" s="84">
        <f>F1696+F1699+F1709+F1716</f>
        <v>30226.3447664066</v>
      </c>
    </row>
    <row r="1696" ht="15" customHeight="1" spans="1:6">
      <c r="A1696" s="57">
        <v>1</v>
      </c>
      <c r="B1696" s="57" t="s">
        <v>964</v>
      </c>
      <c r="C1696" s="57" t="s">
        <v>965</v>
      </c>
      <c r="D1696" s="84"/>
      <c r="E1696" s="92">
        <f>SUM(E1697:E1698)</f>
        <v>1059.8</v>
      </c>
      <c r="F1696" s="113">
        <f>SUM(F1697:F1698)</f>
        <v>7794.277</v>
      </c>
    </row>
    <row r="1697" s="307" customFormat="1" ht="15" customHeight="1" spans="1:6">
      <c r="A1697" s="57"/>
      <c r="B1697" s="57" t="s">
        <v>966</v>
      </c>
      <c r="C1697" s="57" t="s">
        <v>965</v>
      </c>
      <c r="D1697" s="113">
        <f t="shared" ref="D1697:D1700" si="200">D1651</f>
        <v>8.1</v>
      </c>
      <c r="E1697" s="92">
        <v>720.7</v>
      </c>
      <c r="F1697" s="113">
        <f>D1697*E1697</f>
        <v>5837.67</v>
      </c>
    </row>
    <row r="1698" s="307" customFormat="1" ht="15" customHeight="1" spans="1:6">
      <c r="A1698" s="57"/>
      <c r="B1698" s="57" t="s">
        <v>968</v>
      </c>
      <c r="C1698" s="57" t="s">
        <v>965</v>
      </c>
      <c r="D1698" s="113">
        <f t="shared" si="200"/>
        <v>5.77</v>
      </c>
      <c r="E1698" s="92">
        <v>339.1</v>
      </c>
      <c r="F1698" s="113">
        <f>D1698*E1698</f>
        <v>1956.607</v>
      </c>
    </row>
    <row r="1699" ht="15" customHeight="1" spans="1:6">
      <c r="A1699" s="57">
        <v>2</v>
      </c>
      <c r="B1699" s="57" t="s">
        <v>1219</v>
      </c>
      <c r="C1699" s="57"/>
      <c r="D1699" s="84"/>
      <c r="E1699" s="84"/>
      <c r="F1699" s="84">
        <f>SUM(F1700:F1708)</f>
        <v>19717.53813361</v>
      </c>
    </row>
    <row r="1700" ht="15" customHeight="1" spans="1:6">
      <c r="A1700" s="57"/>
      <c r="B1700" s="244" t="s">
        <v>1272</v>
      </c>
      <c r="C1700" s="244" t="s">
        <v>1188</v>
      </c>
      <c r="D1700" s="84">
        <f t="shared" si="200"/>
        <v>2232.665025</v>
      </c>
      <c r="E1700" s="84">
        <v>0.02</v>
      </c>
      <c r="F1700" s="84">
        <f t="shared" ref="F1700:F1707" si="201">D1700*E1700</f>
        <v>44.6533005</v>
      </c>
    </row>
    <row r="1701" ht="15" customHeight="1" spans="1:6">
      <c r="A1701" s="57"/>
      <c r="B1701" s="244" t="s">
        <v>1334</v>
      </c>
      <c r="C1701" s="244" t="s">
        <v>184</v>
      </c>
      <c r="D1701" s="84">
        <v>4.44</v>
      </c>
      <c r="E1701" s="84">
        <v>76.36</v>
      </c>
      <c r="F1701" s="84">
        <f t="shared" si="201"/>
        <v>339.0384</v>
      </c>
    </row>
    <row r="1702" ht="15" customHeight="1" spans="1:6">
      <c r="A1702" s="57"/>
      <c r="B1702" s="244" t="s">
        <v>1274</v>
      </c>
      <c r="C1702" s="244" t="s">
        <v>184</v>
      </c>
      <c r="D1702" s="84">
        <v>4.5</v>
      </c>
      <c r="E1702" s="84">
        <v>54.71</v>
      </c>
      <c r="F1702" s="84">
        <f t="shared" si="201"/>
        <v>246.195</v>
      </c>
    </row>
    <row r="1703" ht="15" customHeight="1" spans="1:6">
      <c r="A1703" s="57"/>
      <c r="B1703" s="244" t="s">
        <v>1275</v>
      </c>
      <c r="C1703" s="244" t="s">
        <v>184</v>
      </c>
      <c r="D1703" s="84">
        <v>5.15</v>
      </c>
      <c r="E1703" s="84">
        <v>43.7</v>
      </c>
      <c r="F1703" s="84">
        <f t="shared" si="201"/>
        <v>225.055</v>
      </c>
    </row>
    <row r="1704" ht="15" customHeight="1" spans="1:6">
      <c r="A1704" s="57"/>
      <c r="B1704" s="244" t="s">
        <v>1277</v>
      </c>
      <c r="C1704" s="244" t="s">
        <v>184</v>
      </c>
      <c r="D1704" s="84">
        <v>6.39</v>
      </c>
      <c r="E1704" s="84">
        <v>287.67</v>
      </c>
      <c r="F1704" s="84">
        <f t="shared" si="201"/>
        <v>1838.2113</v>
      </c>
    </row>
    <row r="1705" ht="15" customHeight="1" spans="1:6">
      <c r="A1705" s="57"/>
      <c r="B1705" s="244" t="s">
        <v>1278</v>
      </c>
      <c r="C1705" s="244" t="s">
        <v>184</v>
      </c>
      <c r="D1705" s="84">
        <v>5.97</v>
      </c>
      <c r="E1705" s="84">
        <v>6.06</v>
      </c>
      <c r="F1705" s="84">
        <f t="shared" si="201"/>
        <v>36.1782</v>
      </c>
    </row>
    <row r="1706" ht="15" customHeight="1" spans="1:6">
      <c r="A1706" s="57"/>
      <c r="B1706" s="57" t="s">
        <v>1311</v>
      </c>
      <c r="C1706" s="57" t="s">
        <v>1188</v>
      </c>
      <c r="D1706" s="84">
        <f>配合比!M6</f>
        <v>161.3747797</v>
      </c>
      <c r="E1706" s="84">
        <v>103</v>
      </c>
      <c r="F1706" s="84">
        <f t="shared" si="201"/>
        <v>16621.6023091</v>
      </c>
    </row>
    <row r="1707" ht="15" customHeight="1" spans="1:6">
      <c r="A1707" s="57"/>
      <c r="B1707" s="57" t="s">
        <v>1022</v>
      </c>
      <c r="C1707" s="57" t="s">
        <v>1188</v>
      </c>
      <c r="D1707" s="84">
        <f>材料预算价!K14</f>
        <v>4.37</v>
      </c>
      <c r="E1707" s="84">
        <v>70</v>
      </c>
      <c r="F1707" s="84">
        <f t="shared" si="201"/>
        <v>305.9</v>
      </c>
    </row>
    <row r="1708" ht="15" customHeight="1" spans="1:6">
      <c r="A1708" s="57"/>
      <c r="B1708" s="57" t="s">
        <v>1163</v>
      </c>
      <c r="C1708" s="59" t="s">
        <v>423</v>
      </c>
      <c r="D1708" s="84">
        <f>F1700+F1701+F1702+F1703+F1704+F1705+F1707</f>
        <v>3035.2312005</v>
      </c>
      <c r="E1708" s="84">
        <v>2</v>
      </c>
      <c r="F1708" s="84">
        <f>D1708*E1708/100</f>
        <v>60.70462401</v>
      </c>
    </row>
    <row r="1709" ht="15" customHeight="1" spans="1:6">
      <c r="A1709" s="57">
        <v>3</v>
      </c>
      <c r="B1709" s="57" t="s">
        <v>1171</v>
      </c>
      <c r="C1709" s="57"/>
      <c r="D1709" s="84"/>
      <c r="E1709" s="84"/>
      <c r="F1709" s="84">
        <f>SUM(F1710:F1715)</f>
        <v>728.118212123853</v>
      </c>
    </row>
    <row r="1710" ht="15" customHeight="1" spans="1:6">
      <c r="A1710" s="57"/>
      <c r="B1710" s="57" t="s">
        <v>1284</v>
      </c>
      <c r="C1710" s="57" t="s">
        <v>988</v>
      </c>
      <c r="D1710" s="84">
        <f>台时!F42</f>
        <v>1.80552692461109</v>
      </c>
      <c r="E1710" s="84">
        <v>20</v>
      </c>
      <c r="F1710" s="84">
        <f t="shared" ref="F1710:F1714" si="202">D1710*E1710</f>
        <v>36.1105384922218</v>
      </c>
    </row>
    <row r="1711" ht="15" customHeight="1" spans="1:6">
      <c r="A1711" s="57"/>
      <c r="B1711" s="248" t="s">
        <v>1343</v>
      </c>
      <c r="C1711" s="57" t="s">
        <v>988</v>
      </c>
      <c r="D1711" s="84">
        <f>D1666</f>
        <v>23.7459521340247</v>
      </c>
      <c r="E1711" s="84">
        <v>18.54</v>
      </c>
      <c r="F1711" s="84">
        <f t="shared" si="202"/>
        <v>440.249952564819</v>
      </c>
    </row>
    <row r="1712" ht="15" customHeight="1" spans="1:6">
      <c r="A1712" s="57"/>
      <c r="B1712" s="57" t="s">
        <v>1190</v>
      </c>
      <c r="C1712" s="57" t="s">
        <v>988</v>
      </c>
      <c r="D1712" s="84">
        <f>D1668</f>
        <v>0.813242919824491</v>
      </c>
      <c r="E1712" s="204">
        <v>83</v>
      </c>
      <c r="F1712" s="84">
        <f t="shared" si="202"/>
        <v>67.4991623454328</v>
      </c>
    </row>
    <row r="1713" ht="15" customHeight="1" spans="1:6">
      <c r="A1713" s="57"/>
      <c r="B1713" s="57" t="s">
        <v>1280</v>
      </c>
      <c r="C1713" s="57" t="s">
        <v>988</v>
      </c>
      <c r="D1713" s="84">
        <f>D1665</f>
        <v>49.389824491424</v>
      </c>
      <c r="E1713" s="204">
        <v>0.33</v>
      </c>
      <c r="F1713" s="84">
        <f t="shared" si="202"/>
        <v>16.2986420821699</v>
      </c>
    </row>
    <row r="1714" ht="15" customHeight="1" spans="1:6">
      <c r="A1714" s="57"/>
      <c r="B1714" s="244" t="s">
        <v>1344</v>
      </c>
      <c r="C1714" s="57" t="s">
        <v>988</v>
      </c>
      <c r="D1714" s="84">
        <f>台时!E84</f>
        <v>8.0471858795373</v>
      </c>
      <c r="E1714" s="204">
        <v>9.07</v>
      </c>
      <c r="F1714" s="84">
        <f t="shared" si="202"/>
        <v>72.9879759274033</v>
      </c>
    </row>
    <row r="1715" ht="15" customHeight="1" spans="1:6">
      <c r="A1715" s="57"/>
      <c r="B1715" s="57" t="s">
        <v>1223</v>
      </c>
      <c r="C1715" s="59" t="s">
        <v>423</v>
      </c>
      <c r="D1715" s="84">
        <f>SUM(F1710:F1714)</f>
        <v>633.146271412046</v>
      </c>
      <c r="E1715" s="84">
        <v>15</v>
      </c>
      <c r="F1715" s="84">
        <f>D1715*E1715/100</f>
        <v>94.9719407118069</v>
      </c>
    </row>
    <row r="1716" s="309" customFormat="1" ht="15" customHeight="1" spans="1:6">
      <c r="A1716" s="55">
        <v>4</v>
      </c>
      <c r="B1716" s="55" t="s">
        <v>1285</v>
      </c>
      <c r="C1716" s="253"/>
      <c r="D1716" s="254"/>
      <c r="E1716" s="254"/>
      <c r="F1716" s="254">
        <f>SUM(F1717:F1718)</f>
        <v>1986.41142067271</v>
      </c>
    </row>
    <row r="1717" s="307" customFormat="1" ht="15" customHeight="1" spans="1:6">
      <c r="A1717" s="57"/>
      <c r="B1717" s="245" t="s">
        <v>1286</v>
      </c>
      <c r="C1717" s="245" t="s">
        <v>1188</v>
      </c>
      <c r="D1717" s="246">
        <f>$F$2253/100</f>
        <v>5.03319379720782</v>
      </c>
      <c r="E1717" s="246">
        <v>103</v>
      </c>
      <c r="F1717" s="84">
        <f>D1717*E1717</f>
        <v>518.418961112405</v>
      </c>
    </row>
    <row r="1718" s="307" customFormat="1" ht="15" customHeight="1" spans="1:6">
      <c r="A1718" s="57"/>
      <c r="B1718" s="245" t="s">
        <v>1287</v>
      </c>
      <c r="C1718" s="245" t="s">
        <v>1188</v>
      </c>
      <c r="D1718" s="246">
        <f>$F$2271/100</f>
        <v>14.2523539763136</v>
      </c>
      <c r="E1718" s="246">
        <v>103</v>
      </c>
      <c r="F1718" s="84">
        <f>D1718*E1718</f>
        <v>1467.99245956031</v>
      </c>
    </row>
    <row r="1719" s="307" customFormat="1" ht="15" customHeight="1" spans="1:6">
      <c r="A1719" s="57" t="s">
        <v>70</v>
      </c>
      <c r="B1719" s="57" t="s">
        <v>977</v>
      </c>
      <c r="C1719" s="194">
        <f>取费表!$C$7</f>
        <v>0.048</v>
      </c>
      <c r="D1719" s="246"/>
      <c r="E1719" s="246">
        <f>F1695</f>
        <v>30226.3447664066</v>
      </c>
      <c r="F1719" s="84">
        <f t="shared" ref="F1719:F1722" si="203">E1719*C1719</f>
        <v>1450.86454878751</v>
      </c>
    </row>
    <row r="1720" s="307" customFormat="1" ht="15" customHeight="1" spans="1:6">
      <c r="A1720" s="57"/>
      <c r="B1720" s="57"/>
      <c r="C1720" s="194"/>
      <c r="D1720" s="246"/>
      <c r="E1720" s="246"/>
      <c r="F1720" s="84"/>
    </row>
    <row r="1721" s="307" customFormat="1" ht="15" customHeight="1" spans="1:6">
      <c r="A1721" s="57" t="s">
        <v>979</v>
      </c>
      <c r="B1721" s="57" t="s">
        <v>973</v>
      </c>
      <c r="C1721" s="194">
        <f>取费表!$E$7</f>
        <v>0.07</v>
      </c>
      <c r="D1721" s="246"/>
      <c r="E1721" s="246">
        <f>F1694</f>
        <v>31677.2093151941</v>
      </c>
      <c r="F1721" s="84">
        <f t="shared" si="203"/>
        <v>2217.40465206359</v>
      </c>
    </row>
    <row r="1722" s="307" customFormat="1" ht="15" customHeight="1" spans="1:6">
      <c r="A1722" s="57" t="s">
        <v>162</v>
      </c>
      <c r="B1722" s="57" t="s">
        <v>980</v>
      </c>
      <c r="C1722" s="194">
        <f>取费表!$F$7</f>
        <v>0.07</v>
      </c>
      <c r="D1722" s="246"/>
      <c r="E1722" s="246">
        <f>F1721+F1694</f>
        <v>33894.6139672577</v>
      </c>
      <c r="F1722" s="84">
        <f t="shared" si="203"/>
        <v>2372.62297770804</v>
      </c>
    </row>
    <row r="1723" s="310" customFormat="1" ht="15" customHeight="1" spans="1:6">
      <c r="A1723" s="55" t="s">
        <v>214</v>
      </c>
      <c r="B1723" s="55" t="s">
        <v>1173</v>
      </c>
      <c r="C1723" s="253"/>
      <c r="D1723" s="254"/>
      <c r="E1723" s="55"/>
      <c r="F1723" s="255">
        <f>F1724+F1729</f>
        <v>12376.9508528625</v>
      </c>
    </row>
    <row r="1724" ht="15" customHeight="1" spans="1:6">
      <c r="A1724" s="57">
        <v>1</v>
      </c>
      <c r="B1724" s="57" t="s">
        <v>1288</v>
      </c>
      <c r="C1724" s="59"/>
      <c r="D1724" s="84"/>
      <c r="E1724" s="57"/>
      <c r="F1724" s="113">
        <f>SUM(F1725:F1728)</f>
        <v>12362.1602528625</v>
      </c>
    </row>
    <row r="1725" ht="15" customHeight="1" spans="1:6">
      <c r="A1725" s="57"/>
      <c r="B1725" s="57"/>
      <c r="C1725" s="57"/>
      <c r="D1725" s="84"/>
      <c r="E1725" s="84"/>
      <c r="F1725" s="113"/>
    </row>
    <row r="1726" ht="15" customHeight="1" spans="1:6">
      <c r="A1726" s="57"/>
      <c r="B1726" s="57" t="s">
        <v>1141</v>
      </c>
      <c r="C1726" s="57" t="s">
        <v>69</v>
      </c>
      <c r="D1726" s="84">
        <f>材料预算价!K6-材料预算价!L6</f>
        <v>316.61055</v>
      </c>
      <c r="E1726" s="84">
        <f>E1706*配合比!E6</f>
        <v>25.23059572</v>
      </c>
      <c r="F1726" s="113">
        <f t="shared" ref="F1726:F1728" si="204">D1726*E1726</f>
        <v>7988.27278773685</v>
      </c>
    </row>
    <row r="1727" ht="15" customHeight="1" spans="1:6">
      <c r="A1727" s="57"/>
      <c r="B1727" s="57" t="s">
        <v>1142</v>
      </c>
      <c r="C1727" s="57" t="s">
        <v>1188</v>
      </c>
      <c r="D1727" s="84">
        <f t="shared" ref="D1727:D1731" si="205">D1681</f>
        <v>44.826214</v>
      </c>
      <c r="E1727" s="84">
        <f>E1706*配合比!G6</f>
        <v>57.73768</v>
      </c>
      <c r="F1727" s="113">
        <f t="shared" si="204"/>
        <v>2588.16159954352</v>
      </c>
    </row>
    <row r="1728" ht="15" customHeight="1" spans="1:6">
      <c r="A1728" s="57"/>
      <c r="B1728" s="57" t="s">
        <v>1110</v>
      </c>
      <c r="C1728" s="57" t="s">
        <v>1188</v>
      </c>
      <c r="D1728" s="84">
        <f>材料预算价!K8-材料预算价!L8</f>
        <v>20.60443</v>
      </c>
      <c r="E1728" s="84">
        <f>E1706*配合比!I6</f>
        <v>86.667084</v>
      </c>
      <c r="F1728" s="113">
        <f t="shared" si="204"/>
        <v>1785.72586558212</v>
      </c>
    </row>
    <row r="1729" ht="15" customHeight="1" spans="1:6">
      <c r="A1729" s="57">
        <v>2</v>
      </c>
      <c r="B1729" s="57" t="s">
        <v>1289</v>
      </c>
      <c r="C1729" s="57"/>
      <c r="D1729" s="84"/>
      <c r="E1729" s="88"/>
      <c r="F1729" s="113">
        <f>SUM(F1730:F1731)</f>
        <v>14.7906</v>
      </c>
    </row>
    <row r="1730" ht="15" customHeight="1" spans="1:6">
      <c r="A1730" s="57"/>
      <c r="B1730" s="57" t="s">
        <v>1290</v>
      </c>
      <c r="C1730" s="57" t="s">
        <v>184</v>
      </c>
      <c r="D1730" s="84">
        <f t="shared" si="205"/>
        <v>6.225</v>
      </c>
      <c r="E1730" s="88">
        <f>(E1713*7.2+E1711*0)</f>
        <v>2.376</v>
      </c>
      <c r="F1730" s="113">
        <f>D1730*E1730</f>
        <v>14.7906</v>
      </c>
    </row>
    <row r="1731" ht="15" customHeight="1" spans="1:6">
      <c r="A1731" s="57"/>
      <c r="B1731" s="57" t="s">
        <v>1174</v>
      </c>
      <c r="C1731" s="57" t="s">
        <v>184</v>
      </c>
      <c r="D1731" s="84">
        <f t="shared" si="205"/>
        <v>4.86</v>
      </c>
      <c r="E1731" s="88"/>
      <c r="F1731" s="113">
        <f>D1731*E1731</f>
        <v>0</v>
      </c>
    </row>
    <row r="1732" ht="15" customHeight="1" spans="1:6">
      <c r="A1732" s="57" t="s">
        <v>327</v>
      </c>
      <c r="B1732" s="57" t="s">
        <v>976</v>
      </c>
      <c r="C1732" s="195">
        <f>C1686</f>
        <v>0.09</v>
      </c>
      <c r="D1732" s="84"/>
      <c r="E1732" s="84">
        <f>F1723+F1722+F1721+F1694</f>
        <v>48644.1877978282</v>
      </c>
      <c r="F1732" s="84">
        <f>E1732*C1732</f>
        <v>4377.97690180454</v>
      </c>
    </row>
    <row r="1733" ht="15" customHeight="1" spans="1:6">
      <c r="A1733" s="57"/>
      <c r="B1733" s="57" t="s">
        <v>984</v>
      </c>
      <c r="C1733" s="195"/>
      <c r="D1733" s="84"/>
      <c r="E1733" s="84"/>
      <c r="F1733" s="84">
        <f>(F1694+F1721+F1722+F1723+F1732)*取费表!H4</f>
        <v>1590.66494098898</v>
      </c>
    </row>
    <row r="1734" ht="15" customHeight="1" spans="1:6">
      <c r="A1734" s="57"/>
      <c r="B1734" s="57" t="s">
        <v>278</v>
      </c>
      <c r="C1734" s="57"/>
      <c r="D1734" s="84"/>
      <c r="E1734" s="84"/>
      <c r="F1734" s="84">
        <f>F1732+E1732+F1733</f>
        <v>54612.8296406217</v>
      </c>
    </row>
    <row r="1735" ht="15" customHeight="1" spans="1:6">
      <c r="A1735" s="176" t="s">
        <v>1204</v>
      </c>
      <c r="B1735" s="175"/>
      <c r="C1735" s="175"/>
      <c r="D1735" s="175"/>
      <c r="E1735" s="175"/>
      <c r="F1735" s="175"/>
    </row>
    <row r="1736" ht="15" customHeight="1" spans="1:6">
      <c r="A1736" s="242" t="s">
        <v>1345</v>
      </c>
      <c r="C1736" s="243"/>
      <c r="D1736" s="243"/>
      <c r="E1736" s="243"/>
      <c r="F1736" s="243"/>
    </row>
    <row r="1737" ht="15" customHeight="1" spans="1:6">
      <c r="A1737" s="190" t="s">
        <v>1342</v>
      </c>
      <c r="B1737" s="191"/>
      <c r="C1737" s="243"/>
      <c r="D1737" s="243"/>
      <c r="E1737" s="191" t="s">
        <v>1159</v>
      </c>
      <c r="F1737" s="191"/>
    </row>
    <row r="1738" ht="15" customHeight="1" spans="1:6">
      <c r="A1738" s="117" t="s">
        <v>1218</v>
      </c>
      <c r="B1738" s="192"/>
      <c r="C1738" s="192"/>
      <c r="D1738" s="192"/>
      <c r="E1738" s="192"/>
      <c r="F1738" s="118"/>
    </row>
    <row r="1739" ht="15" customHeight="1" spans="1:6">
      <c r="A1739" s="57" t="s">
        <v>354</v>
      </c>
      <c r="B1739" s="57" t="s">
        <v>956</v>
      </c>
      <c r="C1739" s="57" t="s">
        <v>52</v>
      </c>
      <c r="D1739" s="57" t="s">
        <v>855</v>
      </c>
      <c r="E1739" s="57" t="s">
        <v>53</v>
      </c>
      <c r="F1739" s="57" t="s">
        <v>306</v>
      </c>
    </row>
    <row r="1740" ht="15" customHeight="1" spans="1:6">
      <c r="A1740" s="57" t="s">
        <v>959</v>
      </c>
      <c r="B1740" s="57" t="s">
        <v>960</v>
      </c>
      <c r="C1740" s="57"/>
      <c r="D1740" s="57"/>
      <c r="E1740" s="57"/>
      <c r="F1740" s="84">
        <f>F1741+F1765+F1766</f>
        <v>34053.1775229413</v>
      </c>
    </row>
    <row r="1741" ht="15" customHeight="1" spans="1:6">
      <c r="A1741" s="57" t="s">
        <v>59</v>
      </c>
      <c r="B1741" s="57" t="s">
        <v>957</v>
      </c>
      <c r="C1741" s="57"/>
      <c r="D1741" s="57"/>
      <c r="E1741" s="57"/>
      <c r="F1741" s="84">
        <f>F1742+F1745+F1755+F1762</f>
        <v>32493.4900028066</v>
      </c>
    </row>
    <row r="1742" ht="15" customHeight="1" spans="1:6">
      <c r="A1742" s="57">
        <v>1</v>
      </c>
      <c r="B1742" s="57" t="s">
        <v>964</v>
      </c>
      <c r="C1742" s="57" t="s">
        <v>965</v>
      </c>
      <c r="D1742" s="84"/>
      <c r="E1742" s="113">
        <f>SUM(E1743:E1744)</f>
        <v>1059.8</v>
      </c>
      <c r="F1742" s="113">
        <f>SUM(F1743:F1744)</f>
        <v>7794.277</v>
      </c>
    </row>
    <row r="1743" s="307" customFormat="1" ht="15" customHeight="1" spans="1:6">
      <c r="A1743" s="57"/>
      <c r="B1743" s="57" t="s">
        <v>966</v>
      </c>
      <c r="C1743" s="57" t="s">
        <v>965</v>
      </c>
      <c r="D1743" s="113">
        <f>D1697</f>
        <v>8.1</v>
      </c>
      <c r="E1743" s="92">
        <v>720.7</v>
      </c>
      <c r="F1743" s="113">
        <f>D1743*E1743</f>
        <v>5837.67</v>
      </c>
    </row>
    <row r="1744" s="307" customFormat="1" ht="15" customHeight="1" spans="1:6">
      <c r="A1744" s="57"/>
      <c r="B1744" s="57" t="s">
        <v>968</v>
      </c>
      <c r="C1744" s="57" t="s">
        <v>965</v>
      </c>
      <c r="D1744" s="113">
        <f>D1698</f>
        <v>5.77</v>
      </c>
      <c r="E1744" s="92">
        <v>339.1</v>
      </c>
      <c r="F1744" s="113">
        <f>D1744*E1744</f>
        <v>1956.607</v>
      </c>
    </row>
    <row r="1745" ht="15" customHeight="1" spans="1:6">
      <c r="A1745" s="57">
        <v>2</v>
      </c>
      <c r="B1745" s="57" t="s">
        <v>1219</v>
      </c>
      <c r="C1745" s="57"/>
      <c r="D1745" s="84"/>
      <c r="E1745" s="84"/>
      <c r="F1745" s="84">
        <f>SUM(F1746:F1754)</f>
        <v>21984.68337001</v>
      </c>
    </row>
    <row r="1746" ht="15" customHeight="1" spans="1:6">
      <c r="A1746" s="57"/>
      <c r="B1746" s="244" t="s">
        <v>1272</v>
      </c>
      <c r="C1746" s="244" t="s">
        <v>1188</v>
      </c>
      <c r="D1746" s="84">
        <f t="shared" ref="D1746:D1751" si="206">D1700</f>
        <v>2232.665025</v>
      </c>
      <c r="E1746" s="84">
        <v>0.02</v>
      </c>
      <c r="F1746" s="84">
        <f t="shared" ref="F1746:F1753" si="207">D1746*E1746</f>
        <v>44.6533005</v>
      </c>
    </row>
    <row r="1747" ht="15" customHeight="1" spans="1:6">
      <c r="A1747" s="57"/>
      <c r="B1747" s="244" t="s">
        <v>1334</v>
      </c>
      <c r="C1747" s="244" t="s">
        <v>184</v>
      </c>
      <c r="D1747" s="84">
        <f t="shared" si="206"/>
        <v>4.44</v>
      </c>
      <c r="E1747" s="84">
        <v>76.36</v>
      </c>
      <c r="F1747" s="84">
        <f t="shared" si="207"/>
        <v>339.0384</v>
      </c>
    </row>
    <row r="1748" ht="15" customHeight="1" spans="1:6">
      <c r="A1748" s="57"/>
      <c r="B1748" s="244" t="s">
        <v>1274</v>
      </c>
      <c r="C1748" s="244" t="s">
        <v>184</v>
      </c>
      <c r="D1748" s="84">
        <f t="shared" si="206"/>
        <v>4.5</v>
      </c>
      <c r="E1748" s="84">
        <v>54.71</v>
      </c>
      <c r="F1748" s="84">
        <f t="shared" si="207"/>
        <v>246.195</v>
      </c>
    </row>
    <row r="1749" ht="15" customHeight="1" spans="1:6">
      <c r="A1749" s="57"/>
      <c r="B1749" s="244" t="s">
        <v>1275</v>
      </c>
      <c r="C1749" s="244" t="s">
        <v>184</v>
      </c>
      <c r="D1749" s="84">
        <f t="shared" si="206"/>
        <v>5.15</v>
      </c>
      <c r="E1749" s="84">
        <v>43.7</v>
      </c>
      <c r="F1749" s="84">
        <f t="shared" si="207"/>
        <v>225.055</v>
      </c>
    </row>
    <row r="1750" ht="15" customHeight="1" spans="1:6">
      <c r="A1750" s="57"/>
      <c r="B1750" s="244" t="s">
        <v>1277</v>
      </c>
      <c r="C1750" s="244" t="s">
        <v>184</v>
      </c>
      <c r="D1750" s="84">
        <f t="shared" si="206"/>
        <v>6.39</v>
      </c>
      <c r="E1750" s="84">
        <v>287.67</v>
      </c>
      <c r="F1750" s="84">
        <f t="shared" si="207"/>
        <v>1838.2113</v>
      </c>
    </row>
    <row r="1751" ht="15" customHeight="1" spans="1:6">
      <c r="A1751" s="57"/>
      <c r="B1751" s="244" t="s">
        <v>1278</v>
      </c>
      <c r="C1751" s="244" t="s">
        <v>184</v>
      </c>
      <c r="D1751" s="84">
        <f t="shared" si="206"/>
        <v>5.97</v>
      </c>
      <c r="E1751" s="84">
        <v>6.06</v>
      </c>
      <c r="F1751" s="84">
        <f t="shared" si="207"/>
        <v>36.1782</v>
      </c>
    </row>
    <row r="1752" ht="15" customHeight="1" spans="1:6">
      <c r="A1752" s="57"/>
      <c r="B1752" s="57" t="s">
        <v>1292</v>
      </c>
      <c r="C1752" s="57" t="s">
        <v>1188</v>
      </c>
      <c r="D1752" s="84">
        <f>配合比!M10</f>
        <v>183.3858985</v>
      </c>
      <c r="E1752" s="84">
        <v>103</v>
      </c>
      <c r="F1752" s="84">
        <f t="shared" si="207"/>
        <v>18888.7475455</v>
      </c>
    </row>
    <row r="1753" ht="15" customHeight="1" spans="1:6">
      <c r="A1753" s="57"/>
      <c r="B1753" s="57" t="s">
        <v>1022</v>
      </c>
      <c r="C1753" s="57" t="s">
        <v>1188</v>
      </c>
      <c r="D1753" s="84">
        <f>材料预算价!K14</f>
        <v>4.37</v>
      </c>
      <c r="E1753" s="84">
        <v>70</v>
      </c>
      <c r="F1753" s="84">
        <f t="shared" si="207"/>
        <v>305.9</v>
      </c>
    </row>
    <row r="1754" ht="15" customHeight="1" spans="1:6">
      <c r="A1754" s="57"/>
      <c r="B1754" s="57" t="s">
        <v>1163</v>
      </c>
      <c r="C1754" s="59" t="s">
        <v>423</v>
      </c>
      <c r="D1754" s="84">
        <f>F1746+F1747+F1748+F1749+F1750+F1751+F1753</f>
        <v>3035.2312005</v>
      </c>
      <c r="E1754" s="84">
        <v>2</v>
      </c>
      <c r="F1754" s="84">
        <f>D1754*E1754/100</f>
        <v>60.70462401</v>
      </c>
    </row>
    <row r="1755" ht="15" customHeight="1" spans="1:6">
      <c r="A1755" s="57">
        <v>3</v>
      </c>
      <c r="B1755" s="57" t="s">
        <v>1171</v>
      </c>
      <c r="C1755" s="57"/>
      <c r="D1755" s="84"/>
      <c r="E1755" s="84"/>
      <c r="F1755" s="84">
        <f>SUM(F1756:F1761)</f>
        <v>728.118212123853</v>
      </c>
    </row>
    <row r="1756" ht="15" customHeight="1" spans="1:6">
      <c r="A1756" s="57"/>
      <c r="B1756" s="57" t="s">
        <v>1284</v>
      </c>
      <c r="C1756" s="57" t="s">
        <v>988</v>
      </c>
      <c r="D1756" s="84">
        <f t="shared" ref="D1756:D1760" si="208">D1710</f>
        <v>1.80552692461109</v>
      </c>
      <c r="E1756" s="84">
        <v>20</v>
      </c>
      <c r="F1756" s="84">
        <f t="shared" ref="F1756:F1760" si="209">D1756*E1756</f>
        <v>36.1105384922218</v>
      </c>
    </row>
    <row r="1757" ht="15" customHeight="1" spans="1:6">
      <c r="A1757" s="57"/>
      <c r="B1757" s="248" t="s">
        <v>1343</v>
      </c>
      <c r="C1757" s="57" t="s">
        <v>988</v>
      </c>
      <c r="D1757" s="84">
        <f t="shared" si="208"/>
        <v>23.7459521340247</v>
      </c>
      <c r="E1757" s="84">
        <v>18.54</v>
      </c>
      <c r="F1757" s="84">
        <f t="shared" si="209"/>
        <v>440.249952564819</v>
      </c>
    </row>
    <row r="1758" ht="15" customHeight="1" spans="1:6">
      <c r="A1758" s="57"/>
      <c r="B1758" s="57" t="s">
        <v>1190</v>
      </c>
      <c r="C1758" s="57" t="s">
        <v>988</v>
      </c>
      <c r="D1758" s="84">
        <f t="shared" si="208"/>
        <v>0.813242919824491</v>
      </c>
      <c r="E1758" s="204">
        <v>83</v>
      </c>
      <c r="F1758" s="84">
        <f t="shared" si="209"/>
        <v>67.4991623454328</v>
      </c>
    </row>
    <row r="1759" ht="15" customHeight="1" spans="1:6">
      <c r="A1759" s="57"/>
      <c r="B1759" s="57" t="s">
        <v>1280</v>
      </c>
      <c r="C1759" s="57" t="s">
        <v>988</v>
      </c>
      <c r="D1759" s="84">
        <f t="shared" si="208"/>
        <v>49.389824491424</v>
      </c>
      <c r="E1759" s="204">
        <v>0.33</v>
      </c>
      <c r="F1759" s="84">
        <f t="shared" si="209"/>
        <v>16.2986420821699</v>
      </c>
    </row>
    <row r="1760" ht="15" customHeight="1" spans="1:6">
      <c r="A1760" s="57"/>
      <c r="B1760" s="244" t="s">
        <v>1344</v>
      </c>
      <c r="C1760" s="57" t="s">
        <v>988</v>
      </c>
      <c r="D1760" s="84">
        <f t="shared" si="208"/>
        <v>8.0471858795373</v>
      </c>
      <c r="E1760" s="204">
        <v>9.07</v>
      </c>
      <c r="F1760" s="84">
        <f t="shared" si="209"/>
        <v>72.9879759274033</v>
      </c>
    </row>
    <row r="1761" ht="15" customHeight="1" spans="1:6">
      <c r="A1761" s="57"/>
      <c r="B1761" s="57" t="s">
        <v>1223</v>
      </c>
      <c r="C1761" s="59" t="s">
        <v>423</v>
      </c>
      <c r="D1761" s="84">
        <f>SUM(F1756:F1760)</f>
        <v>633.146271412046</v>
      </c>
      <c r="E1761" s="84">
        <v>15</v>
      </c>
      <c r="F1761" s="84">
        <f>D1761*E1761/100</f>
        <v>94.9719407118069</v>
      </c>
    </row>
    <row r="1762" s="309" customFormat="1" ht="15" customHeight="1" spans="1:6">
      <c r="A1762" s="55">
        <v>4</v>
      </c>
      <c r="B1762" s="55" t="s">
        <v>1285</v>
      </c>
      <c r="C1762" s="253"/>
      <c r="D1762" s="254"/>
      <c r="E1762" s="254"/>
      <c r="F1762" s="254">
        <f>SUM(F1763:F1764)</f>
        <v>1986.41142067271</v>
      </c>
    </row>
    <row r="1763" s="307" customFormat="1" ht="15" customHeight="1" spans="1:6">
      <c r="A1763" s="57"/>
      <c r="B1763" s="245" t="s">
        <v>1286</v>
      </c>
      <c r="C1763" s="245" t="s">
        <v>1188</v>
      </c>
      <c r="D1763" s="246">
        <f>$F$2253/100</f>
        <v>5.03319379720782</v>
      </c>
      <c r="E1763" s="246">
        <v>103</v>
      </c>
      <c r="F1763" s="84">
        <f>D1763*E1763</f>
        <v>518.418961112405</v>
      </c>
    </row>
    <row r="1764" s="307" customFormat="1" ht="15" customHeight="1" spans="1:6">
      <c r="A1764" s="57"/>
      <c r="B1764" s="245" t="s">
        <v>1287</v>
      </c>
      <c r="C1764" s="245" t="s">
        <v>1188</v>
      </c>
      <c r="D1764" s="246">
        <f>$F$2271/100</f>
        <v>14.2523539763136</v>
      </c>
      <c r="E1764" s="246">
        <v>103</v>
      </c>
      <c r="F1764" s="84">
        <f>D1764*E1764</f>
        <v>1467.99245956031</v>
      </c>
    </row>
    <row r="1765" s="307" customFormat="1" ht="15" customHeight="1" spans="1:6">
      <c r="A1765" s="57" t="s">
        <v>70</v>
      </c>
      <c r="B1765" s="57" t="s">
        <v>977</v>
      </c>
      <c r="C1765" s="194">
        <f>取费表!$C$7</f>
        <v>0.048</v>
      </c>
      <c r="D1765" s="246"/>
      <c r="E1765" s="246">
        <f>F1741</f>
        <v>32493.4900028066</v>
      </c>
      <c r="F1765" s="84">
        <f t="shared" ref="F1765:F1768" si="210">E1765*C1765</f>
        <v>1559.68752013471</v>
      </c>
    </row>
    <row r="1766" s="307" customFormat="1" ht="15" customHeight="1" spans="1:6">
      <c r="A1766" s="57"/>
      <c r="B1766" s="57"/>
      <c r="C1766" s="194"/>
      <c r="D1766" s="246"/>
      <c r="E1766" s="246"/>
      <c r="F1766" s="84"/>
    </row>
    <row r="1767" s="307" customFormat="1" ht="15" customHeight="1" spans="1:6">
      <c r="A1767" s="57" t="s">
        <v>979</v>
      </c>
      <c r="B1767" s="57" t="s">
        <v>973</v>
      </c>
      <c r="C1767" s="194">
        <f>取费表!$E$7</f>
        <v>0.07</v>
      </c>
      <c r="D1767" s="246"/>
      <c r="E1767" s="246">
        <f>F1740</f>
        <v>34053.1775229413</v>
      </c>
      <c r="F1767" s="84">
        <f t="shared" si="210"/>
        <v>2383.72242660589</v>
      </c>
    </row>
    <row r="1768" s="307" customFormat="1" ht="15" customHeight="1" spans="1:6">
      <c r="A1768" s="57" t="s">
        <v>162</v>
      </c>
      <c r="B1768" s="57" t="s">
        <v>980</v>
      </c>
      <c r="C1768" s="194">
        <f>取费表!$F$7</f>
        <v>0.07</v>
      </c>
      <c r="D1768" s="246"/>
      <c r="E1768" s="246">
        <f>F1767+F1740</f>
        <v>36436.8999495472</v>
      </c>
      <c r="F1768" s="84">
        <f t="shared" si="210"/>
        <v>2550.5829964683</v>
      </c>
    </row>
    <row r="1769" s="310" customFormat="1" ht="15" customHeight="1" spans="1:6">
      <c r="A1769" s="55" t="s">
        <v>214</v>
      </c>
      <c r="B1769" s="55" t="s">
        <v>1173</v>
      </c>
      <c r="C1769" s="253"/>
      <c r="D1769" s="254"/>
      <c r="E1769" s="55"/>
      <c r="F1769" s="255">
        <f>F1770+F1775</f>
        <v>9727.36829560639</v>
      </c>
    </row>
    <row r="1770" ht="15" customHeight="1" spans="1:6">
      <c r="A1770" s="57">
        <v>1</v>
      </c>
      <c r="B1770" s="57" t="s">
        <v>1288</v>
      </c>
      <c r="C1770" s="59"/>
      <c r="D1770" s="84"/>
      <c r="E1770" s="57"/>
      <c r="F1770" s="113">
        <f>SUM(F1771:F1774)</f>
        <v>9712.57769560639</v>
      </c>
    </row>
    <row r="1771" ht="15" customHeight="1" spans="1:6">
      <c r="A1771" s="57"/>
      <c r="B1771" s="57"/>
      <c r="C1771" s="59"/>
      <c r="D1771" s="84"/>
      <c r="E1771" s="84"/>
      <c r="F1771" s="113"/>
    </row>
    <row r="1772" ht="15" customHeight="1" spans="1:6">
      <c r="A1772" s="57"/>
      <c r="B1772" s="57" t="s">
        <v>1141</v>
      </c>
      <c r="C1772" s="57" t="s">
        <v>1188</v>
      </c>
      <c r="D1772" s="84">
        <f>材料预算价!K5-材料预算价!L5</f>
        <v>156.64017</v>
      </c>
      <c r="E1772" s="84">
        <f>E1752*配合比!E10</f>
        <v>35.035759</v>
      </c>
      <c r="F1772" s="113">
        <f t="shared" ref="F1772:F1774" si="211">D1772*E1772</f>
        <v>5488.00724583903</v>
      </c>
    </row>
    <row r="1773" ht="15" customHeight="1" spans="1:6">
      <c r="A1773" s="57"/>
      <c r="B1773" s="57" t="s">
        <v>1142</v>
      </c>
      <c r="C1773" s="57" t="s">
        <v>1188</v>
      </c>
      <c r="D1773" s="84">
        <f t="shared" ref="D1773:D1777" si="212">D1727</f>
        <v>44.826214</v>
      </c>
      <c r="E1773" s="84">
        <f>E1752*配合比!G10</f>
        <v>54.40666</v>
      </c>
      <c r="F1773" s="113">
        <f t="shared" si="211"/>
        <v>2438.84458418524</v>
      </c>
    </row>
    <row r="1774" ht="15" customHeight="1" spans="1:6">
      <c r="A1774" s="57"/>
      <c r="B1774" s="57" t="s">
        <v>1110</v>
      </c>
      <c r="C1774" s="57" t="s">
        <v>1188</v>
      </c>
      <c r="D1774" s="84">
        <f>材料预算价!K8-材料预算价!L8</f>
        <v>20.60443</v>
      </c>
      <c r="E1774" s="84">
        <f>E1752*配合比!I10</f>
        <v>86.667084</v>
      </c>
      <c r="F1774" s="113">
        <f t="shared" si="211"/>
        <v>1785.72586558212</v>
      </c>
    </row>
    <row r="1775" ht="15" customHeight="1" spans="1:6">
      <c r="A1775" s="57">
        <v>2</v>
      </c>
      <c r="B1775" s="57" t="s">
        <v>1289</v>
      </c>
      <c r="C1775" s="57"/>
      <c r="D1775" s="84"/>
      <c r="E1775" s="88"/>
      <c r="F1775" s="113">
        <f>SUM(F1776:F1777)</f>
        <v>14.7906</v>
      </c>
    </row>
    <row r="1776" ht="15" customHeight="1" spans="1:6">
      <c r="A1776" s="57"/>
      <c r="B1776" s="57" t="s">
        <v>1290</v>
      </c>
      <c r="C1776" s="57" t="s">
        <v>184</v>
      </c>
      <c r="D1776" s="84">
        <f t="shared" si="212"/>
        <v>6.225</v>
      </c>
      <c r="E1776" s="88">
        <f>(E1759*7.2+E1757*0)</f>
        <v>2.376</v>
      </c>
      <c r="F1776" s="113">
        <f>D1776*E1776</f>
        <v>14.7906</v>
      </c>
    </row>
    <row r="1777" ht="15" customHeight="1" spans="1:6">
      <c r="A1777" s="57"/>
      <c r="B1777" s="57" t="s">
        <v>1174</v>
      </c>
      <c r="C1777" s="57" t="s">
        <v>184</v>
      </c>
      <c r="D1777" s="84">
        <f t="shared" si="212"/>
        <v>4.86</v>
      </c>
      <c r="E1777" s="88"/>
      <c r="F1777" s="113">
        <f>D1777*E1777</f>
        <v>0</v>
      </c>
    </row>
    <row r="1778" ht="15" customHeight="1" spans="1:6">
      <c r="A1778" s="57" t="s">
        <v>327</v>
      </c>
      <c r="B1778" s="57" t="s">
        <v>976</v>
      </c>
      <c r="C1778" s="195">
        <f>C1732</f>
        <v>0.09</v>
      </c>
      <c r="D1778" s="84"/>
      <c r="E1778" s="84">
        <f>F1769+F1768+F1767+F1740</f>
        <v>48714.8512416219</v>
      </c>
      <c r="F1778" s="84">
        <f>E1778*C1778</f>
        <v>4384.33661174597</v>
      </c>
    </row>
    <row r="1779" ht="15" customHeight="1" spans="1:6">
      <c r="A1779" s="57"/>
      <c r="B1779" s="57" t="s">
        <v>984</v>
      </c>
      <c r="C1779" s="195"/>
      <c r="D1779" s="84"/>
      <c r="E1779" s="84"/>
      <c r="F1779" s="84">
        <f>(F1740+F1767+F1768+F1769+F1778)*取费表!H4</f>
        <v>1592.97563560103</v>
      </c>
    </row>
    <row r="1780" ht="15" customHeight="1" spans="1:6">
      <c r="A1780" s="57"/>
      <c r="B1780" s="57" t="s">
        <v>278</v>
      </c>
      <c r="C1780" s="57"/>
      <c r="D1780" s="84"/>
      <c r="E1780" s="84"/>
      <c r="F1780" s="84">
        <f>F1778+E1778+F1779</f>
        <v>54692.1634889689</v>
      </c>
    </row>
    <row r="1781" ht="15" customHeight="1" spans="1:6">
      <c r="A1781" s="176" t="s">
        <v>1204</v>
      </c>
      <c r="B1781" s="175"/>
      <c r="C1781" s="175"/>
      <c r="D1781" s="175"/>
      <c r="E1781" s="175"/>
      <c r="F1781" s="175"/>
    </row>
    <row r="1782" ht="15" customHeight="1" spans="1:6">
      <c r="A1782" s="242" t="s">
        <v>1346</v>
      </c>
      <c r="C1782" s="243"/>
      <c r="D1782" s="243"/>
      <c r="E1782" s="243"/>
      <c r="F1782" s="243"/>
    </row>
    <row r="1783" ht="15" customHeight="1" spans="1:6">
      <c r="A1783" s="190" t="s">
        <v>1342</v>
      </c>
      <c r="B1783" s="191"/>
      <c r="C1783" s="243"/>
      <c r="D1783" s="243"/>
      <c r="E1783" s="191" t="s">
        <v>1159</v>
      </c>
      <c r="F1783" s="191"/>
    </row>
    <row r="1784" ht="15" customHeight="1" spans="1:6">
      <c r="A1784" s="117" t="s">
        <v>1218</v>
      </c>
      <c r="B1784" s="192"/>
      <c r="C1784" s="192"/>
      <c r="D1784" s="192"/>
      <c r="E1784" s="192"/>
      <c r="F1784" s="118"/>
    </row>
    <row r="1785" ht="15" customHeight="1" spans="1:6">
      <c r="A1785" s="57" t="s">
        <v>354</v>
      </c>
      <c r="B1785" s="57" t="s">
        <v>956</v>
      </c>
      <c r="C1785" s="57" t="s">
        <v>52</v>
      </c>
      <c r="D1785" s="57" t="s">
        <v>855</v>
      </c>
      <c r="E1785" s="57" t="s">
        <v>53</v>
      </c>
      <c r="F1785" s="57" t="s">
        <v>306</v>
      </c>
    </row>
    <row r="1786" ht="15" customHeight="1" spans="1:6">
      <c r="A1786" s="57" t="s">
        <v>959</v>
      </c>
      <c r="B1786" s="57" t="s">
        <v>960</v>
      </c>
      <c r="C1786" s="57"/>
      <c r="D1786" s="57"/>
      <c r="E1786" s="57"/>
      <c r="F1786" s="84">
        <f>F1787+F1811+F1812</f>
        <v>34011.5267692325</v>
      </c>
    </row>
    <row r="1787" ht="15" customHeight="1" spans="1:6">
      <c r="A1787" s="57" t="s">
        <v>59</v>
      </c>
      <c r="B1787" s="57" t="s">
        <v>957</v>
      </c>
      <c r="C1787" s="57"/>
      <c r="D1787" s="57"/>
      <c r="E1787" s="57"/>
      <c r="F1787" s="84">
        <f>F1788+F1791+F1801+F1808</f>
        <v>32453.7469172066</v>
      </c>
    </row>
    <row r="1788" ht="15" customHeight="1" spans="1:6">
      <c r="A1788" s="57">
        <v>1</v>
      </c>
      <c r="B1788" s="57" t="s">
        <v>964</v>
      </c>
      <c r="C1788" s="57" t="s">
        <v>965</v>
      </c>
      <c r="D1788" s="84"/>
      <c r="E1788" s="113">
        <f>SUM(E1789:E1790)</f>
        <v>1059.8</v>
      </c>
      <c r="F1788" s="113">
        <f>SUM(F1789:F1790)</f>
        <v>7794.277</v>
      </c>
    </row>
    <row r="1789" s="307" customFormat="1" ht="15" customHeight="1" spans="1:6">
      <c r="A1789" s="57"/>
      <c r="B1789" s="57" t="s">
        <v>966</v>
      </c>
      <c r="C1789" s="57" t="s">
        <v>965</v>
      </c>
      <c r="D1789" s="113">
        <f>D1743</f>
        <v>8.1</v>
      </c>
      <c r="E1789" s="92">
        <v>720.7</v>
      </c>
      <c r="F1789" s="113">
        <f>D1789*E1789</f>
        <v>5837.67</v>
      </c>
    </row>
    <row r="1790" s="307" customFormat="1" ht="15" customHeight="1" spans="1:6">
      <c r="A1790" s="57"/>
      <c r="B1790" s="57" t="s">
        <v>968</v>
      </c>
      <c r="C1790" s="57" t="s">
        <v>965</v>
      </c>
      <c r="D1790" s="113">
        <f>D1744</f>
        <v>5.77</v>
      </c>
      <c r="E1790" s="92">
        <v>339.1</v>
      </c>
      <c r="F1790" s="113">
        <f>D1790*E1790</f>
        <v>1956.607</v>
      </c>
    </row>
    <row r="1791" ht="15" customHeight="1" spans="1:6">
      <c r="A1791" s="57">
        <v>2</v>
      </c>
      <c r="B1791" s="57" t="s">
        <v>1219</v>
      </c>
      <c r="C1791" s="57"/>
      <c r="D1791" s="84"/>
      <c r="E1791" s="84"/>
      <c r="F1791" s="84">
        <f>SUM(F1792:F1800)</f>
        <v>21944.94028441</v>
      </c>
    </row>
    <row r="1792" ht="15" customHeight="1" spans="1:6">
      <c r="A1792" s="57"/>
      <c r="B1792" s="244" t="s">
        <v>1272</v>
      </c>
      <c r="C1792" s="244" t="s">
        <v>1188</v>
      </c>
      <c r="D1792" s="84">
        <f t="shared" ref="D1792:D1797" si="213">D1746</f>
        <v>2232.665025</v>
      </c>
      <c r="E1792" s="84">
        <v>0.02</v>
      </c>
      <c r="F1792" s="84">
        <f t="shared" ref="F1792:F1799" si="214">D1792*E1792</f>
        <v>44.6533005</v>
      </c>
    </row>
    <row r="1793" ht="15" customHeight="1" spans="1:6">
      <c r="A1793" s="57"/>
      <c r="B1793" s="244" t="s">
        <v>1334</v>
      </c>
      <c r="C1793" s="244" t="s">
        <v>184</v>
      </c>
      <c r="D1793" s="84">
        <f t="shared" si="213"/>
        <v>4.44</v>
      </c>
      <c r="E1793" s="84">
        <v>76.36</v>
      </c>
      <c r="F1793" s="84">
        <f t="shared" si="214"/>
        <v>339.0384</v>
      </c>
    </row>
    <row r="1794" ht="15" customHeight="1" spans="1:6">
      <c r="A1794" s="57"/>
      <c r="B1794" s="244" t="s">
        <v>1274</v>
      </c>
      <c r="C1794" s="244" t="s">
        <v>184</v>
      </c>
      <c r="D1794" s="84">
        <f t="shared" si="213"/>
        <v>4.5</v>
      </c>
      <c r="E1794" s="84">
        <v>54.71</v>
      </c>
      <c r="F1794" s="84">
        <f t="shared" si="214"/>
        <v>246.195</v>
      </c>
    </row>
    <row r="1795" ht="15" customHeight="1" spans="1:6">
      <c r="A1795" s="57"/>
      <c r="B1795" s="244" t="s">
        <v>1275</v>
      </c>
      <c r="C1795" s="244" t="s">
        <v>184</v>
      </c>
      <c r="D1795" s="84">
        <f t="shared" si="213"/>
        <v>5.15</v>
      </c>
      <c r="E1795" s="84">
        <v>43.7</v>
      </c>
      <c r="F1795" s="84">
        <f t="shared" si="214"/>
        <v>225.055</v>
      </c>
    </row>
    <row r="1796" ht="15" customHeight="1" spans="1:6">
      <c r="A1796" s="57"/>
      <c r="B1796" s="244" t="s">
        <v>1277</v>
      </c>
      <c r="C1796" s="244" t="s">
        <v>184</v>
      </c>
      <c r="D1796" s="84">
        <f t="shared" si="213"/>
        <v>6.39</v>
      </c>
      <c r="E1796" s="84">
        <v>287.67</v>
      </c>
      <c r="F1796" s="84">
        <f t="shared" si="214"/>
        <v>1838.2113</v>
      </c>
    </row>
    <row r="1797" ht="15" customHeight="1" spans="1:6">
      <c r="A1797" s="57"/>
      <c r="B1797" s="244" t="s">
        <v>1278</v>
      </c>
      <c r="C1797" s="244" t="s">
        <v>184</v>
      </c>
      <c r="D1797" s="84">
        <f t="shared" si="213"/>
        <v>5.97</v>
      </c>
      <c r="E1797" s="84">
        <v>6.06</v>
      </c>
      <c r="F1797" s="84">
        <f t="shared" si="214"/>
        <v>36.1782</v>
      </c>
    </row>
    <row r="1798" ht="15" customHeight="1" spans="1:6">
      <c r="A1798" s="57"/>
      <c r="B1798" s="57" t="s">
        <v>1279</v>
      </c>
      <c r="C1798" s="57" t="s">
        <v>1188</v>
      </c>
      <c r="D1798" s="84">
        <f>配合比!M9</f>
        <v>183.0000433</v>
      </c>
      <c r="E1798" s="84">
        <v>103</v>
      </c>
      <c r="F1798" s="84">
        <f t="shared" si="214"/>
        <v>18849.0044599</v>
      </c>
    </row>
    <row r="1799" ht="15" customHeight="1" spans="1:6">
      <c r="A1799" s="57"/>
      <c r="B1799" s="57" t="s">
        <v>1022</v>
      </c>
      <c r="C1799" s="57" t="s">
        <v>1188</v>
      </c>
      <c r="D1799" s="84">
        <f>材料预算价!K14</f>
        <v>4.37</v>
      </c>
      <c r="E1799" s="84">
        <v>70</v>
      </c>
      <c r="F1799" s="84">
        <f t="shared" si="214"/>
        <v>305.9</v>
      </c>
    </row>
    <row r="1800" ht="15" customHeight="1" spans="1:6">
      <c r="A1800" s="57"/>
      <c r="B1800" s="57" t="s">
        <v>1163</v>
      </c>
      <c r="C1800" s="59" t="s">
        <v>423</v>
      </c>
      <c r="D1800" s="84">
        <f>F1792+F1793+F1794+F1795+F1796+F1797+F1799</f>
        <v>3035.2312005</v>
      </c>
      <c r="E1800" s="84">
        <v>2</v>
      </c>
      <c r="F1800" s="84">
        <f>D1800*E1800/100</f>
        <v>60.70462401</v>
      </c>
    </row>
    <row r="1801" ht="15" customHeight="1" spans="1:6">
      <c r="A1801" s="57">
        <v>3</v>
      </c>
      <c r="B1801" s="57" t="s">
        <v>1171</v>
      </c>
      <c r="C1801" s="57"/>
      <c r="D1801" s="84"/>
      <c r="E1801" s="84"/>
      <c r="F1801" s="84">
        <f>SUM(F1802:F1807)</f>
        <v>728.118212123853</v>
      </c>
    </row>
    <row r="1802" ht="15" customHeight="1" spans="1:6">
      <c r="A1802" s="57"/>
      <c r="B1802" s="57" t="s">
        <v>1284</v>
      </c>
      <c r="C1802" s="57" t="s">
        <v>988</v>
      </c>
      <c r="D1802" s="84">
        <f t="shared" ref="D1802:D1806" si="215">D1756</f>
        <v>1.80552692461109</v>
      </c>
      <c r="E1802" s="84">
        <v>20</v>
      </c>
      <c r="F1802" s="84">
        <f t="shared" ref="F1802:F1806" si="216">D1802*E1802</f>
        <v>36.1105384922218</v>
      </c>
    </row>
    <row r="1803" ht="15" customHeight="1" spans="1:6">
      <c r="A1803" s="57"/>
      <c r="B1803" s="248" t="s">
        <v>1343</v>
      </c>
      <c r="C1803" s="57" t="s">
        <v>988</v>
      </c>
      <c r="D1803" s="84">
        <f t="shared" si="215"/>
        <v>23.7459521340247</v>
      </c>
      <c r="E1803" s="84">
        <v>18.54</v>
      </c>
      <c r="F1803" s="84">
        <f t="shared" si="216"/>
        <v>440.249952564819</v>
      </c>
    </row>
    <row r="1804" ht="15" customHeight="1" spans="1:6">
      <c r="A1804" s="57"/>
      <c r="B1804" s="57" t="s">
        <v>1190</v>
      </c>
      <c r="C1804" s="57" t="s">
        <v>988</v>
      </c>
      <c r="D1804" s="84">
        <f t="shared" si="215"/>
        <v>0.813242919824491</v>
      </c>
      <c r="E1804" s="204">
        <v>83</v>
      </c>
      <c r="F1804" s="84">
        <f t="shared" si="216"/>
        <v>67.4991623454328</v>
      </c>
    </row>
    <row r="1805" ht="15" customHeight="1" spans="1:6">
      <c r="A1805" s="57"/>
      <c r="B1805" s="57" t="s">
        <v>1280</v>
      </c>
      <c r="C1805" s="57" t="s">
        <v>988</v>
      </c>
      <c r="D1805" s="84">
        <f t="shared" si="215"/>
        <v>49.389824491424</v>
      </c>
      <c r="E1805" s="204">
        <v>0.33</v>
      </c>
      <c r="F1805" s="84">
        <f t="shared" si="216"/>
        <v>16.2986420821699</v>
      </c>
    </row>
    <row r="1806" ht="15" customHeight="1" spans="1:6">
      <c r="A1806" s="57"/>
      <c r="B1806" s="244" t="s">
        <v>1344</v>
      </c>
      <c r="C1806" s="57" t="s">
        <v>988</v>
      </c>
      <c r="D1806" s="84">
        <f t="shared" si="215"/>
        <v>8.0471858795373</v>
      </c>
      <c r="E1806" s="204">
        <v>9.07</v>
      </c>
      <c r="F1806" s="84">
        <f t="shared" si="216"/>
        <v>72.9879759274033</v>
      </c>
    </row>
    <row r="1807" ht="15" customHeight="1" spans="1:6">
      <c r="A1807" s="57"/>
      <c r="B1807" s="57" t="s">
        <v>1223</v>
      </c>
      <c r="C1807" s="59" t="s">
        <v>423</v>
      </c>
      <c r="D1807" s="84">
        <f>SUM(F1802:F1806)</f>
        <v>633.146271412046</v>
      </c>
      <c r="E1807" s="84">
        <v>15</v>
      </c>
      <c r="F1807" s="84">
        <f>D1807*E1807/100</f>
        <v>94.9719407118069</v>
      </c>
    </row>
    <row r="1808" s="309" customFormat="1" ht="15" customHeight="1" spans="1:6">
      <c r="A1808" s="55">
        <v>4</v>
      </c>
      <c r="B1808" s="55" t="s">
        <v>1285</v>
      </c>
      <c r="C1808" s="253"/>
      <c r="D1808" s="254"/>
      <c r="E1808" s="254"/>
      <c r="F1808" s="254">
        <f>SUM(F1809:F1810)</f>
        <v>1986.41142067271</v>
      </c>
    </row>
    <row r="1809" s="307" customFormat="1" ht="15" customHeight="1" spans="1:6">
      <c r="A1809" s="57"/>
      <c r="B1809" s="245" t="s">
        <v>1286</v>
      </c>
      <c r="C1809" s="245" t="s">
        <v>1188</v>
      </c>
      <c r="D1809" s="246">
        <f>$F$2253/100</f>
        <v>5.03319379720782</v>
      </c>
      <c r="E1809" s="246">
        <v>103</v>
      </c>
      <c r="F1809" s="84">
        <f>D1809*E1809</f>
        <v>518.418961112405</v>
      </c>
    </row>
    <row r="1810" s="307" customFormat="1" ht="15" customHeight="1" spans="1:6">
      <c r="A1810" s="57"/>
      <c r="B1810" s="245" t="s">
        <v>1287</v>
      </c>
      <c r="C1810" s="245" t="s">
        <v>1188</v>
      </c>
      <c r="D1810" s="246">
        <f>$F$2271/100</f>
        <v>14.2523539763136</v>
      </c>
      <c r="E1810" s="246">
        <v>103</v>
      </c>
      <c r="F1810" s="84">
        <f>D1810*E1810</f>
        <v>1467.99245956031</v>
      </c>
    </row>
    <row r="1811" s="307" customFormat="1" ht="15" customHeight="1" spans="1:6">
      <c r="A1811" s="57" t="s">
        <v>70</v>
      </c>
      <c r="B1811" s="57" t="s">
        <v>977</v>
      </c>
      <c r="C1811" s="194">
        <f>取费表!$C$7</f>
        <v>0.048</v>
      </c>
      <c r="D1811" s="246"/>
      <c r="E1811" s="246">
        <f>F1787</f>
        <v>32453.7469172066</v>
      </c>
      <c r="F1811" s="84">
        <f t="shared" ref="F1811:F1814" si="217">E1811*C1811</f>
        <v>1557.77985202592</v>
      </c>
    </row>
    <row r="1812" s="307" customFormat="1" ht="15" customHeight="1" spans="1:6">
      <c r="A1812" s="57"/>
      <c r="B1812" s="57"/>
      <c r="C1812" s="194"/>
      <c r="D1812" s="246"/>
      <c r="E1812" s="246"/>
      <c r="F1812" s="84"/>
    </row>
    <row r="1813" s="307" customFormat="1" ht="15" customHeight="1" spans="1:6">
      <c r="A1813" s="57" t="s">
        <v>979</v>
      </c>
      <c r="B1813" s="57" t="s">
        <v>973</v>
      </c>
      <c r="C1813" s="194">
        <f>取费表!$E$7</f>
        <v>0.07</v>
      </c>
      <c r="D1813" s="246"/>
      <c r="E1813" s="246">
        <f>F1786</f>
        <v>34011.5267692325</v>
      </c>
      <c r="F1813" s="84">
        <f t="shared" si="217"/>
        <v>2380.80687384627</v>
      </c>
    </row>
    <row r="1814" s="307" customFormat="1" ht="15" customHeight="1" spans="1:6">
      <c r="A1814" s="57" t="s">
        <v>162</v>
      </c>
      <c r="B1814" s="57" t="s">
        <v>980</v>
      </c>
      <c r="C1814" s="194">
        <f>取费表!$F$7</f>
        <v>0.07</v>
      </c>
      <c r="D1814" s="246"/>
      <c r="E1814" s="246">
        <f>F1813+F1786</f>
        <v>36392.3336430788</v>
      </c>
      <c r="F1814" s="84">
        <f t="shared" si="217"/>
        <v>2547.46335501551</v>
      </c>
    </row>
    <row r="1815" s="310" customFormat="1" ht="15" customHeight="1" spans="1:6">
      <c r="A1815" s="55" t="s">
        <v>214</v>
      </c>
      <c r="B1815" s="55" t="s">
        <v>1173</v>
      </c>
      <c r="C1815" s="253"/>
      <c r="D1815" s="254"/>
      <c r="E1815" s="55"/>
      <c r="F1815" s="255">
        <f>F1816+F1821</f>
        <v>9950.26290361686</v>
      </c>
    </row>
    <row r="1816" ht="15" customHeight="1" spans="1:6">
      <c r="A1816" s="57">
        <v>1</v>
      </c>
      <c r="B1816" s="57" t="s">
        <v>1288</v>
      </c>
      <c r="C1816" s="59"/>
      <c r="D1816" s="84"/>
      <c r="E1816" s="57"/>
      <c r="F1816" s="113">
        <f>SUM(F1817:F1820)</f>
        <v>9935.47230361686</v>
      </c>
    </row>
    <row r="1817" ht="15" customHeight="1" spans="1:6">
      <c r="A1817" s="57"/>
      <c r="B1817" s="57" t="s">
        <v>1347</v>
      </c>
      <c r="C1817" s="57" t="s">
        <v>1188</v>
      </c>
      <c r="D1817" s="84">
        <v>31</v>
      </c>
      <c r="E1817" s="84"/>
      <c r="F1817" s="113">
        <f>D1817*E1817</f>
        <v>0</v>
      </c>
    </row>
    <row r="1818" ht="15" customHeight="1" spans="1:6">
      <c r="A1818" s="57"/>
      <c r="B1818" s="57" t="s">
        <v>1141</v>
      </c>
      <c r="C1818" s="57" t="s">
        <v>69</v>
      </c>
      <c r="D1818" s="84">
        <f>材料预算价!K5-材料预算价!L5</f>
        <v>156.64017</v>
      </c>
      <c r="E1818" s="84">
        <f>E1798*配合比!E9</f>
        <v>35.641914</v>
      </c>
      <c r="F1818" s="113">
        <f t="shared" ref="F1818:F1820" si="218">D1818*E1818</f>
        <v>5582.95546808538</v>
      </c>
    </row>
    <row r="1819" ht="15" customHeight="1" spans="1:6">
      <c r="A1819" s="57"/>
      <c r="B1819" s="57" t="s">
        <v>1142</v>
      </c>
      <c r="C1819" s="57" t="s">
        <v>1188</v>
      </c>
      <c r="D1819" s="84">
        <f t="shared" ref="D1819:D1823" si="219">D1773</f>
        <v>44.826214</v>
      </c>
      <c r="E1819" s="84">
        <f>E1798*配合比!G9</f>
        <v>62.17904</v>
      </c>
      <c r="F1819" s="113">
        <f t="shared" si="218"/>
        <v>2787.25095335456</v>
      </c>
    </row>
    <row r="1820" ht="15" customHeight="1" spans="1:6">
      <c r="A1820" s="57"/>
      <c r="B1820" s="57" t="s">
        <v>1110</v>
      </c>
      <c r="C1820" s="57" t="s">
        <v>1188</v>
      </c>
      <c r="D1820" s="84">
        <f>材料预算价!K8-材料预算价!L8</f>
        <v>20.60443</v>
      </c>
      <c r="E1820" s="84">
        <f>E1798*配合比!I9</f>
        <v>75.967444</v>
      </c>
      <c r="F1820" s="113">
        <f t="shared" si="218"/>
        <v>1565.26588217692</v>
      </c>
    </row>
    <row r="1821" ht="15" customHeight="1" spans="1:6">
      <c r="A1821" s="57">
        <v>2</v>
      </c>
      <c r="B1821" s="57" t="s">
        <v>1289</v>
      </c>
      <c r="C1821" s="57"/>
      <c r="D1821" s="84"/>
      <c r="E1821" s="88"/>
      <c r="F1821" s="113">
        <f>SUM(F1822:F1823)</f>
        <v>14.7906</v>
      </c>
    </row>
    <row r="1822" ht="15" customHeight="1" spans="1:6">
      <c r="A1822" s="57"/>
      <c r="B1822" s="57" t="s">
        <v>1290</v>
      </c>
      <c r="C1822" s="57" t="s">
        <v>184</v>
      </c>
      <c r="D1822" s="84">
        <f t="shared" si="219"/>
        <v>6.225</v>
      </c>
      <c r="E1822" s="88">
        <f>(E1805*7.2+E1803*0)</f>
        <v>2.376</v>
      </c>
      <c r="F1822" s="113">
        <f>D1822*E1822</f>
        <v>14.7906</v>
      </c>
    </row>
    <row r="1823" ht="15" customHeight="1" spans="1:6">
      <c r="A1823" s="57"/>
      <c r="B1823" s="57" t="s">
        <v>1174</v>
      </c>
      <c r="C1823" s="57" t="s">
        <v>184</v>
      </c>
      <c r="D1823" s="84">
        <f t="shared" si="219"/>
        <v>4.86</v>
      </c>
      <c r="E1823" s="88"/>
      <c r="F1823" s="113">
        <f>D1823*E1823</f>
        <v>0</v>
      </c>
    </row>
    <row r="1824" ht="15" customHeight="1" spans="1:6">
      <c r="A1824" s="57" t="s">
        <v>327</v>
      </c>
      <c r="B1824" s="57" t="s">
        <v>976</v>
      </c>
      <c r="C1824" s="195">
        <f>C1778</f>
        <v>0.09</v>
      </c>
      <c r="D1824" s="84"/>
      <c r="E1824" s="84">
        <f>F1815+F1814+F1813+F1786</f>
        <v>48890.0599017111</v>
      </c>
      <c r="F1824" s="84">
        <f>E1824*C1824</f>
        <v>4400.105391154</v>
      </c>
    </row>
    <row r="1825" ht="15" customHeight="1" spans="1:6">
      <c r="A1825" s="57"/>
      <c r="B1825" s="57" t="s">
        <v>984</v>
      </c>
      <c r="C1825" s="195"/>
      <c r="D1825" s="84"/>
      <c r="E1825" s="84"/>
      <c r="F1825" s="84">
        <f>(F1786+F1813+F1814+F1815+F1824)*取费表!H4</f>
        <v>1598.70495878595</v>
      </c>
    </row>
    <row r="1826" ht="15" customHeight="1" spans="1:6">
      <c r="A1826" s="57"/>
      <c r="B1826" s="57" t="s">
        <v>278</v>
      </c>
      <c r="C1826" s="57"/>
      <c r="D1826" s="84"/>
      <c r="E1826" s="84"/>
      <c r="F1826" s="84">
        <f>F1824+E1824+F1825</f>
        <v>54888.8702516511</v>
      </c>
    </row>
    <row r="1827" ht="16.5" customHeight="1" spans="1:6">
      <c r="A1827" s="176" t="s">
        <v>1204</v>
      </c>
      <c r="B1827" s="175"/>
      <c r="C1827" s="175"/>
      <c r="D1827" s="175"/>
      <c r="E1827" s="175"/>
      <c r="F1827" s="175"/>
    </row>
    <row r="1828" ht="16.5" customHeight="1" spans="1:6">
      <c r="A1828" s="242" t="s">
        <v>1348</v>
      </c>
      <c r="C1828" s="243"/>
      <c r="D1828" s="243"/>
      <c r="E1828" s="243"/>
      <c r="F1828" s="243"/>
    </row>
    <row r="1829" ht="16.5" customHeight="1" spans="1:6">
      <c r="A1829" s="190" t="s">
        <v>1349</v>
      </c>
      <c r="B1829" s="191"/>
      <c r="C1829" s="243"/>
      <c r="D1829" s="243"/>
      <c r="E1829" s="191" t="s">
        <v>1159</v>
      </c>
      <c r="F1829" s="191"/>
    </row>
    <row r="1830" ht="16.5" customHeight="1" spans="1:6">
      <c r="A1830" s="117" t="s">
        <v>1218</v>
      </c>
      <c r="B1830" s="192"/>
      <c r="C1830" s="192"/>
      <c r="D1830" s="192"/>
      <c r="E1830" s="192"/>
      <c r="F1830" s="118"/>
    </row>
    <row r="1831" ht="16.5" customHeight="1" spans="1:6">
      <c r="A1831" s="57" t="s">
        <v>354</v>
      </c>
      <c r="B1831" s="57" t="s">
        <v>956</v>
      </c>
      <c r="C1831" s="57" t="s">
        <v>52</v>
      </c>
      <c r="D1831" s="57" t="s">
        <v>855</v>
      </c>
      <c r="E1831" s="57" t="s">
        <v>53</v>
      </c>
      <c r="F1831" s="57" t="s">
        <v>306</v>
      </c>
    </row>
    <row r="1832" ht="16.5" customHeight="1" spans="1:6">
      <c r="A1832" s="57" t="s">
        <v>959</v>
      </c>
      <c r="B1832" s="57" t="s">
        <v>960</v>
      </c>
      <c r="C1832" s="57"/>
      <c r="D1832" s="57"/>
      <c r="E1832" s="57"/>
      <c r="F1832" s="84">
        <f>F1833+F1856+F1857</f>
        <v>35906.4777139893</v>
      </c>
    </row>
    <row r="1833" ht="16.5" customHeight="1" spans="1:6">
      <c r="A1833" s="57" t="s">
        <v>59</v>
      </c>
      <c r="B1833" s="57" t="s">
        <v>957</v>
      </c>
      <c r="C1833" s="57"/>
      <c r="D1833" s="57"/>
      <c r="E1833" s="57"/>
      <c r="F1833" s="84">
        <f>F1834+F1837+F1847+F1853</f>
        <v>34261.9062156387</v>
      </c>
    </row>
    <row r="1834" ht="16.5" customHeight="1" spans="1:6">
      <c r="A1834" s="57">
        <v>1</v>
      </c>
      <c r="B1834" s="57" t="s">
        <v>964</v>
      </c>
      <c r="C1834" s="57" t="s">
        <v>965</v>
      </c>
      <c r="D1834" s="84"/>
      <c r="E1834" s="113">
        <f>SUM(E1835:E1836)</f>
        <v>1280.3</v>
      </c>
      <c r="F1834" s="113">
        <f>SUM(F1835:F1836)</f>
        <v>9475.477</v>
      </c>
    </row>
    <row r="1835" ht="16.5" customHeight="1" spans="1:6">
      <c r="A1835" s="57"/>
      <c r="B1835" s="57" t="s">
        <v>966</v>
      </c>
      <c r="C1835" s="57" t="s">
        <v>965</v>
      </c>
      <c r="D1835" s="113">
        <f t="shared" ref="D1835:D1838" si="220">D1789</f>
        <v>8.1</v>
      </c>
      <c r="E1835" s="92">
        <v>896.2</v>
      </c>
      <c r="F1835" s="113">
        <f>D1835*E1835</f>
        <v>7259.22</v>
      </c>
    </row>
    <row r="1836" ht="16.5" customHeight="1" spans="1:6">
      <c r="A1836" s="57"/>
      <c r="B1836" s="57" t="s">
        <v>968</v>
      </c>
      <c r="C1836" s="57" t="s">
        <v>965</v>
      </c>
      <c r="D1836" s="113">
        <f t="shared" si="220"/>
        <v>5.77</v>
      </c>
      <c r="E1836" s="92">
        <v>384.1</v>
      </c>
      <c r="F1836" s="113">
        <f>D1836*E1836</f>
        <v>2216.257</v>
      </c>
    </row>
    <row r="1837" ht="16.5" customHeight="1" spans="1:6">
      <c r="A1837" s="57">
        <v>2</v>
      </c>
      <c r="B1837" s="57" t="s">
        <v>1219</v>
      </c>
      <c r="C1837" s="57"/>
      <c r="D1837" s="84"/>
      <c r="E1837" s="84"/>
      <c r="F1837" s="84">
        <f>SUM(F1838:F1846)</f>
        <v>22124.521574175</v>
      </c>
    </row>
    <row r="1838" ht="16.5" customHeight="1" spans="1:6">
      <c r="A1838" s="57"/>
      <c r="B1838" s="244" t="s">
        <v>1272</v>
      </c>
      <c r="C1838" s="244" t="s">
        <v>1188</v>
      </c>
      <c r="D1838" s="84">
        <f t="shared" si="220"/>
        <v>2232.665025</v>
      </c>
      <c r="E1838" s="84">
        <v>0.85</v>
      </c>
      <c r="F1838" s="84">
        <f t="shared" ref="F1838:F1845" si="221">D1838*E1838</f>
        <v>1897.76527125</v>
      </c>
    </row>
    <row r="1839" ht="16.5" customHeight="1" spans="1:6">
      <c r="A1839" s="57"/>
      <c r="B1839" s="244" t="s">
        <v>1334</v>
      </c>
      <c r="C1839" s="244" t="s">
        <v>184</v>
      </c>
      <c r="D1839" s="84">
        <v>4.44</v>
      </c>
      <c r="E1839" s="84">
        <v>29.33</v>
      </c>
      <c r="F1839" s="84">
        <f t="shared" si="221"/>
        <v>130.2252</v>
      </c>
    </row>
    <row r="1840" ht="16.5" customHeight="1" spans="1:6">
      <c r="A1840" s="57"/>
      <c r="B1840" s="244" t="s">
        <v>1274</v>
      </c>
      <c r="C1840" s="244" t="s">
        <v>184</v>
      </c>
      <c r="D1840" s="84">
        <v>4.5</v>
      </c>
      <c r="E1840" s="84">
        <v>70.09</v>
      </c>
      <c r="F1840" s="84">
        <f t="shared" si="221"/>
        <v>315.405</v>
      </c>
    </row>
    <row r="1841" ht="16.5" customHeight="1" spans="1:6">
      <c r="A1841" s="57"/>
      <c r="B1841" s="244" t="s">
        <v>1275</v>
      </c>
      <c r="C1841" s="244" t="s">
        <v>184</v>
      </c>
      <c r="D1841" s="84">
        <v>5.15</v>
      </c>
      <c r="E1841" s="84">
        <v>94.16</v>
      </c>
      <c r="F1841" s="84">
        <f t="shared" si="221"/>
        <v>484.924</v>
      </c>
    </row>
    <row r="1842" ht="16.5" customHeight="1" spans="1:6">
      <c r="A1842" s="57"/>
      <c r="B1842" s="244" t="s">
        <v>1276</v>
      </c>
      <c r="C1842" s="244" t="s">
        <v>184</v>
      </c>
      <c r="D1842" s="84">
        <v>4.5</v>
      </c>
      <c r="E1842" s="84">
        <v>111.55</v>
      </c>
      <c r="F1842" s="84">
        <f t="shared" si="221"/>
        <v>501.975</v>
      </c>
    </row>
    <row r="1843" ht="16.5" customHeight="1" spans="1:6">
      <c r="A1843" s="57"/>
      <c r="B1843" s="244" t="s">
        <v>1278</v>
      </c>
      <c r="C1843" s="244" t="s">
        <v>184</v>
      </c>
      <c r="D1843" s="84">
        <v>5.97</v>
      </c>
      <c r="E1843" s="84">
        <v>2.32</v>
      </c>
      <c r="F1843" s="84">
        <f t="shared" si="221"/>
        <v>13.8504</v>
      </c>
    </row>
    <row r="1844" ht="16.5" customHeight="1" spans="1:6">
      <c r="A1844" s="57"/>
      <c r="B1844" s="57" t="s">
        <v>1279</v>
      </c>
      <c r="C1844" s="57" t="s">
        <v>1188</v>
      </c>
      <c r="D1844" s="84">
        <f>配合比!M8</f>
        <v>176.4913185</v>
      </c>
      <c r="E1844" s="84">
        <v>103</v>
      </c>
      <c r="F1844" s="84">
        <f t="shared" si="221"/>
        <v>18178.6058055</v>
      </c>
    </row>
    <row r="1845" ht="16.5" customHeight="1" spans="1:6">
      <c r="A1845" s="57"/>
      <c r="B1845" s="57" t="s">
        <v>1022</v>
      </c>
      <c r="C1845" s="57" t="s">
        <v>1188</v>
      </c>
      <c r="D1845" s="84">
        <f t="shared" ref="D1845:D1850" si="222">D1799</f>
        <v>4.37</v>
      </c>
      <c r="E1845" s="84">
        <v>120</v>
      </c>
      <c r="F1845" s="84">
        <f t="shared" si="221"/>
        <v>524.4</v>
      </c>
    </row>
    <row r="1846" ht="16.5" customHeight="1" spans="1:6">
      <c r="A1846" s="57"/>
      <c r="B1846" s="57" t="s">
        <v>1163</v>
      </c>
      <c r="C1846" s="59" t="s">
        <v>423</v>
      </c>
      <c r="D1846" s="84">
        <f>F1838+F1839+F1840+F1841+F1842+F1843+F1845</f>
        <v>3868.54487125</v>
      </c>
      <c r="E1846" s="84">
        <v>2</v>
      </c>
      <c r="F1846" s="84">
        <f>D1846*E1846/100</f>
        <v>77.370897425</v>
      </c>
    </row>
    <row r="1847" ht="16.5" customHeight="1" spans="1:6">
      <c r="A1847" s="57">
        <v>3</v>
      </c>
      <c r="B1847" s="57" t="s">
        <v>1171</v>
      </c>
      <c r="C1847" s="57"/>
      <c r="D1847" s="84"/>
      <c r="E1847" s="84"/>
      <c r="F1847" s="84">
        <f>SUM(F1848:F1852)</f>
        <v>675.496220790985</v>
      </c>
    </row>
    <row r="1848" ht="16.5" customHeight="1" spans="1:6">
      <c r="A1848" s="57"/>
      <c r="B1848" s="57" t="s">
        <v>1284</v>
      </c>
      <c r="C1848" s="57" t="s">
        <v>988</v>
      </c>
      <c r="D1848" s="84">
        <f t="shared" si="222"/>
        <v>1.80552692461109</v>
      </c>
      <c r="E1848" s="84">
        <v>44.5</v>
      </c>
      <c r="F1848" s="84">
        <f t="shared" ref="F1848:F1851" si="223">D1848*E1848</f>
        <v>80.3459481451935</v>
      </c>
    </row>
    <row r="1849" ht="16.5" customHeight="1" spans="1:6">
      <c r="A1849" s="57"/>
      <c r="B1849" s="248" t="s">
        <v>1343</v>
      </c>
      <c r="C1849" s="57" t="s">
        <v>988</v>
      </c>
      <c r="D1849" s="84">
        <f t="shared" si="222"/>
        <v>23.7459521340247</v>
      </c>
      <c r="E1849" s="84">
        <v>18.54</v>
      </c>
      <c r="F1849" s="84">
        <f t="shared" si="223"/>
        <v>440.249952564819</v>
      </c>
    </row>
    <row r="1850" ht="16.5" customHeight="1" spans="1:6">
      <c r="A1850" s="57"/>
      <c r="B1850" s="57" t="s">
        <v>1190</v>
      </c>
      <c r="C1850" s="57" t="s">
        <v>988</v>
      </c>
      <c r="D1850" s="84">
        <f t="shared" si="222"/>
        <v>0.813242919824491</v>
      </c>
      <c r="E1850" s="204">
        <v>83</v>
      </c>
      <c r="F1850" s="84">
        <f t="shared" si="223"/>
        <v>67.4991623454328</v>
      </c>
    </row>
    <row r="1851" ht="16.5" customHeight="1" spans="1:6">
      <c r="A1851" s="57"/>
      <c r="B1851" s="244" t="s">
        <v>1344</v>
      </c>
      <c r="C1851" s="57" t="s">
        <v>988</v>
      </c>
      <c r="D1851" s="84">
        <f>D1806</f>
        <v>8.0471858795373</v>
      </c>
      <c r="E1851" s="204">
        <v>3.23</v>
      </c>
      <c r="F1851" s="84">
        <f t="shared" si="223"/>
        <v>25.9924103909055</v>
      </c>
    </row>
    <row r="1852" ht="16.5" customHeight="1" spans="1:6">
      <c r="A1852" s="57"/>
      <c r="B1852" s="57" t="s">
        <v>1223</v>
      </c>
      <c r="C1852" s="59" t="s">
        <v>423</v>
      </c>
      <c r="D1852" s="84">
        <f>SUM(F1848:F1851)</f>
        <v>614.08747344635</v>
      </c>
      <c r="E1852" s="84">
        <v>10</v>
      </c>
      <c r="F1852" s="84">
        <f>D1852*E1852/100</f>
        <v>61.408747344635</v>
      </c>
    </row>
    <row r="1853" ht="16.5" customHeight="1" spans="1:6">
      <c r="A1853" s="55">
        <v>4</v>
      </c>
      <c r="B1853" s="55" t="s">
        <v>1285</v>
      </c>
      <c r="C1853" s="253"/>
      <c r="D1853" s="254"/>
      <c r="E1853" s="254"/>
      <c r="F1853" s="254">
        <f>SUM(F1854:F1855)</f>
        <v>1986.41142067271</v>
      </c>
    </row>
    <row r="1854" ht="16.5" customHeight="1" spans="1:6">
      <c r="A1854" s="57"/>
      <c r="B1854" s="245" t="s">
        <v>1286</v>
      </c>
      <c r="C1854" s="245" t="s">
        <v>1188</v>
      </c>
      <c r="D1854" s="246">
        <f>$F$2253/100</f>
        <v>5.03319379720782</v>
      </c>
      <c r="E1854" s="246">
        <v>103</v>
      </c>
      <c r="F1854" s="84">
        <f>D1854*E1854</f>
        <v>518.418961112405</v>
      </c>
    </row>
    <row r="1855" ht="16.5" customHeight="1" spans="1:6">
      <c r="A1855" s="57"/>
      <c r="B1855" s="245" t="s">
        <v>1287</v>
      </c>
      <c r="C1855" s="245" t="s">
        <v>1188</v>
      </c>
      <c r="D1855" s="246">
        <f>$F$2271/100</f>
        <v>14.2523539763136</v>
      </c>
      <c r="E1855" s="246">
        <v>103</v>
      </c>
      <c r="F1855" s="84">
        <f>D1855*E1855</f>
        <v>1467.99245956031</v>
      </c>
    </row>
    <row r="1856" ht="16.5" customHeight="1" spans="1:6">
      <c r="A1856" s="57" t="s">
        <v>70</v>
      </c>
      <c r="B1856" s="57" t="s">
        <v>977</v>
      </c>
      <c r="C1856" s="194">
        <f>取费表!$C$7</f>
        <v>0.048</v>
      </c>
      <c r="D1856" s="246"/>
      <c r="E1856" s="246">
        <f>F1833</f>
        <v>34261.9062156387</v>
      </c>
      <c r="F1856" s="84">
        <f t="shared" ref="F1856:F1859" si="224">E1856*C1856</f>
        <v>1644.57149835066</v>
      </c>
    </row>
    <row r="1857" ht="16.5" customHeight="1" spans="1:6">
      <c r="A1857" s="57"/>
      <c r="B1857" s="57"/>
      <c r="C1857" s="194"/>
      <c r="D1857" s="246"/>
      <c r="E1857" s="246"/>
      <c r="F1857" s="84"/>
    </row>
    <row r="1858" ht="16.5" customHeight="1" spans="1:6">
      <c r="A1858" s="57" t="s">
        <v>979</v>
      </c>
      <c r="B1858" s="57" t="s">
        <v>973</v>
      </c>
      <c r="C1858" s="194">
        <f>取费表!$E$7</f>
        <v>0.07</v>
      </c>
      <c r="D1858" s="246"/>
      <c r="E1858" s="246">
        <f>F1832</f>
        <v>35906.4777139893</v>
      </c>
      <c r="F1858" s="84">
        <f t="shared" si="224"/>
        <v>2513.45343997925</v>
      </c>
    </row>
    <row r="1859" ht="16.5" customHeight="1" spans="1:6">
      <c r="A1859" s="57" t="s">
        <v>162</v>
      </c>
      <c r="B1859" s="57" t="s">
        <v>980</v>
      </c>
      <c r="C1859" s="194">
        <f>取费表!$F$7</f>
        <v>0.07</v>
      </c>
      <c r="D1859" s="246"/>
      <c r="E1859" s="246">
        <f>F1858+F1832</f>
        <v>38419.9311539686</v>
      </c>
      <c r="F1859" s="84">
        <f t="shared" si="224"/>
        <v>2689.3951807778</v>
      </c>
    </row>
    <row r="1860" ht="16.5" customHeight="1" spans="1:6">
      <c r="A1860" s="55" t="s">
        <v>214</v>
      </c>
      <c r="B1860" s="55" t="s">
        <v>1173</v>
      </c>
      <c r="C1860" s="253"/>
      <c r="D1860" s="254"/>
      <c r="E1860" s="55"/>
      <c r="F1860" s="255">
        <f>F1861</f>
        <v>9280.41232793235</v>
      </c>
    </row>
    <row r="1861" ht="16.5" customHeight="1" spans="1:6">
      <c r="A1861" s="57">
        <v>1</v>
      </c>
      <c r="B1861" s="57" t="s">
        <v>1288</v>
      </c>
      <c r="C1861" s="59"/>
      <c r="D1861" s="84"/>
      <c r="E1861" s="57"/>
      <c r="F1861" s="113">
        <f>SUM(F1862:F1865)</f>
        <v>9280.41232793235</v>
      </c>
    </row>
    <row r="1862" ht="16.5" customHeight="1" spans="1:6">
      <c r="A1862" s="57"/>
      <c r="B1862" s="57"/>
      <c r="C1862" s="57"/>
      <c r="D1862" s="84"/>
      <c r="E1862" s="84"/>
      <c r="F1862" s="113"/>
    </row>
    <row r="1863" ht="16.5" customHeight="1" spans="1:6">
      <c r="A1863" s="57"/>
      <c r="B1863" s="57" t="s">
        <v>1141</v>
      </c>
      <c r="C1863" s="57" t="s">
        <v>69</v>
      </c>
      <c r="D1863" s="84">
        <f t="shared" ref="D1863:D1865" si="225">D1818</f>
        <v>156.64017</v>
      </c>
      <c r="E1863" s="84">
        <f>E1844*配合比!E8</f>
        <v>31.641291</v>
      </c>
      <c r="F1863" s="113">
        <f t="shared" ref="F1863:F1865" si="226">D1863*E1863</f>
        <v>4956.29720125947</v>
      </c>
    </row>
    <row r="1864" ht="16.5" customHeight="1" spans="1:6">
      <c r="A1864" s="57"/>
      <c r="B1864" s="57" t="s">
        <v>1142</v>
      </c>
      <c r="C1864" s="57" t="s">
        <v>1188</v>
      </c>
      <c r="D1864" s="84">
        <f t="shared" si="225"/>
        <v>44.826214</v>
      </c>
      <c r="E1864" s="84">
        <f>E1844*配合比!G8</f>
        <v>56.62734</v>
      </c>
      <c r="F1864" s="113">
        <f t="shared" si="226"/>
        <v>2538.38926109076</v>
      </c>
    </row>
    <row r="1865" ht="16.5" customHeight="1" spans="1:6">
      <c r="A1865" s="57"/>
      <c r="B1865" s="57" t="s">
        <v>1110</v>
      </c>
      <c r="C1865" s="57" t="s">
        <v>1188</v>
      </c>
      <c r="D1865" s="84">
        <f t="shared" si="225"/>
        <v>20.60443</v>
      </c>
      <c r="E1865" s="84">
        <f>E1844*配合比!I8</f>
        <v>86.667084</v>
      </c>
      <c r="F1865" s="113">
        <f t="shared" si="226"/>
        <v>1785.72586558212</v>
      </c>
    </row>
    <row r="1866" ht="16.5" customHeight="1" spans="1:6">
      <c r="A1866" s="57" t="s">
        <v>327</v>
      </c>
      <c r="B1866" s="57" t="s">
        <v>976</v>
      </c>
      <c r="C1866" s="195">
        <f>C1824</f>
        <v>0.09</v>
      </c>
      <c r="D1866" s="84"/>
      <c r="E1866" s="84">
        <f>F1860+F1859+F1858+F1832</f>
        <v>50389.7386626788</v>
      </c>
      <c r="F1866" s="84">
        <f>E1866*C1866</f>
        <v>4535.07647964109</v>
      </c>
    </row>
    <row r="1867" ht="16.5" customHeight="1" spans="1:6">
      <c r="A1867" s="57"/>
      <c r="B1867" s="57" t="s">
        <v>984</v>
      </c>
      <c r="C1867" s="195"/>
      <c r="D1867" s="84"/>
      <c r="E1867" s="84"/>
      <c r="F1867" s="84">
        <f>(F1832+F1858+F1859+F1860+F1866)*取费表!H4</f>
        <v>1647.7444542696</v>
      </c>
    </row>
    <row r="1868" ht="16.5" customHeight="1" spans="1:6">
      <c r="A1868" s="57"/>
      <c r="B1868" s="57" t="s">
        <v>278</v>
      </c>
      <c r="C1868" s="57"/>
      <c r="D1868" s="84"/>
      <c r="E1868" s="84"/>
      <c r="F1868" s="84">
        <f>F1866+E1866+F1867</f>
        <v>56572.5595965894</v>
      </c>
    </row>
    <row r="1869" ht="15.6" customHeight="1" spans="1:6">
      <c r="A1869" s="176" t="s">
        <v>1204</v>
      </c>
      <c r="B1869" s="175"/>
      <c r="C1869" s="175"/>
      <c r="D1869" s="175"/>
      <c r="E1869" s="175"/>
      <c r="F1869" s="175"/>
    </row>
    <row r="1870" ht="15.6" customHeight="1" spans="1:6">
      <c r="A1870" s="242" t="s">
        <v>1350</v>
      </c>
      <c r="C1870" s="243"/>
      <c r="D1870" s="243"/>
      <c r="E1870" s="243"/>
      <c r="F1870" s="243"/>
    </row>
    <row r="1871" ht="15.6" customHeight="1" spans="1:6">
      <c r="A1871" s="190" t="s">
        <v>1351</v>
      </c>
      <c r="B1871" s="191"/>
      <c r="C1871" s="243"/>
      <c r="D1871" s="243"/>
      <c r="E1871" s="191" t="s">
        <v>1159</v>
      </c>
      <c r="F1871" s="191"/>
    </row>
    <row r="1872" ht="15.6" customHeight="1" spans="1:6">
      <c r="A1872" s="117" t="s">
        <v>1218</v>
      </c>
      <c r="B1872" s="192"/>
      <c r="C1872" s="192"/>
      <c r="D1872" s="192"/>
      <c r="E1872" s="192"/>
      <c r="F1872" s="118"/>
    </row>
    <row r="1873" ht="15.6" customHeight="1" spans="1:6">
      <c r="A1873" s="57" t="s">
        <v>354</v>
      </c>
      <c r="B1873" s="57" t="s">
        <v>956</v>
      </c>
      <c r="C1873" s="57" t="s">
        <v>52</v>
      </c>
      <c r="D1873" s="57" t="s">
        <v>855</v>
      </c>
      <c r="E1873" s="57" t="s">
        <v>53</v>
      </c>
      <c r="F1873" s="57" t="s">
        <v>306</v>
      </c>
    </row>
    <row r="1874" ht="15.6" customHeight="1" spans="1:6">
      <c r="A1874" s="57" t="s">
        <v>959</v>
      </c>
      <c r="B1874" s="57" t="s">
        <v>960</v>
      </c>
      <c r="C1874" s="57"/>
      <c r="D1874" s="57"/>
      <c r="E1874" s="57"/>
      <c r="F1874" s="84">
        <f>F1875+F1900+F1901</f>
        <v>31486.2482663099</v>
      </c>
    </row>
    <row r="1875" ht="15.6" customHeight="1" spans="1:6">
      <c r="A1875" s="57" t="s">
        <v>59</v>
      </c>
      <c r="B1875" s="57" t="s">
        <v>957</v>
      </c>
      <c r="C1875" s="57"/>
      <c r="D1875" s="57"/>
      <c r="E1875" s="57"/>
      <c r="F1875" s="84">
        <f>F1876+F1879+F1889+F1897</f>
        <v>30044.1300251048</v>
      </c>
    </row>
    <row r="1876" ht="15.6" customHeight="1" spans="1:6">
      <c r="A1876" s="57">
        <v>1</v>
      </c>
      <c r="B1876" s="57" t="s">
        <v>964</v>
      </c>
      <c r="C1876" s="57" t="s">
        <v>965</v>
      </c>
      <c r="D1876" s="84"/>
      <c r="E1876" s="113">
        <f>SUM(E1877:E1878)</f>
        <v>1103.2</v>
      </c>
      <c r="F1876" s="113">
        <f>SUM(F1877:F1878)</f>
        <v>7521.843</v>
      </c>
    </row>
    <row r="1877" ht="15.6" customHeight="1" spans="1:6">
      <c r="A1877" s="57"/>
      <c r="B1877" s="57" t="s">
        <v>966</v>
      </c>
      <c r="C1877" s="57" t="s">
        <v>965</v>
      </c>
      <c r="D1877" s="113">
        <f t="shared" ref="D1877:D1880" si="227">D1835</f>
        <v>8.1</v>
      </c>
      <c r="E1877" s="92">
        <v>496.3</v>
      </c>
      <c r="F1877" s="113">
        <f>D1877*E1877</f>
        <v>4020.03</v>
      </c>
    </row>
    <row r="1878" ht="15.6" customHeight="1" spans="1:6">
      <c r="A1878" s="57"/>
      <c r="B1878" s="57" t="s">
        <v>968</v>
      </c>
      <c r="C1878" s="57" t="s">
        <v>965</v>
      </c>
      <c r="D1878" s="113">
        <f t="shared" si="227"/>
        <v>5.77</v>
      </c>
      <c r="E1878" s="92">
        <v>606.9</v>
      </c>
      <c r="F1878" s="113">
        <f>D1878*E1878</f>
        <v>3501.813</v>
      </c>
    </row>
    <row r="1879" ht="15.6" customHeight="1" spans="1:6">
      <c r="A1879" s="57">
        <v>2</v>
      </c>
      <c r="B1879" s="57" t="s">
        <v>1219</v>
      </c>
      <c r="C1879" s="57"/>
      <c r="D1879" s="84"/>
      <c r="E1879" s="84"/>
      <c r="F1879" s="84">
        <f>SUM(F1880:F1888)</f>
        <v>19860.6044599</v>
      </c>
    </row>
    <row r="1880" ht="15.6" customHeight="1" spans="1:6">
      <c r="A1880" s="57"/>
      <c r="B1880" s="244" t="s">
        <v>1272</v>
      </c>
      <c r="C1880" s="244" t="s">
        <v>1188</v>
      </c>
      <c r="D1880" s="84">
        <f t="shared" si="227"/>
        <v>2232.665025</v>
      </c>
      <c r="E1880" s="84"/>
      <c r="F1880" s="84">
        <f t="shared" ref="F1880:F1887" si="228">D1880*E1880</f>
        <v>0</v>
      </c>
    </row>
    <row r="1881" ht="15.6" customHeight="1" spans="1:6">
      <c r="A1881" s="57"/>
      <c r="B1881" s="244" t="s">
        <v>1334</v>
      </c>
      <c r="C1881" s="244" t="s">
        <v>184</v>
      </c>
      <c r="D1881" s="84">
        <v>4.44</v>
      </c>
      <c r="E1881" s="84"/>
      <c r="F1881" s="84">
        <f t="shared" si="228"/>
        <v>0</v>
      </c>
    </row>
    <row r="1882" ht="15.6" customHeight="1" spans="1:6">
      <c r="A1882" s="57"/>
      <c r="B1882" s="244" t="s">
        <v>1274</v>
      </c>
      <c r="C1882" s="244" t="s">
        <v>184</v>
      </c>
      <c r="D1882" s="84">
        <v>4.5</v>
      </c>
      <c r="E1882" s="84">
        <v>50</v>
      </c>
      <c r="F1882" s="84">
        <f t="shared" si="228"/>
        <v>225</v>
      </c>
    </row>
    <row r="1883" ht="15.6" customHeight="1" spans="1:6">
      <c r="A1883" s="57"/>
      <c r="B1883" s="244" t="s">
        <v>1275</v>
      </c>
      <c r="C1883" s="244" t="s">
        <v>184</v>
      </c>
      <c r="D1883" s="84">
        <v>5.15</v>
      </c>
      <c r="E1883" s="84"/>
      <c r="F1883" s="84">
        <f t="shared" si="228"/>
        <v>0</v>
      </c>
    </row>
    <row r="1884" ht="15.6" customHeight="1" spans="1:6">
      <c r="A1884" s="57"/>
      <c r="B1884" s="244" t="s">
        <v>1276</v>
      </c>
      <c r="C1884" s="244" t="s">
        <v>184</v>
      </c>
      <c r="D1884" s="84">
        <v>4.5</v>
      </c>
      <c r="E1884" s="84"/>
      <c r="F1884" s="84">
        <f t="shared" si="228"/>
        <v>0</v>
      </c>
    </row>
    <row r="1885" ht="15.6" customHeight="1" spans="1:6">
      <c r="A1885" s="57"/>
      <c r="B1885" s="244" t="s">
        <v>1278</v>
      </c>
      <c r="C1885" s="244" t="s">
        <v>184</v>
      </c>
      <c r="D1885" s="84">
        <v>5.97</v>
      </c>
      <c r="E1885" s="84"/>
      <c r="F1885" s="84">
        <f t="shared" si="228"/>
        <v>0</v>
      </c>
    </row>
    <row r="1886" ht="15.6" customHeight="1" spans="1:6">
      <c r="A1886" s="57"/>
      <c r="B1886" s="57" t="s">
        <v>1279</v>
      </c>
      <c r="C1886" s="57" t="s">
        <v>1188</v>
      </c>
      <c r="D1886" s="84">
        <f>配合比!M9</f>
        <v>183.0000433</v>
      </c>
      <c r="E1886" s="84">
        <v>103</v>
      </c>
      <c r="F1886" s="84">
        <f t="shared" si="228"/>
        <v>18849.0044599</v>
      </c>
    </row>
    <row r="1887" ht="15.6" customHeight="1" spans="1:6">
      <c r="A1887" s="57"/>
      <c r="B1887" s="57" t="s">
        <v>1022</v>
      </c>
      <c r="C1887" s="57" t="s">
        <v>1188</v>
      </c>
      <c r="D1887" s="84">
        <f t="shared" ref="D1887:D1893" si="229">D1845</f>
        <v>4.37</v>
      </c>
      <c r="E1887" s="84">
        <v>180</v>
      </c>
      <c r="F1887" s="84">
        <f t="shared" si="228"/>
        <v>786.6</v>
      </c>
    </row>
    <row r="1888" ht="15.6" customHeight="1" spans="1:6">
      <c r="A1888" s="57"/>
      <c r="B1888" s="57" t="s">
        <v>1163</v>
      </c>
      <c r="C1888" s="59" t="s">
        <v>423</v>
      </c>
      <c r="D1888" s="84">
        <f>SUM(F1880:F1887)</f>
        <v>19860.6044599</v>
      </c>
      <c r="E1888" s="84"/>
      <c r="F1888" s="84">
        <f>D1888*E1888/100</f>
        <v>0</v>
      </c>
    </row>
    <row r="1889" ht="15.6" customHeight="1" spans="1:6">
      <c r="A1889" s="57">
        <v>3</v>
      </c>
      <c r="B1889" s="57" t="s">
        <v>1171</v>
      </c>
      <c r="C1889" s="57"/>
      <c r="D1889" s="84"/>
      <c r="E1889" s="84"/>
      <c r="F1889" s="84">
        <f>SUM(F1890:F1896)</f>
        <v>675.27114453211</v>
      </c>
    </row>
    <row r="1890" ht="15.6" customHeight="1" spans="1:6">
      <c r="A1890" s="57"/>
      <c r="B1890" s="57" t="s">
        <v>1284</v>
      </c>
      <c r="C1890" s="57" t="s">
        <v>988</v>
      </c>
      <c r="D1890" s="84">
        <f t="shared" si="229"/>
        <v>1.80552692461109</v>
      </c>
      <c r="E1890" s="84">
        <v>44</v>
      </c>
      <c r="F1890" s="84">
        <f t="shared" ref="F1890:F1895" si="230">D1890*E1890</f>
        <v>79.443184682888</v>
      </c>
    </row>
    <row r="1891" ht="15.6" customHeight="1" spans="1:6">
      <c r="A1891" s="57"/>
      <c r="B1891" s="248" t="s">
        <v>1343</v>
      </c>
      <c r="C1891" s="57" t="s">
        <v>988</v>
      </c>
      <c r="D1891" s="84">
        <f t="shared" si="229"/>
        <v>23.7459521340247</v>
      </c>
      <c r="E1891" s="84">
        <v>18.54</v>
      </c>
      <c r="F1891" s="84">
        <f t="shared" si="230"/>
        <v>440.249952564819</v>
      </c>
    </row>
    <row r="1892" ht="15.6" customHeight="1" spans="1:6">
      <c r="A1892" s="57"/>
      <c r="B1892" s="57" t="s">
        <v>1190</v>
      </c>
      <c r="C1892" s="57" t="s">
        <v>988</v>
      </c>
      <c r="D1892" s="84">
        <f t="shared" si="229"/>
        <v>0.813242919824491</v>
      </c>
      <c r="E1892" s="204">
        <v>83</v>
      </c>
      <c r="F1892" s="84">
        <f t="shared" si="230"/>
        <v>67.4991623454328</v>
      </c>
    </row>
    <row r="1893" ht="15.6" customHeight="1" spans="1:6">
      <c r="A1893" s="57"/>
      <c r="B1893" s="244" t="s">
        <v>1344</v>
      </c>
      <c r="C1893" s="57" t="s">
        <v>988</v>
      </c>
      <c r="D1893" s="84">
        <f t="shared" si="229"/>
        <v>8.0471858795373</v>
      </c>
      <c r="E1893" s="204"/>
      <c r="F1893" s="84">
        <f t="shared" si="230"/>
        <v>0</v>
      </c>
    </row>
    <row r="1894" ht="15.6" customHeight="1" spans="1:6">
      <c r="A1894" s="57"/>
      <c r="B1894" s="57" t="s">
        <v>1280</v>
      </c>
      <c r="C1894" s="57" t="s">
        <v>988</v>
      </c>
      <c r="D1894" s="84">
        <f>D1982</f>
        <v>49.389824491424</v>
      </c>
      <c r="E1894" s="204"/>
      <c r="F1894" s="84">
        <f t="shared" si="230"/>
        <v>0</v>
      </c>
    </row>
    <row r="1895" ht="15.6" customHeight="1" spans="1:6">
      <c r="A1895" s="57"/>
      <c r="B1895" s="244" t="s">
        <v>1352</v>
      </c>
      <c r="C1895" s="57" t="s">
        <v>988</v>
      </c>
      <c r="D1895" s="84">
        <f>D1983</f>
        <v>62.3342780215397</v>
      </c>
      <c r="E1895" s="204"/>
      <c r="F1895" s="84">
        <f t="shared" si="230"/>
        <v>0</v>
      </c>
    </row>
    <row r="1896" ht="15.6" customHeight="1" spans="1:6">
      <c r="A1896" s="57"/>
      <c r="B1896" s="57" t="s">
        <v>1223</v>
      </c>
      <c r="C1896" s="59" t="s">
        <v>423</v>
      </c>
      <c r="D1896" s="84">
        <f>SUM(F1890:F1895)</f>
        <v>587.192299593139</v>
      </c>
      <c r="E1896" s="84">
        <v>15</v>
      </c>
      <c r="F1896" s="84">
        <f>D1896*E1896/100</f>
        <v>88.0788449389709</v>
      </c>
    </row>
    <row r="1897" ht="15.6" customHeight="1" spans="1:6">
      <c r="A1897" s="55">
        <v>4</v>
      </c>
      <c r="B1897" s="55" t="s">
        <v>1285</v>
      </c>
      <c r="C1897" s="253"/>
      <c r="D1897" s="254"/>
      <c r="E1897" s="254"/>
      <c r="F1897" s="254">
        <f>SUM(F1898:F1899)</f>
        <v>1986.41142067271</v>
      </c>
    </row>
    <row r="1898" ht="15.6" customHeight="1" spans="1:6">
      <c r="A1898" s="57"/>
      <c r="B1898" s="245" t="s">
        <v>1286</v>
      </c>
      <c r="C1898" s="245" t="s">
        <v>1188</v>
      </c>
      <c r="D1898" s="246">
        <f>$F$2253/100</f>
        <v>5.03319379720782</v>
      </c>
      <c r="E1898" s="246">
        <v>103</v>
      </c>
      <c r="F1898" s="84">
        <f>D1898*E1898</f>
        <v>518.418961112405</v>
      </c>
    </row>
    <row r="1899" ht="15.6" customHeight="1" spans="1:6">
      <c r="A1899" s="57"/>
      <c r="B1899" s="245" t="s">
        <v>1287</v>
      </c>
      <c r="C1899" s="245" t="s">
        <v>1188</v>
      </c>
      <c r="D1899" s="246">
        <f>$F$2271/100</f>
        <v>14.2523539763136</v>
      </c>
      <c r="E1899" s="246">
        <v>103</v>
      </c>
      <c r="F1899" s="84">
        <f>D1899*E1899</f>
        <v>1467.99245956031</v>
      </c>
    </row>
    <row r="1900" ht="15.6" customHeight="1" spans="1:6">
      <c r="A1900" s="57" t="s">
        <v>70</v>
      </c>
      <c r="B1900" s="57" t="s">
        <v>977</v>
      </c>
      <c r="C1900" s="194">
        <f>取费表!$C$7</f>
        <v>0.048</v>
      </c>
      <c r="D1900" s="246"/>
      <c r="E1900" s="246">
        <f>F1875</f>
        <v>30044.1300251048</v>
      </c>
      <c r="F1900" s="84">
        <f t="shared" ref="F1900:F1903" si="231">E1900*C1900</f>
        <v>1442.11824120503</v>
      </c>
    </row>
    <row r="1901" ht="15.6" customHeight="1" spans="1:6">
      <c r="A1901" s="57"/>
      <c r="B1901" s="57"/>
      <c r="C1901" s="194"/>
      <c r="D1901" s="246"/>
      <c r="E1901" s="246"/>
      <c r="F1901" s="84"/>
    </row>
    <row r="1902" ht="15.6" customHeight="1" spans="1:6">
      <c r="A1902" s="57" t="s">
        <v>979</v>
      </c>
      <c r="B1902" s="57" t="s">
        <v>973</v>
      </c>
      <c r="C1902" s="194">
        <f>取费表!$E$7</f>
        <v>0.07</v>
      </c>
      <c r="D1902" s="246"/>
      <c r="E1902" s="246">
        <f>F1874</f>
        <v>31486.2482663099</v>
      </c>
      <c r="F1902" s="84">
        <f t="shared" si="231"/>
        <v>2204.03737864169</v>
      </c>
    </row>
    <row r="1903" ht="15.6" customHeight="1" spans="1:6">
      <c r="A1903" s="57" t="s">
        <v>162</v>
      </c>
      <c r="B1903" s="57" t="s">
        <v>980</v>
      </c>
      <c r="C1903" s="194">
        <f>取费表!$F$7</f>
        <v>0.07</v>
      </c>
      <c r="D1903" s="246"/>
      <c r="E1903" s="246">
        <f>F1902+F1874</f>
        <v>33690.2856449515</v>
      </c>
      <c r="F1903" s="84">
        <f t="shared" si="231"/>
        <v>2358.31999514661</v>
      </c>
    </row>
    <row r="1904" ht="15.6" customHeight="1" spans="1:6">
      <c r="A1904" s="55" t="s">
        <v>214</v>
      </c>
      <c r="B1904" s="55" t="s">
        <v>1173</v>
      </c>
      <c r="C1904" s="253"/>
      <c r="D1904" s="254"/>
      <c r="E1904" s="55"/>
      <c r="F1904" s="255">
        <f>SUM(F1905:F1909)</f>
        <v>9935.47230361686</v>
      </c>
    </row>
    <row r="1905" ht="15.6" customHeight="1" spans="1:6">
      <c r="A1905" s="57"/>
      <c r="B1905" s="57"/>
      <c r="C1905" s="57"/>
      <c r="D1905" s="84"/>
      <c r="E1905" s="84"/>
      <c r="F1905" s="113"/>
    </row>
    <row r="1906" ht="15.6" customHeight="1" spans="1:6">
      <c r="A1906" s="57"/>
      <c r="B1906" s="57" t="s">
        <v>1141</v>
      </c>
      <c r="C1906" s="57" t="s">
        <v>69</v>
      </c>
      <c r="D1906" s="84">
        <f t="shared" ref="D1906:D1908" si="232">D1863</f>
        <v>156.64017</v>
      </c>
      <c r="E1906" s="84">
        <f>E1886*配合比!E9</f>
        <v>35.641914</v>
      </c>
      <c r="F1906" s="113">
        <f t="shared" ref="F1906:F1909" si="233">D1906*E1906</f>
        <v>5582.95546808538</v>
      </c>
    </row>
    <row r="1907" ht="15.6" customHeight="1" spans="1:6">
      <c r="A1907" s="57"/>
      <c r="B1907" s="57" t="s">
        <v>1142</v>
      </c>
      <c r="C1907" s="57" t="s">
        <v>1188</v>
      </c>
      <c r="D1907" s="84">
        <f t="shared" si="232"/>
        <v>44.826214</v>
      </c>
      <c r="E1907" s="84">
        <f>E1886*配合比!G9</f>
        <v>62.17904</v>
      </c>
      <c r="F1907" s="113">
        <f t="shared" si="233"/>
        <v>2787.25095335456</v>
      </c>
    </row>
    <row r="1908" ht="15.6" customHeight="1" spans="1:6">
      <c r="A1908" s="57"/>
      <c r="B1908" s="57" t="s">
        <v>1110</v>
      </c>
      <c r="C1908" s="57" t="s">
        <v>1188</v>
      </c>
      <c r="D1908" s="84">
        <f t="shared" si="232"/>
        <v>20.60443</v>
      </c>
      <c r="E1908" s="84">
        <f>E1886*配合比!I9</f>
        <v>75.967444</v>
      </c>
      <c r="F1908" s="113">
        <f t="shared" si="233"/>
        <v>1565.26588217692</v>
      </c>
    </row>
    <row r="1909" ht="15.6" customHeight="1" spans="1:6">
      <c r="A1909" s="57"/>
      <c r="B1909" s="57" t="s">
        <v>1290</v>
      </c>
      <c r="C1909" s="57" t="s">
        <v>184</v>
      </c>
      <c r="D1909" s="84">
        <f>D2000</f>
        <v>6.225</v>
      </c>
      <c r="E1909" s="84">
        <f>E1894*台时!H34+新定额单价!E1895*5.8</f>
        <v>0</v>
      </c>
      <c r="F1909" s="113">
        <f t="shared" si="233"/>
        <v>0</v>
      </c>
    </row>
    <row r="1910" ht="15.6" customHeight="1" spans="1:6">
      <c r="A1910" s="57" t="s">
        <v>327</v>
      </c>
      <c r="B1910" s="57" t="s">
        <v>976</v>
      </c>
      <c r="C1910" s="195">
        <f>C1866</f>
        <v>0.09</v>
      </c>
      <c r="D1910" s="84"/>
      <c r="E1910" s="84">
        <f>F1904+F1903+F1902+F1874</f>
        <v>45984.077943715</v>
      </c>
      <c r="F1910" s="84">
        <f>E1910*C1910</f>
        <v>4138.56701493435</v>
      </c>
    </row>
    <row r="1911" ht="15.6" customHeight="1" spans="1:6">
      <c r="A1911" s="57"/>
      <c r="B1911" s="57" t="s">
        <v>984</v>
      </c>
      <c r="C1911" s="195"/>
      <c r="D1911" s="84"/>
      <c r="E1911" s="84"/>
      <c r="F1911" s="84">
        <f>(F1874+F1902+F1903+F1904+F1910)*取费表!H4</f>
        <v>1503.67934875948</v>
      </c>
    </row>
    <row r="1912" ht="15.6" customHeight="1" spans="1:6">
      <c r="A1912" s="57"/>
      <c r="B1912" s="57" t="s">
        <v>278</v>
      </c>
      <c r="C1912" s="57"/>
      <c r="D1912" s="84"/>
      <c r="E1912" s="84"/>
      <c r="F1912" s="84">
        <f>F1910+E1910+F1911</f>
        <v>51626.3243074088</v>
      </c>
    </row>
    <row r="1913" ht="15.6" customHeight="1" spans="1:6">
      <c r="A1913" s="176" t="s">
        <v>1204</v>
      </c>
      <c r="B1913" s="175"/>
      <c r="C1913" s="175"/>
      <c r="D1913" s="175"/>
      <c r="E1913" s="175"/>
      <c r="F1913" s="175"/>
    </row>
    <row r="1914" ht="15.6" customHeight="1" spans="1:6">
      <c r="A1914" s="242" t="s">
        <v>1353</v>
      </c>
      <c r="C1914" s="243"/>
      <c r="D1914" s="243"/>
      <c r="E1914" s="243"/>
      <c r="F1914" s="243"/>
    </row>
    <row r="1915" ht="15.6" customHeight="1" spans="1:6">
      <c r="A1915" s="324" t="s">
        <v>1354</v>
      </c>
      <c r="B1915" s="191"/>
      <c r="C1915" s="243"/>
      <c r="D1915" s="243"/>
      <c r="E1915" s="191" t="s">
        <v>1159</v>
      </c>
      <c r="F1915" s="191"/>
    </row>
    <row r="1916" ht="15.6" customHeight="1" spans="1:6">
      <c r="A1916" s="117" t="s">
        <v>1218</v>
      </c>
      <c r="B1916" s="192"/>
      <c r="C1916" s="192"/>
      <c r="D1916" s="192"/>
      <c r="E1916" s="192"/>
      <c r="F1916" s="118"/>
    </row>
    <row r="1917" ht="15.6" customHeight="1" spans="1:6">
      <c r="A1917" s="57" t="s">
        <v>354</v>
      </c>
      <c r="B1917" s="57" t="s">
        <v>956</v>
      </c>
      <c r="C1917" s="57" t="s">
        <v>52</v>
      </c>
      <c r="D1917" s="57" t="s">
        <v>855</v>
      </c>
      <c r="E1917" s="57" t="s">
        <v>53</v>
      </c>
      <c r="F1917" s="57" t="s">
        <v>306</v>
      </c>
    </row>
    <row r="1918" ht="15.6" customHeight="1" spans="1:6">
      <c r="A1918" s="57" t="s">
        <v>959</v>
      </c>
      <c r="B1918" s="57" t="s">
        <v>960</v>
      </c>
      <c r="C1918" s="57"/>
      <c r="D1918" s="57"/>
      <c r="E1918" s="57"/>
      <c r="F1918" s="84">
        <f>F1919+F1944+F1945</f>
        <v>38619.7212725647</v>
      </c>
    </row>
    <row r="1919" ht="15.6" customHeight="1" spans="1:6">
      <c r="A1919" s="57" t="s">
        <v>59</v>
      </c>
      <c r="B1919" s="57" t="s">
        <v>957</v>
      </c>
      <c r="C1919" s="57"/>
      <c r="D1919" s="57"/>
      <c r="E1919" s="57"/>
      <c r="F1919" s="84">
        <f>F1920+F1923+F1933+F1941</f>
        <v>36850.8790768747</v>
      </c>
    </row>
    <row r="1920" ht="15.6" customHeight="1" spans="1:6">
      <c r="A1920" s="57">
        <v>1</v>
      </c>
      <c r="B1920" s="57" t="s">
        <v>964</v>
      </c>
      <c r="C1920" s="57" t="s">
        <v>965</v>
      </c>
      <c r="D1920" s="84"/>
      <c r="E1920" s="113">
        <f>SUM(E1921:E1922)</f>
        <v>1624.7</v>
      </c>
      <c r="F1920" s="113">
        <f>SUM(F1921:F1922)</f>
        <v>11671.433</v>
      </c>
    </row>
    <row r="1921" ht="15.6" customHeight="1" spans="1:6">
      <c r="A1921" s="57"/>
      <c r="B1921" s="57" t="s">
        <v>966</v>
      </c>
      <c r="C1921" s="57" t="s">
        <v>965</v>
      </c>
      <c r="D1921" s="113">
        <f>D1877</f>
        <v>8.1</v>
      </c>
      <c r="E1921" s="92">
        <v>985.8</v>
      </c>
      <c r="F1921" s="113">
        <f>D1921*E1921</f>
        <v>7984.98</v>
      </c>
    </row>
    <row r="1922" ht="15.6" customHeight="1" spans="1:6">
      <c r="A1922" s="57"/>
      <c r="B1922" s="57" t="s">
        <v>968</v>
      </c>
      <c r="C1922" s="57" t="s">
        <v>965</v>
      </c>
      <c r="D1922" s="113">
        <f>D1878</f>
        <v>5.77</v>
      </c>
      <c r="E1922" s="92">
        <v>638.9</v>
      </c>
      <c r="F1922" s="113">
        <f>D1922*E1922</f>
        <v>3686.453</v>
      </c>
    </row>
    <row r="1923" ht="15.6" customHeight="1" spans="1:6">
      <c r="A1923" s="57">
        <v>2</v>
      </c>
      <c r="B1923" s="57" t="s">
        <v>1219</v>
      </c>
      <c r="C1923" s="57"/>
      <c r="D1923" s="84"/>
      <c r="E1923" s="84"/>
      <c r="F1923" s="84">
        <f>SUM(F1924:F1932)</f>
        <v>22206.83094128</v>
      </c>
    </row>
    <row r="1924" ht="15.6" customHeight="1" spans="1:6">
      <c r="A1924" s="57"/>
      <c r="B1924" s="244" t="s">
        <v>1272</v>
      </c>
      <c r="C1924" s="244" t="s">
        <v>1188</v>
      </c>
      <c r="D1924" s="84">
        <f t="shared" ref="D1924:D1929" si="234">D1880</f>
        <v>2232.665025</v>
      </c>
      <c r="E1924" s="84">
        <v>0.9</v>
      </c>
      <c r="F1924" s="84">
        <f t="shared" ref="F1924:F1931" si="235">D1924*E1924</f>
        <v>2009.3985225</v>
      </c>
    </row>
    <row r="1925" ht="15.6" customHeight="1" spans="1:6">
      <c r="A1925" s="57"/>
      <c r="B1925" s="244" t="s">
        <v>1334</v>
      </c>
      <c r="C1925" s="244" t="s">
        <v>184</v>
      </c>
      <c r="D1925" s="84">
        <f t="shared" si="234"/>
        <v>4.44</v>
      </c>
      <c r="E1925" s="84">
        <v>20.5</v>
      </c>
      <c r="F1925" s="84">
        <f t="shared" si="235"/>
        <v>91.02</v>
      </c>
    </row>
    <row r="1926" ht="15.6" customHeight="1" spans="1:6">
      <c r="A1926" s="57"/>
      <c r="B1926" s="244" t="s">
        <v>1274</v>
      </c>
      <c r="C1926" s="244" t="s">
        <v>184</v>
      </c>
      <c r="D1926" s="84">
        <f t="shared" si="234"/>
        <v>4.5</v>
      </c>
      <c r="E1926" s="84">
        <v>49.1</v>
      </c>
      <c r="F1926" s="84">
        <f t="shared" si="235"/>
        <v>220.95</v>
      </c>
    </row>
    <row r="1927" ht="15.6" customHeight="1" spans="1:6">
      <c r="A1927" s="57"/>
      <c r="B1927" s="244" t="s">
        <v>1275</v>
      </c>
      <c r="C1927" s="244" t="s">
        <v>184</v>
      </c>
      <c r="D1927" s="84">
        <f t="shared" si="234"/>
        <v>5.15</v>
      </c>
      <c r="E1927" s="84">
        <v>65.9</v>
      </c>
      <c r="F1927" s="84">
        <f t="shared" si="235"/>
        <v>339.385</v>
      </c>
    </row>
    <row r="1928" ht="15.6" customHeight="1" spans="1:6">
      <c r="A1928" s="57"/>
      <c r="B1928" s="244" t="s">
        <v>1276</v>
      </c>
      <c r="C1928" s="244" t="s">
        <v>184</v>
      </c>
      <c r="D1928" s="84">
        <f t="shared" si="234"/>
        <v>4.5</v>
      </c>
      <c r="E1928" s="84">
        <f>1.5+76.6</f>
        <v>78.1</v>
      </c>
      <c r="F1928" s="84">
        <f t="shared" si="235"/>
        <v>351.45</v>
      </c>
    </row>
    <row r="1929" ht="15.6" customHeight="1" spans="1:6">
      <c r="A1929" s="57"/>
      <c r="B1929" s="244" t="s">
        <v>1278</v>
      </c>
      <c r="C1929" s="244" t="s">
        <v>184</v>
      </c>
      <c r="D1929" s="84">
        <f t="shared" si="234"/>
        <v>5.97</v>
      </c>
      <c r="E1929" s="84">
        <v>1.6</v>
      </c>
      <c r="F1929" s="84">
        <f t="shared" si="235"/>
        <v>9.552</v>
      </c>
    </row>
    <row r="1930" ht="15.6" customHeight="1" spans="1:6">
      <c r="A1930" s="57"/>
      <c r="B1930" s="57" t="s">
        <v>1279</v>
      </c>
      <c r="C1930" s="57" t="s">
        <v>1188</v>
      </c>
      <c r="D1930" s="84">
        <f>配合比!M8</f>
        <v>176.4913185</v>
      </c>
      <c r="E1930" s="84">
        <v>103</v>
      </c>
      <c r="F1930" s="84">
        <f t="shared" si="235"/>
        <v>18178.6058055</v>
      </c>
    </row>
    <row r="1931" ht="15.6" customHeight="1" spans="1:6">
      <c r="A1931" s="57"/>
      <c r="B1931" s="57" t="s">
        <v>1022</v>
      </c>
      <c r="C1931" s="57" t="s">
        <v>1188</v>
      </c>
      <c r="D1931" s="84">
        <f>D1887</f>
        <v>4.37</v>
      </c>
      <c r="E1931" s="84">
        <v>180</v>
      </c>
      <c r="F1931" s="84">
        <f t="shared" si="235"/>
        <v>786.6</v>
      </c>
    </row>
    <row r="1932" ht="15.6" customHeight="1" spans="1:6">
      <c r="A1932" s="57"/>
      <c r="B1932" s="57" t="s">
        <v>1163</v>
      </c>
      <c r="C1932" s="59" t="s">
        <v>423</v>
      </c>
      <c r="D1932" s="84">
        <f>SUM(F1924:F1931)</f>
        <v>21986.961328</v>
      </c>
      <c r="E1932" s="84">
        <v>1</v>
      </c>
      <c r="F1932" s="84">
        <f>D1932*E1932/100</f>
        <v>219.86961328</v>
      </c>
    </row>
    <row r="1933" ht="15.6" customHeight="1" spans="1:6">
      <c r="A1933" s="57">
        <v>3</v>
      </c>
      <c r="B1933" s="57" t="s">
        <v>1171</v>
      </c>
      <c r="C1933" s="57"/>
      <c r="D1933" s="84"/>
      <c r="E1933" s="84"/>
      <c r="F1933" s="84">
        <f>SUM(F1934:F1940)</f>
        <v>986.203714922018</v>
      </c>
    </row>
    <row r="1934" ht="15.6" customHeight="1" spans="1:6">
      <c r="A1934" s="57"/>
      <c r="B1934" s="57" t="s">
        <v>1284</v>
      </c>
      <c r="C1934" s="57" t="s">
        <v>988</v>
      </c>
      <c r="D1934" s="84">
        <f t="shared" ref="D1934:D1939" si="236">D1890</f>
        <v>1.80552692461109</v>
      </c>
      <c r="E1934" s="84">
        <v>44</v>
      </c>
      <c r="F1934" s="84">
        <f t="shared" ref="F1934:F1939" si="237">D1934*E1934</f>
        <v>79.443184682888</v>
      </c>
    </row>
    <row r="1935" ht="15.6" customHeight="1" spans="1:6">
      <c r="A1935" s="57"/>
      <c r="B1935" s="248" t="s">
        <v>1343</v>
      </c>
      <c r="C1935" s="57" t="s">
        <v>988</v>
      </c>
      <c r="D1935" s="84">
        <f t="shared" si="236"/>
        <v>23.7459521340247</v>
      </c>
      <c r="E1935" s="84">
        <v>18.54</v>
      </c>
      <c r="F1935" s="84">
        <f t="shared" si="237"/>
        <v>440.249952564819</v>
      </c>
    </row>
    <row r="1936" ht="15.6" customHeight="1" spans="1:6">
      <c r="A1936" s="57"/>
      <c r="B1936" s="57" t="s">
        <v>1190</v>
      </c>
      <c r="C1936" s="57" t="s">
        <v>988</v>
      </c>
      <c r="D1936" s="84">
        <f t="shared" si="236"/>
        <v>0.813242919824491</v>
      </c>
      <c r="E1936" s="204">
        <v>83</v>
      </c>
      <c r="F1936" s="84">
        <f t="shared" si="237"/>
        <v>67.4991623454328</v>
      </c>
    </row>
    <row r="1937" ht="15.6" customHeight="1" spans="1:6">
      <c r="A1937" s="57"/>
      <c r="B1937" s="244" t="s">
        <v>1344</v>
      </c>
      <c r="C1937" s="57" t="s">
        <v>988</v>
      </c>
      <c r="D1937" s="84">
        <f t="shared" si="236"/>
        <v>8.0471858795373</v>
      </c>
      <c r="E1937" s="204">
        <v>3.73</v>
      </c>
      <c r="F1937" s="84">
        <f t="shared" si="237"/>
        <v>30.0160033306741</v>
      </c>
    </row>
    <row r="1938" ht="15.6" customHeight="1" spans="1:6">
      <c r="A1938" s="57"/>
      <c r="B1938" s="57" t="s">
        <v>1280</v>
      </c>
      <c r="C1938" s="57" t="s">
        <v>988</v>
      </c>
      <c r="D1938" s="84">
        <f t="shared" si="236"/>
        <v>49.389824491424</v>
      </c>
      <c r="E1938" s="204">
        <v>2.09</v>
      </c>
      <c r="F1938" s="84">
        <f t="shared" si="237"/>
        <v>103.224733187076</v>
      </c>
    </row>
    <row r="1939" ht="15.6" customHeight="1" spans="1:6">
      <c r="A1939" s="57"/>
      <c r="B1939" s="244" t="s">
        <v>1352</v>
      </c>
      <c r="C1939" s="57" t="s">
        <v>988</v>
      </c>
      <c r="D1939" s="84">
        <f t="shared" si="236"/>
        <v>62.3342780215397</v>
      </c>
      <c r="E1939" s="204">
        <v>2.2</v>
      </c>
      <c r="F1939" s="84">
        <f t="shared" si="237"/>
        <v>137.135411647387</v>
      </c>
    </row>
    <row r="1940" ht="15.6" customHeight="1" spans="1:6">
      <c r="A1940" s="57"/>
      <c r="B1940" s="57" t="s">
        <v>1223</v>
      </c>
      <c r="C1940" s="59" t="s">
        <v>423</v>
      </c>
      <c r="D1940" s="84">
        <f>SUM(F1934:F1939)</f>
        <v>857.568447758277</v>
      </c>
      <c r="E1940" s="84">
        <v>15</v>
      </c>
      <c r="F1940" s="84">
        <f>D1940*E1940/100</f>
        <v>128.635267163742</v>
      </c>
    </row>
    <row r="1941" ht="15.6" customHeight="1" spans="1:6">
      <c r="A1941" s="55">
        <v>4</v>
      </c>
      <c r="B1941" s="55" t="s">
        <v>1285</v>
      </c>
      <c r="C1941" s="253"/>
      <c r="D1941" s="254"/>
      <c r="E1941" s="254"/>
      <c r="F1941" s="254">
        <f>SUM(F1942:F1943)</f>
        <v>1986.41142067271</v>
      </c>
    </row>
    <row r="1942" ht="15.6" customHeight="1" spans="1:6">
      <c r="A1942" s="57"/>
      <c r="B1942" s="245" t="s">
        <v>1286</v>
      </c>
      <c r="C1942" s="245" t="s">
        <v>1188</v>
      </c>
      <c r="D1942" s="246">
        <f>$F$2253/100</f>
        <v>5.03319379720782</v>
      </c>
      <c r="E1942" s="246">
        <v>103</v>
      </c>
      <c r="F1942" s="84">
        <f>D1942*E1942</f>
        <v>518.418961112405</v>
      </c>
    </row>
    <row r="1943" ht="15.6" customHeight="1" spans="1:6">
      <c r="A1943" s="57"/>
      <c r="B1943" s="245" t="s">
        <v>1287</v>
      </c>
      <c r="C1943" s="245" t="s">
        <v>1188</v>
      </c>
      <c r="D1943" s="246">
        <f>$F$2271/100</f>
        <v>14.2523539763136</v>
      </c>
      <c r="E1943" s="246">
        <v>103</v>
      </c>
      <c r="F1943" s="84">
        <f>D1943*E1943</f>
        <v>1467.99245956031</v>
      </c>
    </row>
    <row r="1944" ht="15.6" customHeight="1" spans="1:6">
      <c r="A1944" s="57" t="s">
        <v>70</v>
      </c>
      <c r="B1944" s="57" t="s">
        <v>977</v>
      </c>
      <c r="C1944" s="194">
        <f>取费表!$C$7</f>
        <v>0.048</v>
      </c>
      <c r="D1944" s="246"/>
      <c r="E1944" s="246">
        <f>F1919</f>
        <v>36850.8790768747</v>
      </c>
      <c r="F1944" s="84">
        <f t="shared" ref="F1944:F1947" si="238">E1944*C1944</f>
        <v>1768.84219568999</v>
      </c>
    </row>
    <row r="1945" ht="15.6" customHeight="1" spans="1:6">
      <c r="A1945" s="57"/>
      <c r="B1945" s="57"/>
      <c r="C1945" s="194"/>
      <c r="D1945" s="246"/>
      <c r="E1945" s="246"/>
      <c r="F1945" s="84"/>
    </row>
    <row r="1946" ht="15.6" customHeight="1" spans="1:6">
      <c r="A1946" s="57" t="s">
        <v>979</v>
      </c>
      <c r="B1946" s="57" t="s">
        <v>973</v>
      </c>
      <c r="C1946" s="194">
        <f>取费表!$E$7</f>
        <v>0.07</v>
      </c>
      <c r="D1946" s="246"/>
      <c r="E1946" s="246">
        <f>F1918</f>
        <v>38619.7212725647</v>
      </c>
      <c r="F1946" s="84">
        <f t="shared" si="238"/>
        <v>2703.38048907953</v>
      </c>
    </row>
    <row r="1947" ht="15.6" customHeight="1" spans="1:6">
      <c r="A1947" s="57" t="s">
        <v>162</v>
      </c>
      <c r="B1947" s="57" t="s">
        <v>980</v>
      </c>
      <c r="C1947" s="194">
        <f>取费表!$F$7</f>
        <v>0.07</v>
      </c>
      <c r="D1947" s="246"/>
      <c r="E1947" s="246">
        <f>F1946+F1918</f>
        <v>41323.1017616442</v>
      </c>
      <c r="F1947" s="84">
        <f t="shared" si="238"/>
        <v>2892.6171233151</v>
      </c>
    </row>
    <row r="1948" ht="15.6" customHeight="1" spans="1:6">
      <c r="A1948" s="55" t="s">
        <v>214</v>
      </c>
      <c r="B1948" s="55" t="s">
        <v>1173</v>
      </c>
      <c r="C1948" s="253"/>
      <c r="D1948" s="254"/>
      <c r="E1948" s="55"/>
      <c r="F1948" s="255">
        <f>SUM(F1949:F1953)</f>
        <v>9453.51712793235</v>
      </c>
    </row>
    <row r="1949" ht="15.6" customHeight="1" spans="1:6">
      <c r="A1949" s="57"/>
      <c r="B1949" s="57"/>
      <c r="C1949" s="57"/>
      <c r="D1949" s="84"/>
      <c r="E1949" s="84"/>
      <c r="F1949" s="113"/>
    </row>
    <row r="1950" ht="15.6" customHeight="1" spans="1:6">
      <c r="A1950" s="57"/>
      <c r="B1950" s="57" t="s">
        <v>1141</v>
      </c>
      <c r="C1950" s="57" t="s">
        <v>69</v>
      </c>
      <c r="D1950" s="84">
        <f>材料预算价!K5-材料预算价!L5</f>
        <v>156.64017</v>
      </c>
      <c r="E1950" s="84">
        <f>E1930*配合比!E8</f>
        <v>31.641291</v>
      </c>
      <c r="F1950" s="113">
        <f t="shared" ref="F1950:F1953" si="239">D1950*E1950</f>
        <v>4956.29720125947</v>
      </c>
    </row>
    <row r="1951" ht="15.6" customHeight="1" spans="1:6">
      <c r="A1951" s="57"/>
      <c r="B1951" s="57" t="s">
        <v>1142</v>
      </c>
      <c r="C1951" s="57" t="s">
        <v>1188</v>
      </c>
      <c r="D1951" s="84">
        <f t="shared" ref="D1951:D1953" si="240">D1907</f>
        <v>44.826214</v>
      </c>
      <c r="E1951" s="84">
        <f>E1930*配合比!G8</f>
        <v>56.62734</v>
      </c>
      <c r="F1951" s="113">
        <f t="shared" si="239"/>
        <v>2538.38926109076</v>
      </c>
    </row>
    <row r="1952" ht="15.6" customHeight="1" spans="1:6">
      <c r="A1952" s="57"/>
      <c r="B1952" s="57" t="s">
        <v>1110</v>
      </c>
      <c r="C1952" s="57" t="s">
        <v>1188</v>
      </c>
      <c r="D1952" s="84">
        <f t="shared" si="240"/>
        <v>20.60443</v>
      </c>
      <c r="E1952" s="84">
        <f>E1930*配合比!I8</f>
        <v>86.667084</v>
      </c>
      <c r="F1952" s="113">
        <f t="shared" si="239"/>
        <v>1785.72586558212</v>
      </c>
    </row>
    <row r="1953" ht="15.6" customHeight="1" spans="1:6">
      <c r="A1953" s="57"/>
      <c r="B1953" s="57" t="s">
        <v>1290</v>
      </c>
      <c r="C1953" s="57" t="s">
        <v>184</v>
      </c>
      <c r="D1953" s="84">
        <f t="shared" si="240"/>
        <v>6.225</v>
      </c>
      <c r="E1953" s="84">
        <f>E1938*7.2+新定额单价!E1939*台时!F76</f>
        <v>27.808</v>
      </c>
      <c r="F1953" s="113">
        <f t="shared" si="239"/>
        <v>173.1048</v>
      </c>
    </row>
    <row r="1954" ht="15.6" customHeight="1" spans="1:6">
      <c r="A1954" s="57" t="s">
        <v>327</v>
      </c>
      <c r="B1954" s="57" t="s">
        <v>976</v>
      </c>
      <c r="C1954" s="195">
        <f>C1910</f>
        <v>0.09</v>
      </c>
      <c r="D1954" s="84"/>
      <c r="E1954" s="84">
        <f>F1948+F1947+F1946+F1918</f>
        <v>53669.2360128917</v>
      </c>
      <c r="F1954" s="84">
        <f>E1954*C1954</f>
        <v>4830.23124116025</v>
      </c>
    </row>
    <row r="1955" ht="15.6" customHeight="1" spans="1:6">
      <c r="A1955" s="57"/>
      <c r="B1955" s="57" t="s">
        <v>984</v>
      </c>
      <c r="C1955" s="195"/>
      <c r="D1955" s="84"/>
      <c r="E1955" s="84"/>
      <c r="F1955" s="84">
        <f>(F1918+F1946+F1947+F1948+F1954)*取费表!H4</f>
        <v>1754.98401762156</v>
      </c>
    </row>
    <row r="1956" ht="15.6" customHeight="1" spans="1:6">
      <c r="A1956" s="57"/>
      <c r="B1956" s="57" t="s">
        <v>278</v>
      </c>
      <c r="C1956" s="57"/>
      <c r="D1956" s="84"/>
      <c r="E1956" s="84"/>
      <c r="F1956" s="84">
        <f>F1954+E1954+F1955</f>
        <v>60254.4512716735</v>
      </c>
    </row>
    <row r="1957" ht="14.45" hidden="1" customHeight="1" spans="1:6">
      <c r="A1957" s="336" t="s">
        <v>1204</v>
      </c>
      <c r="B1957" s="337"/>
      <c r="C1957" s="337"/>
      <c r="D1957" s="337"/>
      <c r="E1957" s="337"/>
      <c r="F1957" s="337"/>
    </row>
    <row r="1958" ht="14.45" hidden="1" customHeight="1" spans="1:6">
      <c r="A1958" s="338" t="s">
        <v>1355</v>
      </c>
      <c r="B1958" s="339"/>
      <c r="C1958" s="339"/>
      <c r="D1958" s="339"/>
      <c r="E1958" s="339"/>
      <c r="F1958" s="339"/>
    </row>
    <row r="1959" ht="14.45" hidden="1" customHeight="1" spans="1:6">
      <c r="A1959" s="340" t="s">
        <v>1356</v>
      </c>
      <c r="B1959" s="341"/>
      <c r="C1959" s="339"/>
      <c r="D1959" s="339"/>
      <c r="E1959" s="341" t="s">
        <v>1159</v>
      </c>
      <c r="F1959" s="341"/>
    </row>
    <row r="1960" ht="14.45" hidden="1" customHeight="1" spans="1:6">
      <c r="A1960" s="117" t="s">
        <v>1218</v>
      </c>
      <c r="B1960" s="192" t="s">
        <v>1357</v>
      </c>
      <c r="C1960" s="192"/>
      <c r="D1960" s="192"/>
      <c r="E1960" s="192"/>
      <c r="F1960" s="118"/>
    </row>
    <row r="1961" ht="14.45" hidden="1" customHeight="1" spans="1:6">
      <c r="A1961" s="57" t="s">
        <v>354</v>
      </c>
      <c r="B1961" s="57" t="s">
        <v>956</v>
      </c>
      <c r="C1961" s="57" t="s">
        <v>52</v>
      </c>
      <c r="D1961" s="57" t="s">
        <v>855</v>
      </c>
      <c r="E1961" s="57" t="s">
        <v>53</v>
      </c>
      <c r="F1961" s="57" t="s">
        <v>306</v>
      </c>
    </row>
    <row r="1962" ht="14.45" hidden="1" customHeight="1" spans="1:6">
      <c r="A1962" s="57" t="s">
        <v>959</v>
      </c>
      <c r="B1962" s="57" t="s">
        <v>960</v>
      </c>
      <c r="C1962" s="57"/>
      <c r="D1962" s="57"/>
      <c r="E1962" s="57"/>
      <c r="F1962" s="84">
        <f>F1963+F1989+F1990</f>
        <v>60197.7374103017</v>
      </c>
    </row>
    <row r="1963" ht="14.45" hidden="1" customHeight="1" spans="1:6">
      <c r="A1963" s="57" t="s">
        <v>59</v>
      </c>
      <c r="B1963" s="57" t="s">
        <v>957</v>
      </c>
      <c r="C1963" s="57"/>
      <c r="D1963" s="57"/>
      <c r="E1963" s="57"/>
      <c r="F1963" s="84">
        <f>F1964+F1967+F1977+F1986</f>
        <v>57440.5891319673</v>
      </c>
    </row>
    <row r="1964" ht="14.45" hidden="1" customHeight="1" spans="1:6">
      <c r="A1964" s="57">
        <v>1</v>
      </c>
      <c r="B1964" s="57" t="s">
        <v>964</v>
      </c>
      <c r="C1964" s="57" t="s">
        <v>965</v>
      </c>
      <c r="D1964" s="84"/>
      <c r="E1964" s="113">
        <f>SUM(E1965:E1966)</f>
        <v>3052.7</v>
      </c>
      <c r="F1964" s="113">
        <f>SUM(F1965:F1966)</f>
        <v>23443.04</v>
      </c>
    </row>
    <row r="1965" ht="14.45" hidden="1" customHeight="1" spans="1:6">
      <c r="A1965" s="57"/>
      <c r="B1965" s="57" t="s">
        <v>966</v>
      </c>
      <c r="C1965" s="57" t="s">
        <v>965</v>
      </c>
      <c r="D1965" s="113">
        <f>D1789</f>
        <v>8.1</v>
      </c>
      <c r="E1965" s="92">
        <v>2501.7</v>
      </c>
      <c r="F1965" s="113">
        <f>D1965*E1965</f>
        <v>20263.77</v>
      </c>
    </row>
    <row r="1966" ht="14.45" hidden="1" customHeight="1" spans="1:6">
      <c r="A1966" s="57"/>
      <c r="B1966" s="57" t="s">
        <v>968</v>
      </c>
      <c r="C1966" s="57" t="s">
        <v>965</v>
      </c>
      <c r="D1966" s="113">
        <f>D1790</f>
        <v>5.77</v>
      </c>
      <c r="E1966" s="92">
        <v>551</v>
      </c>
      <c r="F1966" s="113">
        <f>D1966*E1966</f>
        <v>3179.27</v>
      </c>
    </row>
    <row r="1967" ht="14.45" hidden="1" customHeight="1" spans="1:6">
      <c r="A1967" s="57">
        <v>2</v>
      </c>
      <c r="B1967" s="57" t="s">
        <v>1219</v>
      </c>
      <c r="C1967" s="57"/>
      <c r="D1967" s="84"/>
      <c r="E1967" s="84"/>
      <c r="F1967" s="84">
        <f>SUM(F1968:F1976)</f>
        <v>30978.8684305</v>
      </c>
    </row>
    <row r="1968" ht="14.45" hidden="1" customHeight="1" spans="1:6">
      <c r="A1968" s="57"/>
      <c r="B1968" s="244" t="s">
        <v>1272</v>
      </c>
      <c r="C1968" s="244" t="s">
        <v>1188</v>
      </c>
      <c r="D1968" s="84">
        <f>基础材料表!D15</f>
        <v>1150</v>
      </c>
      <c r="E1968" s="84">
        <v>6.17</v>
      </c>
      <c r="F1968" s="84">
        <f t="shared" ref="F1968:F1975" si="241">D1968*E1968</f>
        <v>7095.5</v>
      </c>
    </row>
    <row r="1969" ht="14.45" hidden="1" customHeight="1" spans="1:6">
      <c r="A1969" s="57"/>
      <c r="B1969" s="244" t="s">
        <v>1334</v>
      </c>
      <c r="C1969" s="244" t="s">
        <v>184</v>
      </c>
      <c r="D1969" s="84">
        <f>基础材料表!D34</f>
        <v>4.44</v>
      </c>
      <c r="E1969" s="84">
        <v>60</v>
      </c>
      <c r="F1969" s="84">
        <f t="shared" si="241"/>
        <v>266.4</v>
      </c>
    </row>
    <row r="1970" ht="14.45" hidden="1" customHeight="1" spans="1:6">
      <c r="A1970" s="57"/>
      <c r="B1970" s="244" t="s">
        <v>1274</v>
      </c>
      <c r="C1970" s="244" t="s">
        <v>184</v>
      </c>
      <c r="D1970" s="84">
        <f>基础材料表!D30</f>
        <v>4.5</v>
      </c>
      <c r="E1970" s="84">
        <v>60.8</v>
      </c>
      <c r="F1970" s="84">
        <f t="shared" si="241"/>
        <v>273.6</v>
      </c>
    </row>
    <row r="1971" ht="14.45" hidden="1" customHeight="1" spans="1:6">
      <c r="A1971" s="57"/>
      <c r="B1971" s="244" t="s">
        <v>1276</v>
      </c>
      <c r="C1971" s="244" t="s">
        <v>184</v>
      </c>
      <c r="D1971" s="84">
        <f>基础材料表!D28</f>
        <v>4.5</v>
      </c>
      <c r="E1971" s="84">
        <v>276</v>
      </c>
      <c r="F1971" s="84">
        <f t="shared" si="241"/>
        <v>1242</v>
      </c>
    </row>
    <row r="1972" ht="14.45" hidden="1" customHeight="1" spans="1:6">
      <c r="A1972" s="57"/>
      <c r="B1972" s="244" t="s">
        <v>1277</v>
      </c>
      <c r="C1972" s="244" t="s">
        <v>184</v>
      </c>
      <c r="D1972" s="84">
        <f>基础材料表!D32</f>
        <v>6.39</v>
      </c>
      <c r="E1972" s="84">
        <v>302.4</v>
      </c>
      <c r="F1972" s="84">
        <f t="shared" si="241"/>
        <v>1932.336</v>
      </c>
    </row>
    <row r="1973" ht="14.45" hidden="1" customHeight="1" spans="1:6">
      <c r="A1973" s="57"/>
      <c r="B1973" s="244" t="s">
        <v>1278</v>
      </c>
      <c r="C1973" s="244" t="s">
        <v>184</v>
      </c>
      <c r="D1973" s="84">
        <f>基础材料表!D5</f>
        <v>5.97</v>
      </c>
      <c r="E1973" s="84">
        <v>5.8</v>
      </c>
      <c r="F1973" s="84">
        <f t="shared" si="241"/>
        <v>34.626</v>
      </c>
    </row>
    <row r="1974" ht="14.45" hidden="1" customHeight="1" spans="1:6">
      <c r="A1974" s="57"/>
      <c r="B1974" s="57" t="s">
        <v>1296</v>
      </c>
      <c r="C1974" s="57" t="s">
        <v>1188</v>
      </c>
      <c r="D1974" s="84">
        <f>配合比!M11</f>
        <v>188.1795335</v>
      </c>
      <c r="E1974" s="84">
        <v>103</v>
      </c>
      <c r="F1974" s="84">
        <f t="shared" si="241"/>
        <v>19382.4919505</v>
      </c>
    </row>
    <row r="1975" ht="14.45" hidden="1" customHeight="1" spans="1:6">
      <c r="A1975" s="57"/>
      <c r="B1975" s="57" t="s">
        <v>1022</v>
      </c>
      <c r="C1975" s="57" t="s">
        <v>1188</v>
      </c>
      <c r="D1975" s="84">
        <f>材料预算价!K14</f>
        <v>4.37</v>
      </c>
      <c r="E1975" s="84">
        <v>70</v>
      </c>
      <c r="F1975" s="84">
        <f t="shared" si="241"/>
        <v>305.9</v>
      </c>
    </row>
    <row r="1976" ht="14.45" hidden="1" customHeight="1" spans="1:6">
      <c r="A1976" s="57"/>
      <c r="B1976" s="57" t="s">
        <v>1163</v>
      </c>
      <c r="C1976" s="59" t="s">
        <v>423</v>
      </c>
      <c r="D1976" s="84">
        <f>F1968+F1969+F1970+F1971+F1972+F1973+F1975</f>
        <v>11150.362</v>
      </c>
      <c r="E1976" s="84">
        <v>4</v>
      </c>
      <c r="F1976" s="84">
        <f>D1976*E1976/100</f>
        <v>446.01448</v>
      </c>
    </row>
    <row r="1977" ht="14.45" hidden="1" customHeight="1" spans="1:6">
      <c r="A1977" s="57">
        <v>3</v>
      </c>
      <c r="B1977" s="57" t="s">
        <v>1171</v>
      </c>
      <c r="C1977" s="57"/>
      <c r="D1977" s="84"/>
      <c r="E1977" s="84"/>
      <c r="F1977" s="84">
        <f>SUM(F1978:F1985)</f>
        <v>1032.26928079458</v>
      </c>
    </row>
    <row r="1978" ht="14.45" hidden="1" customHeight="1" spans="1:6">
      <c r="A1978" s="57"/>
      <c r="B1978" s="57" t="s">
        <v>1284</v>
      </c>
      <c r="C1978" s="57" t="s">
        <v>988</v>
      </c>
      <c r="D1978" s="84">
        <f>D1802</f>
        <v>1.80552692461109</v>
      </c>
      <c r="E1978" s="84">
        <v>38.88</v>
      </c>
      <c r="F1978" s="84">
        <f t="shared" ref="F1978:F1984" si="242">D1978*E1978</f>
        <v>70.1988868288792</v>
      </c>
    </row>
    <row r="1979" ht="14.45" hidden="1" customHeight="1" spans="1:6">
      <c r="A1979" s="57"/>
      <c r="B1979" s="248" t="s">
        <v>1343</v>
      </c>
      <c r="C1979" s="57" t="s">
        <v>988</v>
      </c>
      <c r="D1979" s="84">
        <f>D1803</f>
        <v>23.7459521340247</v>
      </c>
      <c r="E1979" s="84">
        <v>18.54</v>
      </c>
      <c r="F1979" s="84">
        <f t="shared" si="242"/>
        <v>440.249952564819</v>
      </c>
    </row>
    <row r="1980" ht="14.45" hidden="1" customHeight="1" spans="1:6">
      <c r="A1980" s="57"/>
      <c r="B1980" s="248" t="s">
        <v>1358</v>
      </c>
      <c r="C1980" s="57" t="s">
        <v>988</v>
      </c>
      <c r="D1980" s="84">
        <f>台时!G42</f>
        <v>40.7860167530913</v>
      </c>
      <c r="E1980" s="204">
        <v>4</v>
      </c>
      <c r="F1980" s="84">
        <f t="shared" si="242"/>
        <v>163.144067012365</v>
      </c>
    </row>
    <row r="1981" ht="14.45" hidden="1" customHeight="1" spans="1:6">
      <c r="A1981" s="57"/>
      <c r="B1981" s="57" t="s">
        <v>1190</v>
      </c>
      <c r="C1981" s="57" t="s">
        <v>988</v>
      </c>
      <c r="D1981" s="84">
        <f>D1804</f>
        <v>0.813242919824491</v>
      </c>
      <c r="E1981" s="204">
        <v>86.4</v>
      </c>
      <c r="F1981" s="84">
        <f t="shared" si="242"/>
        <v>70.264188272836</v>
      </c>
    </row>
    <row r="1982" ht="14.45" hidden="1" customHeight="1" spans="1:6">
      <c r="A1982" s="57"/>
      <c r="B1982" s="57" t="s">
        <v>1280</v>
      </c>
      <c r="C1982" s="57" t="s">
        <v>988</v>
      </c>
      <c r="D1982" s="84">
        <f>D1805</f>
        <v>49.389824491424</v>
      </c>
      <c r="E1982" s="204">
        <v>0.96</v>
      </c>
      <c r="F1982" s="84">
        <f t="shared" si="242"/>
        <v>47.414231511767</v>
      </c>
    </row>
    <row r="1983" ht="14.45" hidden="1" customHeight="1" spans="1:6">
      <c r="A1983" s="57"/>
      <c r="B1983" s="244" t="s">
        <v>1352</v>
      </c>
      <c r="C1983" s="57" t="s">
        <v>988</v>
      </c>
      <c r="D1983" s="84">
        <f>台时!F84</f>
        <v>62.3342780215397</v>
      </c>
      <c r="E1983" s="204">
        <v>0.36</v>
      </c>
      <c r="F1983" s="84">
        <f t="shared" si="242"/>
        <v>22.4403400877543</v>
      </c>
    </row>
    <row r="1984" ht="14.45" hidden="1" customHeight="1" spans="1:6">
      <c r="A1984" s="57"/>
      <c r="B1984" s="244" t="s">
        <v>1344</v>
      </c>
      <c r="C1984" s="57" t="s">
        <v>988</v>
      </c>
      <c r="D1984" s="84">
        <f>D1806</f>
        <v>8.0471858795373</v>
      </c>
      <c r="E1984" s="204">
        <v>5.78</v>
      </c>
      <c r="F1984" s="84">
        <f t="shared" si="242"/>
        <v>46.5127343837256</v>
      </c>
    </row>
    <row r="1985" ht="14.45" hidden="1" customHeight="1" spans="1:6">
      <c r="A1985" s="57"/>
      <c r="B1985" s="57" t="s">
        <v>1223</v>
      </c>
      <c r="C1985" s="59" t="s">
        <v>423</v>
      </c>
      <c r="D1985" s="84">
        <f>SUM(F1978:F1984)</f>
        <v>860.224400662146</v>
      </c>
      <c r="E1985" s="84">
        <v>20</v>
      </c>
      <c r="F1985" s="84">
        <f>D1985*E1985/100</f>
        <v>172.044880132429</v>
      </c>
    </row>
    <row r="1986" ht="14.45" hidden="1" customHeight="1" spans="1:6">
      <c r="A1986" s="57">
        <v>4</v>
      </c>
      <c r="B1986" s="57" t="s">
        <v>1285</v>
      </c>
      <c r="C1986" s="59"/>
      <c r="D1986" s="84"/>
      <c r="E1986" s="84"/>
      <c r="F1986" s="84">
        <f>SUM(F1987:F1988)</f>
        <v>1986.41142067271</v>
      </c>
    </row>
    <row r="1987" ht="14.45" hidden="1" customHeight="1" spans="1:6">
      <c r="A1987" s="57"/>
      <c r="B1987" s="245" t="s">
        <v>1286</v>
      </c>
      <c r="C1987" s="245" t="s">
        <v>1188</v>
      </c>
      <c r="D1987" s="246">
        <f>$F$2253/100</f>
        <v>5.03319379720782</v>
      </c>
      <c r="E1987" s="246">
        <v>103</v>
      </c>
      <c r="F1987" s="84">
        <f>D1987*E1987</f>
        <v>518.418961112405</v>
      </c>
    </row>
    <row r="1988" ht="14.45" hidden="1" customHeight="1" spans="1:6">
      <c r="A1988" s="57"/>
      <c r="B1988" s="245" t="s">
        <v>1287</v>
      </c>
      <c r="C1988" s="245" t="s">
        <v>1188</v>
      </c>
      <c r="D1988" s="246">
        <f>$F$2271/100</f>
        <v>14.2523539763136</v>
      </c>
      <c r="E1988" s="246">
        <v>103</v>
      </c>
      <c r="F1988" s="84">
        <f>D1988*E1988</f>
        <v>1467.99245956031</v>
      </c>
    </row>
    <row r="1989" ht="14.45" hidden="1" customHeight="1" spans="1:6">
      <c r="A1989" s="57" t="s">
        <v>70</v>
      </c>
      <c r="B1989" s="57" t="s">
        <v>977</v>
      </c>
      <c r="C1989" s="194">
        <f>取费表!$C$7</f>
        <v>0.048</v>
      </c>
      <c r="D1989" s="246"/>
      <c r="E1989" s="246">
        <f>F1963</f>
        <v>57440.5891319673</v>
      </c>
      <c r="F1989" s="84">
        <f t="shared" ref="F1989:F1992" si="243">E1989*C1989</f>
        <v>2757.14827833443</v>
      </c>
    </row>
    <row r="1990" ht="14.45" hidden="1" customHeight="1" spans="1:6">
      <c r="A1990" s="57" t="s">
        <v>93</v>
      </c>
      <c r="B1990" s="57" t="s">
        <v>1191</v>
      </c>
      <c r="C1990" s="194">
        <f>取费表!$D$7</f>
        <v>0</v>
      </c>
      <c r="D1990" s="246"/>
      <c r="E1990" s="246">
        <f>E1989</f>
        <v>57440.5891319673</v>
      </c>
      <c r="F1990" s="84">
        <f t="shared" si="243"/>
        <v>0</v>
      </c>
    </row>
    <row r="1991" ht="14.45" hidden="1" customHeight="1" spans="1:6">
      <c r="A1991" s="57" t="s">
        <v>979</v>
      </c>
      <c r="B1991" s="57" t="s">
        <v>973</v>
      </c>
      <c r="C1991" s="194">
        <f>取费表!$E$7</f>
        <v>0.07</v>
      </c>
      <c r="D1991" s="246"/>
      <c r="E1991" s="246">
        <f>F1962</f>
        <v>60197.7374103017</v>
      </c>
      <c r="F1991" s="84">
        <f t="shared" si="243"/>
        <v>4213.84161872112</v>
      </c>
    </row>
    <row r="1992" ht="14.45" hidden="1" customHeight="1" spans="1:6">
      <c r="A1992" s="57" t="s">
        <v>162</v>
      </c>
      <c r="B1992" s="57" t="s">
        <v>980</v>
      </c>
      <c r="C1992" s="194">
        <f>取费表!$F$7</f>
        <v>0.07</v>
      </c>
      <c r="D1992" s="246"/>
      <c r="E1992" s="246">
        <f>F1991+F1962</f>
        <v>64411.5790290228</v>
      </c>
      <c r="F1992" s="84">
        <f t="shared" si="243"/>
        <v>4508.8105320316</v>
      </c>
    </row>
    <row r="1993" ht="14.45" hidden="1" customHeight="1" spans="1:6">
      <c r="A1993" s="57" t="s">
        <v>214</v>
      </c>
      <c r="B1993" s="57" t="s">
        <v>1173</v>
      </c>
      <c r="C1993" s="59"/>
      <c r="D1993" s="84"/>
      <c r="E1993" s="57"/>
      <c r="F1993" s="113">
        <f>F1994+F1999</f>
        <v>247.295</v>
      </c>
    </row>
    <row r="1994" ht="14.45" hidden="1" customHeight="1" spans="1:6">
      <c r="A1994" s="57">
        <v>1</v>
      </c>
      <c r="B1994" s="57" t="s">
        <v>1288</v>
      </c>
      <c r="C1994" s="59"/>
      <c r="D1994" s="84"/>
      <c r="E1994" s="57"/>
      <c r="F1994" s="113">
        <f>SUM(F1995:F1998)</f>
        <v>191.27</v>
      </c>
    </row>
    <row r="1995" ht="14.45" hidden="1" customHeight="1" spans="1:6">
      <c r="A1995" s="57"/>
      <c r="B1995" s="57" t="s">
        <v>1359</v>
      </c>
      <c r="C1995" s="57" t="s">
        <v>1188</v>
      </c>
      <c r="D1995" s="84">
        <f>D1817</f>
        <v>31</v>
      </c>
      <c r="E1995" s="84">
        <f>E1968</f>
        <v>6.17</v>
      </c>
      <c r="F1995" s="113">
        <f t="shared" ref="F1995:F2001" si="244">D1995*E1995</f>
        <v>191.27</v>
      </c>
    </row>
    <row r="1996" ht="14.45" hidden="1" customHeight="1" spans="1:6">
      <c r="A1996" s="57"/>
      <c r="B1996" s="57" t="s">
        <v>1360</v>
      </c>
      <c r="C1996" s="57" t="s">
        <v>1188</v>
      </c>
      <c r="D1996" s="84"/>
      <c r="E1996" s="84">
        <f>E1974</f>
        <v>103</v>
      </c>
      <c r="F1996" s="113">
        <f t="shared" si="244"/>
        <v>0</v>
      </c>
    </row>
    <row r="1997" ht="14.45" hidden="1" customHeight="1" spans="1:6">
      <c r="A1997" s="57"/>
      <c r="B1997" s="57"/>
      <c r="C1997" s="57"/>
      <c r="D1997" s="84"/>
      <c r="E1997" s="84"/>
      <c r="F1997" s="113"/>
    </row>
    <row r="1998" ht="14.45" hidden="1" customHeight="1" spans="1:6">
      <c r="A1998" s="57"/>
      <c r="B1998" s="57"/>
      <c r="C1998" s="57"/>
      <c r="D1998" s="84"/>
      <c r="E1998" s="84"/>
      <c r="F1998" s="113"/>
    </row>
    <row r="1999" ht="14.45" hidden="1" customHeight="1" spans="1:6">
      <c r="A1999" s="57">
        <v>2</v>
      </c>
      <c r="B1999" s="57" t="s">
        <v>1289</v>
      </c>
      <c r="C1999" s="57"/>
      <c r="D1999" s="84"/>
      <c r="E1999" s="88"/>
      <c r="F1999" s="113">
        <f>SUM(F2000:F2001)</f>
        <v>56.025</v>
      </c>
    </row>
    <row r="2000" ht="14.45" hidden="1" customHeight="1" spans="1:6">
      <c r="A2000" s="57"/>
      <c r="B2000" s="57" t="s">
        <v>1290</v>
      </c>
      <c r="C2000" s="57" t="s">
        <v>184</v>
      </c>
      <c r="D2000" s="84">
        <f>D1822</f>
        <v>6.225</v>
      </c>
      <c r="E2000" s="88">
        <f>(E1982*7.2+E1983*台时!F76)</f>
        <v>9</v>
      </c>
      <c r="F2000" s="113">
        <f t="shared" si="244"/>
        <v>56.025</v>
      </c>
    </row>
    <row r="2001" ht="14.45" hidden="1" customHeight="1" spans="1:6">
      <c r="A2001" s="57"/>
      <c r="B2001" s="57" t="s">
        <v>1174</v>
      </c>
      <c r="C2001" s="57" t="s">
        <v>184</v>
      </c>
      <c r="D2001" s="84">
        <f>D1823</f>
        <v>4.86</v>
      </c>
      <c r="E2001" s="88"/>
      <c r="F2001" s="113">
        <f t="shared" si="244"/>
        <v>0</v>
      </c>
    </row>
    <row r="2002" ht="14.45" hidden="1" customHeight="1" spans="1:6">
      <c r="A2002" s="57" t="s">
        <v>327</v>
      </c>
      <c r="B2002" s="57" t="s">
        <v>976</v>
      </c>
      <c r="C2002" s="195">
        <f>C1954</f>
        <v>0.09</v>
      </c>
      <c r="D2002" s="84"/>
      <c r="E2002" s="84">
        <f>F1993+F1992+F1991+F1962</f>
        <v>69167.6845610544</v>
      </c>
      <c r="F2002" s="84">
        <f>E2002*C2002</f>
        <v>6225.0916104949</v>
      </c>
    </row>
    <row r="2003" ht="14.45" hidden="1" customHeight="1" spans="1:6">
      <c r="A2003" s="57"/>
      <c r="B2003" s="57" t="s">
        <v>984</v>
      </c>
      <c r="C2003" s="195"/>
      <c r="D2003" s="84"/>
      <c r="E2003" s="84"/>
      <c r="F2003" s="84">
        <f>(F1962+F1991+F1992+F1993+F2002)*取费表!H4</f>
        <v>2261.78328514648</v>
      </c>
    </row>
    <row r="2004" ht="14.45" hidden="1" customHeight="1" spans="1:6">
      <c r="A2004" s="57"/>
      <c r="B2004" s="57" t="s">
        <v>278</v>
      </c>
      <c r="C2004" s="57"/>
      <c r="D2004" s="84"/>
      <c r="E2004" s="84"/>
      <c r="F2004" s="84">
        <f>F2002+E2002+F2003</f>
        <v>77654.5594566958</v>
      </c>
    </row>
    <row r="2005" ht="14.85" hidden="1" customHeight="1" spans="1:6">
      <c r="A2005" s="336" t="s">
        <v>1204</v>
      </c>
      <c r="B2005" s="337"/>
      <c r="C2005" s="337"/>
      <c r="D2005" s="337"/>
      <c r="E2005" s="337"/>
      <c r="F2005" s="337"/>
    </row>
    <row r="2006" ht="14.85" hidden="1" customHeight="1" spans="1:6">
      <c r="A2006" s="338" t="s">
        <v>1361</v>
      </c>
      <c r="B2006" s="339"/>
      <c r="C2006" s="339"/>
      <c r="D2006" s="339"/>
      <c r="E2006" s="339"/>
      <c r="F2006" s="339"/>
    </row>
    <row r="2007" ht="14.85" hidden="1" customHeight="1" spans="1:6">
      <c r="A2007" s="340" t="s">
        <v>1356</v>
      </c>
      <c r="B2007" s="341"/>
      <c r="C2007" s="339"/>
      <c r="D2007" s="339"/>
      <c r="E2007" s="341" t="s">
        <v>1159</v>
      </c>
      <c r="F2007" s="341"/>
    </row>
    <row r="2008" ht="14.85" hidden="1" customHeight="1" spans="1:6">
      <c r="A2008" s="342" t="s">
        <v>1218</v>
      </c>
      <c r="B2008" s="343" t="s">
        <v>1357</v>
      </c>
      <c r="C2008" s="343"/>
      <c r="D2008" s="343"/>
      <c r="E2008" s="343"/>
      <c r="F2008" s="344"/>
    </row>
    <row r="2009" ht="14.85" hidden="1" customHeight="1" spans="1:6">
      <c r="A2009" s="63" t="s">
        <v>354</v>
      </c>
      <c r="B2009" s="63" t="s">
        <v>956</v>
      </c>
      <c r="C2009" s="63" t="s">
        <v>52</v>
      </c>
      <c r="D2009" s="63" t="s">
        <v>855</v>
      </c>
      <c r="E2009" s="63" t="s">
        <v>53</v>
      </c>
      <c r="F2009" s="63" t="s">
        <v>306</v>
      </c>
    </row>
    <row r="2010" ht="14.85" hidden="1" customHeight="1" spans="1:6">
      <c r="A2010" s="57" t="s">
        <v>959</v>
      </c>
      <c r="B2010" s="57" t="s">
        <v>960</v>
      </c>
      <c r="C2010" s="57"/>
      <c r="D2010" s="57"/>
      <c r="E2010" s="57"/>
      <c r="F2010" s="84">
        <f>F2011+F2036+F2037</f>
        <v>36829.9792536248</v>
      </c>
    </row>
    <row r="2011" ht="14.85" hidden="1" customHeight="1" spans="1:6">
      <c r="A2011" s="57" t="s">
        <v>59</v>
      </c>
      <c r="B2011" s="57" t="s">
        <v>957</v>
      </c>
      <c r="C2011" s="57"/>
      <c r="D2011" s="57"/>
      <c r="E2011" s="57"/>
      <c r="F2011" s="84">
        <f>F2012+F2015+F2025+F2033</f>
        <v>35143.1099748329</v>
      </c>
    </row>
    <row r="2012" ht="14.85" hidden="1" customHeight="1" spans="1:6">
      <c r="A2012" s="57">
        <v>1</v>
      </c>
      <c r="B2012" s="57" t="s">
        <v>964</v>
      </c>
      <c r="C2012" s="57" t="s">
        <v>965</v>
      </c>
      <c r="D2012" s="84"/>
      <c r="E2012" s="113">
        <f>SUM(E2013:E2014)</f>
        <v>1593.2</v>
      </c>
      <c r="F2012" s="113">
        <f>SUM(F2013:F2014)</f>
        <v>12061.46</v>
      </c>
    </row>
    <row r="2013" ht="14.85" hidden="1" customHeight="1" spans="1:6">
      <c r="A2013" s="57"/>
      <c r="B2013" s="57" t="s">
        <v>966</v>
      </c>
      <c r="C2013" s="57" t="s">
        <v>965</v>
      </c>
      <c r="D2013" s="113">
        <f>D1965</f>
        <v>8.1</v>
      </c>
      <c r="E2013" s="92">
        <v>1231.2</v>
      </c>
      <c r="F2013" s="113">
        <f>D2013*E2013</f>
        <v>9972.72</v>
      </c>
    </row>
    <row r="2014" ht="14.85" hidden="1" customHeight="1" spans="1:6">
      <c r="A2014" s="57"/>
      <c r="B2014" s="57" t="s">
        <v>968</v>
      </c>
      <c r="C2014" s="57" t="s">
        <v>965</v>
      </c>
      <c r="D2014" s="113">
        <f>D1966</f>
        <v>5.77</v>
      </c>
      <c r="E2014" s="92">
        <v>362</v>
      </c>
      <c r="F2014" s="113">
        <f>D2014*E2014</f>
        <v>2088.74</v>
      </c>
    </row>
    <row r="2015" ht="14.85" hidden="1" customHeight="1" spans="1:6">
      <c r="A2015" s="57">
        <v>2</v>
      </c>
      <c r="B2015" s="57" t="s">
        <v>1219</v>
      </c>
      <c r="C2015" s="57"/>
      <c r="D2015" s="84"/>
      <c r="E2015" s="84"/>
      <c r="F2015" s="84">
        <f>SUM(F2016:F2024)</f>
        <v>20414.8105105</v>
      </c>
    </row>
    <row r="2016" ht="14.85" hidden="1" customHeight="1" spans="1:6">
      <c r="A2016" s="57"/>
      <c r="B2016" s="244" t="s">
        <v>1272</v>
      </c>
      <c r="C2016" s="244" t="s">
        <v>1188</v>
      </c>
      <c r="D2016" s="84">
        <f t="shared" ref="D2016:D2023" si="245">D1968</f>
        <v>1150</v>
      </c>
      <c r="E2016" s="84">
        <v>0.14</v>
      </c>
      <c r="F2016" s="84">
        <f t="shared" ref="F2016:F2023" si="246">D2016*E2016</f>
        <v>161</v>
      </c>
    </row>
    <row r="2017" ht="14.85" hidden="1" customHeight="1" spans="1:6">
      <c r="A2017" s="57"/>
      <c r="B2017" s="244" t="s">
        <v>1334</v>
      </c>
      <c r="C2017" s="244" t="s">
        <v>184</v>
      </c>
      <c r="D2017" s="84">
        <f t="shared" si="245"/>
        <v>4.44</v>
      </c>
      <c r="E2017" s="84">
        <v>13.1</v>
      </c>
      <c r="F2017" s="84">
        <f t="shared" si="246"/>
        <v>58.164</v>
      </c>
    </row>
    <row r="2018" ht="14.85" hidden="1" customHeight="1" spans="1:6">
      <c r="A2018" s="57"/>
      <c r="B2018" s="244" t="s">
        <v>1274</v>
      </c>
      <c r="C2018" s="244" t="s">
        <v>184</v>
      </c>
      <c r="D2018" s="84">
        <f t="shared" si="245"/>
        <v>4.5</v>
      </c>
      <c r="E2018" s="84">
        <v>13.2</v>
      </c>
      <c r="F2018" s="84">
        <f t="shared" si="246"/>
        <v>59.4</v>
      </c>
    </row>
    <row r="2019" ht="14.85" hidden="1" customHeight="1" spans="1:6">
      <c r="A2019" s="57"/>
      <c r="B2019" s="244" t="s">
        <v>1276</v>
      </c>
      <c r="C2019" s="244" t="s">
        <v>184</v>
      </c>
      <c r="D2019" s="84">
        <f t="shared" si="245"/>
        <v>4.5</v>
      </c>
      <c r="E2019" s="84">
        <v>14.7</v>
      </c>
      <c r="F2019" s="84">
        <f t="shared" si="246"/>
        <v>66.15</v>
      </c>
    </row>
    <row r="2020" ht="14.85" hidden="1" customHeight="1" spans="1:6">
      <c r="A2020" s="57"/>
      <c r="B2020" s="244" t="s">
        <v>1277</v>
      </c>
      <c r="C2020" s="244" t="s">
        <v>184</v>
      </c>
      <c r="D2020" s="84">
        <f t="shared" si="245"/>
        <v>6.39</v>
      </c>
      <c r="E2020" s="84">
        <v>52.4</v>
      </c>
      <c r="F2020" s="84">
        <f t="shared" si="246"/>
        <v>334.836</v>
      </c>
    </row>
    <row r="2021" ht="14.85" hidden="1" customHeight="1" spans="1:6">
      <c r="A2021" s="57"/>
      <c r="B2021" s="244" t="s">
        <v>1278</v>
      </c>
      <c r="C2021" s="244" t="s">
        <v>184</v>
      </c>
      <c r="D2021" s="84">
        <f t="shared" si="245"/>
        <v>5.97</v>
      </c>
      <c r="E2021" s="84">
        <v>1.2</v>
      </c>
      <c r="F2021" s="84">
        <f t="shared" si="246"/>
        <v>7.164</v>
      </c>
    </row>
    <row r="2022" ht="14.85" hidden="1" customHeight="1" spans="1:6">
      <c r="A2022" s="57"/>
      <c r="B2022" s="57" t="s">
        <v>1296</v>
      </c>
      <c r="C2022" s="57" t="s">
        <v>1188</v>
      </c>
      <c r="D2022" s="84">
        <f t="shared" si="245"/>
        <v>188.1795335</v>
      </c>
      <c r="E2022" s="84">
        <v>103</v>
      </c>
      <c r="F2022" s="84">
        <f t="shared" si="246"/>
        <v>19382.4919505</v>
      </c>
    </row>
    <row r="2023" ht="14.85" hidden="1" customHeight="1" spans="1:6">
      <c r="A2023" s="57"/>
      <c r="B2023" s="57" t="s">
        <v>1022</v>
      </c>
      <c r="C2023" s="57" t="s">
        <v>1188</v>
      </c>
      <c r="D2023" s="84">
        <f t="shared" si="245"/>
        <v>4.37</v>
      </c>
      <c r="E2023" s="84">
        <v>70</v>
      </c>
      <c r="F2023" s="84">
        <f t="shared" si="246"/>
        <v>305.9</v>
      </c>
    </row>
    <row r="2024" ht="14.85" hidden="1" customHeight="1" spans="1:6">
      <c r="A2024" s="57"/>
      <c r="B2024" s="57" t="s">
        <v>1163</v>
      </c>
      <c r="C2024" s="59" t="s">
        <v>423</v>
      </c>
      <c r="D2024" s="84">
        <f>F2016+F2017+F2018+F2019+F2020+F2021+F2023</f>
        <v>992.614</v>
      </c>
      <c r="E2024" s="84">
        <v>4</v>
      </c>
      <c r="F2024" s="84">
        <f>D2024*E2024/100</f>
        <v>39.70456</v>
      </c>
    </row>
    <row r="2025" ht="14.85" hidden="1" customHeight="1" spans="1:6">
      <c r="A2025" s="57">
        <v>3</v>
      </c>
      <c r="B2025" s="57" t="s">
        <v>1171</v>
      </c>
      <c r="C2025" s="57"/>
      <c r="D2025" s="84"/>
      <c r="E2025" s="84"/>
      <c r="F2025" s="84">
        <f>SUM(F2026:F2032)</f>
        <v>680.428043660152</v>
      </c>
    </row>
    <row r="2026" ht="14.85" hidden="1" customHeight="1" spans="1:6">
      <c r="A2026" s="57"/>
      <c r="B2026" s="57" t="s">
        <v>1284</v>
      </c>
      <c r="C2026" s="57" t="s">
        <v>988</v>
      </c>
      <c r="D2026" s="84">
        <f>D1978</f>
        <v>1.80552692461109</v>
      </c>
      <c r="E2026" s="84">
        <v>23</v>
      </c>
      <c r="F2026" s="84">
        <f t="shared" ref="F2026:F2031" si="247">D2026*E2026</f>
        <v>41.5271192660551</v>
      </c>
    </row>
    <row r="2027" ht="14.85" hidden="1" customHeight="1" spans="1:6">
      <c r="A2027" s="57"/>
      <c r="B2027" s="248" t="s">
        <v>1343</v>
      </c>
      <c r="C2027" s="57" t="s">
        <v>988</v>
      </c>
      <c r="D2027" s="84">
        <f>D1979</f>
        <v>23.7459521340247</v>
      </c>
      <c r="E2027" s="84">
        <v>18.54</v>
      </c>
      <c r="F2027" s="84">
        <f t="shared" si="247"/>
        <v>440.249952564819</v>
      </c>
    </row>
    <row r="2028" ht="14.85" hidden="1" customHeight="1" spans="1:6">
      <c r="A2028" s="57"/>
      <c r="B2028" s="57" t="s">
        <v>1190</v>
      </c>
      <c r="C2028" s="57" t="s">
        <v>988</v>
      </c>
      <c r="D2028" s="84">
        <f t="shared" ref="D2028:D2031" si="248">D1981</f>
        <v>0.813242919824491</v>
      </c>
      <c r="E2028" s="204">
        <v>75.2</v>
      </c>
      <c r="F2028" s="84">
        <f t="shared" si="247"/>
        <v>61.1558675708017</v>
      </c>
    </row>
    <row r="2029" ht="14.85" hidden="1" customHeight="1" spans="1:6">
      <c r="A2029" s="57"/>
      <c r="B2029" s="57" t="s">
        <v>1280</v>
      </c>
      <c r="C2029" s="57" t="s">
        <v>988</v>
      </c>
      <c r="D2029" s="84">
        <f t="shared" si="248"/>
        <v>49.389824491424</v>
      </c>
      <c r="E2029" s="204">
        <v>0.21</v>
      </c>
      <c r="F2029" s="84">
        <f t="shared" si="247"/>
        <v>10.371863143199</v>
      </c>
    </row>
    <row r="2030" ht="14.85" hidden="1" customHeight="1" spans="1:6">
      <c r="A2030" s="57"/>
      <c r="B2030" s="244" t="s">
        <v>1352</v>
      </c>
      <c r="C2030" s="57" t="s">
        <v>988</v>
      </c>
      <c r="D2030" s="84">
        <f t="shared" si="248"/>
        <v>62.3342780215397</v>
      </c>
      <c r="E2030" s="204">
        <v>0.06</v>
      </c>
      <c r="F2030" s="84">
        <f t="shared" si="247"/>
        <v>3.74005668129238</v>
      </c>
    </row>
    <row r="2031" ht="14.85" hidden="1" customHeight="1" spans="1:6">
      <c r="A2031" s="57"/>
      <c r="B2031" s="244" t="s">
        <v>1344</v>
      </c>
      <c r="C2031" s="57" t="s">
        <v>988</v>
      </c>
      <c r="D2031" s="84">
        <f t="shared" si="248"/>
        <v>8.0471858795373</v>
      </c>
      <c r="E2031" s="204">
        <v>1.24</v>
      </c>
      <c r="F2031" s="84">
        <f t="shared" si="247"/>
        <v>9.97851049062625</v>
      </c>
    </row>
    <row r="2032" ht="14.85" hidden="1" customHeight="1" spans="1:6">
      <c r="A2032" s="57"/>
      <c r="B2032" s="57" t="s">
        <v>1223</v>
      </c>
      <c r="C2032" s="59" t="s">
        <v>423</v>
      </c>
      <c r="D2032" s="84">
        <f>SUM(F2026:F2031)</f>
        <v>567.023369716793</v>
      </c>
      <c r="E2032" s="84">
        <v>20</v>
      </c>
      <c r="F2032" s="84">
        <f>D2032*E2032/100</f>
        <v>113.404673943359</v>
      </c>
    </row>
    <row r="2033" ht="14.85" hidden="1" customHeight="1" spans="1:6">
      <c r="A2033" s="55">
        <v>4</v>
      </c>
      <c r="B2033" s="55" t="s">
        <v>1285</v>
      </c>
      <c r="C2033" s="253"/>
      <c r="D2033" s="254"/>
      <c r="E2033" s="254"/>
      <c r="F2033" s="254">
        <f>SUM(F2034:F2035)</f>
        <v>1986.41142067271</v>
      </c>
    </row>
    <row r="2034" ht="14.85" hidden="1" customHeight="1" spans="1:6">
      <c r="A2034" s="57"/>
      <c r="B2034" s="245" t="s">
        <v>1286</v>
      </c>
      <c r="C2034" s="245" t="s">
        <v>1188</v>
      </c>
      <c r="D2034" s="246">
        <f>$F$2253/100</f>
        <v>5.03319379720782</v>
      </c>
      <c r="E2034" s="246">
        <v>103</v>
      </c>
      <c r="F2034" s="84">
        <f>D2034*E2034</f>
        <v>518.418961112405</v>
      </c>
    </row>
    <row r="2035" ht="14.85" hidden="1" customHeight="1" spans="1:6">
      <c r="A2035" s="57"/>
      <c r="B2035" s="245" t="s">
        <v>1287</v>
      </c>
      <c r="C2035" s="245" t="s">
        <v>1188</v>
      </c>
      <c r="D2035" s="246">
        <f>$F$2271/100</f>
        <v>14.2523539763136</v>
      </c>
      <c r="E2035" s="246">
        <v>103</v>
      </c>
      <c r="F2035" s="84">
        <f>D2035*E2035</f>
        <v>1467.99245956031</v>
      </c>
    </row>
    <row r="2036" ht="14.85" hidden="1" customHeight="1" spans="1:6">
      <c r="A2036" s="57" t="s">
        <v>70</v>
      </c>
      <c r="B2036" s="57" t="s">
        <v>977</v>
      </c>
      <c r="C2036" s="194">
        <f>取费表!$C$7</f>
        <v>0.048</v>
      </c>
      <c r="D2036" s="246"/>
      <c r="E2036" s="246">
        <f>F2011</f>
        <v>35143.1099748329</v>
      </c>
      <c r="F2036" s="84">
        <f t="shared" ref="F2036:F2039" si="249">E2036*C2036</f>
        <v>1686.86927879198</v>
      </c>
    </row>
    <row r="2037" ht="14.85" hidden="1" customHeight="1" spans="1:6">
      <c r="A2037" s="57" t="s">
        <v>93</v>
      </c>
      <c r="B2037" s="57" t="s">
        <v>1191</v>
      </c>
      <c r="C2037" s="194">
        <f>取费表!$D$7</f>
        <v>0</v>
      </c>
      <c r="D2037" s="246"/>
      <c r="E2037" s="246">
        <f>E2036</f>
        <v>35143.1099748329</v>
      </c>
      <c r="F2037" s="84">
        <f t="shared" si="249"/>
        <v>0</v>
      </c>
    </row>
    <row r="2038" ht="14.85" hidden="1" customHeight="1" spans="1:6">
      <c r="A2038" s="57" t="s">
        <v>979</v>
      </c>
      <c r="B2038" s="57" t="s">
        <v>973</v>
      </c>
      <c r="C2038" s="194">
        <f>取费表!$E$7</f>
        <v>0.07</v>
      </c>
      <c r="D2038" s="246"/>
      <c r="E2038" s="246">
        <f>F2010</f>
        <v>36829.9792536248</v>
      </c>
      <c r="F2038" s="84">
        <f t="shared" si="249"/>
        <v>2578.09854775374</v>
      </c>
    </row>
    <row r="2039" ht="14.85" hidden="1" customHeight="1" spans="1:6">
      <c r="A2039" s="57" t="s">
        <v>162</v>
      </c>
      <c r="B2039" s="57" t="s">
        <v>980</v>
      </c>
      <c r="C2039" s="194">
        <f>取费表!$F$7</f>
        <v>0.07</v>
      </c>
      <c r="D2039" s="246"/>
      <c r="E2039" s="246">
        <f>F2038+F2010</f>
        <v>39408.0778013786</v>
      </c>
      <c r="F2039" s="84">
        <f t="shared" si="249"/>
        <v>2758.5654460965</v>
      </c>
    </row>
    <row r="2040" ht="14.85" hidden="1" customHeight="1" spans="1:6">
      <c r="A2040" s="55" t="s">
        <v>214</v>
      </c>
      <c r="B2040" s="55" t="s">
        <v>1173</v>
      </c>
      <c r="C2040" s="253"/>
      <c r="D2040" s="254"/>
      <c r="E2040" s="55"/>
      <c r="F2040" s="255">
        <f>F2041+F2046</f>
        <v>15.9185</v>
      </c>
    </row>
    <row r="2041" ht="14.85" hidden="1" customHeight="1" spans="1:6">
      <c r="A2041" s="57">
        <v>1</v>
      </c>
      <c r="B2041" s="57" t="s">
        <v>1288</v>
      </c>
      <c r="C2041" s="59"/>
      <c r="D2041" s="84"/>
      <c r="E2041" s="57"/>
      <c r="F2041" s="113">
        <f>SUM(F2042:F2045)</f>
        <v>4.34</v>
      </c>
    </row>
    <row r="2042" ht="14.85" hidden="1" customHeight="1" spans="1:6">
      <c r="A2042" s="57"/>
      <c r="B2042" s="57" t="s">
        <v>1359</v>
      </c>
      <c r="C2042" s="57" t="s">
        <v>1188</v>
      </c>
      <c r="D2042" s="84">
        <f t="shared" ref="D2042:D2048" si="250">D1995</f>
        <v>31</v>
      </c>
      <c r="E2042" s="84">
        <f>E2016</f>
        <v>0.14</v>
      </c>
      <c r="F2042" s="113">
        <f t="shared" ref="F2042:F2048" si="251">D2042*E2042</f>
        <v>4.34</v>
      </c>
    </row>
    <row r="2043" ht="14.85" hidden="1" customHeight="1" spans="1:6">
      <c r="A2043" s="57"/>
      <c r="B2043" s="57" t="s">
        <v>1360</v>
      </c>
      <c r="C2043" s="57" t="s">
        <v>69</v>
      </c>
      <c r="D2043" s="84">
        <f t="shared" si="250"/>
        <v>0</v>
      </c>
      <c r="E2043" s="84">
        <f>E1996</f>
        <v>103</v>
      </c>
      <c r="F2043" s="113">
        <f t="shared" si="251"/>
        <v>0</v>
      </c>
    </row>
    <row r="2044" ht="14.85" hidden="1" customHeight="1" spans="1:6">
      <c r="A2044" s="57"/>
      <c r="B2044" s="57"/>
      <c r="C2044" s="57"/>
      <c r="D2044" s="84"/>
      <c r="E2044" s="84"/>
      <c r="F2044" s="113"/>
    </row>
    <row r="2045" ht="14.85" hidden="1" customHeight="1" spans="1:6">
      <c r="A2045" s="57"/>
      <c r="B2045" s="57"/>
      <c r="C2045" s="57"/>
      <c r="D2045" s="84"/>
      <c r="E2045" s="84"/>
      <c r="F2045" s="113"/>
    </row>
    <row r="2046" ht="14.85" hidden="1" customHeight="1" spans="1:6">
      <c r="A2046" s="57">
        <v>2</v>
      </c>
      <c r="B2046" s="57" t="s">
        <v>1289</v>
      </c>
      <c r="C2046" s="57"/>
      <c r="D2046" s="84"/>
      <c r="E2046" s="88"/>
      <c r="F2046" s="113">
        <f>SUM(F2047:F2048)</f>
        <v>11.5785</v>
      </c>
    </row>
    <row r="2047" ht="14.85" hidden="1" customHeight="1" spans="1:6">
      <c r="A2047" s="57"/>
      <c r="B2047" s="57" t="s">
        <v>1290</v>
      </c>
      <c r="C2047" s="57" t="s">
        <v>184</v>
      </c>
      <c r="D2047" s="84">
        <f t="shared" si="250"/>
        <v>6.225</v>
      </c>
      <c r="E2047" s="88">
        <f>(E2029*7.2+E2030*台时!F76)</f>
        <v>1.86</v>
      </c>
      <c r="F2047" s="113">
        <f t="shared" si="251"/>
        <v>11.5785</v>
      </c>
    </row>
    <row r="2048" ht="14.85" hidden="1" customHeight="1" spans="1:6">
      <c r="A2048" s="57"/>
      <c r="B2048" s="57" t="s">
        <v>1174</v>
      </c>
      <c r="C2048" s="57" t="s">
        <v>184</v>
      </c>
      <c r="D2048" s="84">
        <f t="shared" si="250"/>
        <v>4.86</v>
      </c>
      <c r="E2048" s="88"/>
      <c r="F2048" s="113">
        <f t="shared" si="251"/>
        <v>0</v>
      </c>
    </row>
    <row r="2049" ht="14.85" hidden="1" customHeight="1" spans="1:6">
      <c r="A2049" s="57" t="s">
        <v>327</v>
      </c>
      <c r="B2049" s="57" t="s">
        <v>976</v>
      </c>
      <c r="C2049" s="195">
        <f>C2002</f>
        <v>0.09</v>
      </c>
      <c r="D2049" s="84"/>
      <c r="E2049" s="84">
        <f>F2040+F2039+F2038+F2010</f>
        <v>42182.561747475</v>
      </c>
      <c r="F2049" s="84">
        <f>E2049*C2049</f>
        <v>3796.43055727275</v>
      </c>
    </row>
    <row r="2050" ht="14.85" hidden="1" customHeight="1" spans="1:6">
      <c r="A2050" s="57"/>
      <c r="B2050" s="57" t="s">
        <v>984</v>
      </c>
      <c r="C2050" s="195"/>
      <c r="D2050" s="84"/>
      <c r="E2050" s="84"/>
      <c r="F2050" s="84">
        <f>(F2010+F2038+F2039+F2040+F2049)*取费表!H4</f>
        <v>1379.36976914243</v>
      </c>
    </row>
    <row r="2051" ht="14.85" hidden="1" customHeight="1" spans="1:6">
      <c r="A2051" s="57"/>
      <c r="B2051" s="57" t="s">
        <v>278</v>
      </c>
      <c r="C2051" s="57"/>
      <c r="D2051" s="84"/>
      <c r="E2051" s="84"/>
      <c r="F2051" s="84">
        <f>F2049+E2049+F2050</f>
        <v>47358.3620738902</v>
      </c>
    </row>
    <row r="2052" ht="14.45" customHeight="1" spans="1:6">
      <c r="A2052" s="176" t="s">
        <v>1204</v>
      </c>
      <c r="B2052" s="175"/>
      <c r="C2052" s="175"/>
      <c r="D2052" s="175"/>
      <c r="E2052" s="175"/>
      <c r="F2052" s="175"/>
    </row>
    <row r="2053" ht="14.45" customHeight="1" spans="1:6">
      <c r="A2053" s="242" t="s">
        <v>1355</v>
      </c>
      <c r="C2053" s="243"/>
      <c r="D2053" s="243"/>
      <c r="E2053" s="243"/>
      <c r="F2053" s="243"/>
    </row>
    <row r="2054" ht="14.45" customHeight="1" spans="1:6">
      <c r="A2054" s="190" t="s">
        <v>1356</v>
      </c>
      <c r="B2054" s="191"/>
      <c r="C2054" s="243"/>
      <c r="D2054" s="243"/>
      <c r="E2054" s="191" t="s">
        <v>1159</v>
      </c>
      <c r="F2054" s="191"/>
    </row>
    <row r="2055" ht="14.45" customHeight="1" spans="1:6">
      <c r="A2055" s="117" t="s">
        <v>1218</v>
      </c>
      <c r="B2055" s="192"/>
      <c r="C2055" s="192"/>
      <c r="D2055" s="192"/>
      <c r="E2055" s="192"/>
      <c r="F2055" s="118"/>
    </row>
    <row r="2056" ht="14.45" customHeight="1" spans="1:6">
      <c r="A2056" s="57" t="s">
        <v>354</v>
      </c>
      <c r="B2056" s="57" t="s">
        <v>956</v>
      </c>
      <c r="C2056" s="57" t="s">
        <v>52</v>
      </c>
      <c r="D2056" s="57" t="s">
        <v>855</v>
      </c>
      <c r="E2056" s="57" t="s">
        <v>53</v>
      </c>
      <c r="F2056" s="57" t="s">
        <v>306</v>
      </c>
    </row>
    <row r="2057" ht="14.45" customHeight="1" spans="1:6">
      <c r="A2057" s="57" t="s">
        <v>959</v>
      </c>
      <c r="B2057" s="57" t="s">
        <v>960</v>
      </c>
      <c r="C2057" s="57"/>
      <c r="D2057" s="57"/>
      <c r="E2057" s="57"/>
      <c r="F2057" s="84">
        <f>F2058+F2084+F2085</f>
        <v>67478.4500994779</v>
      </c>
    </row>
    <row r="2058" ht="14.45" customHeight="1" spans="1:6">
      <c r="A2058" s="57" t="s">
        <v>59</v>
      </c>
      <c r="B2058" s="57" t="s">
        <v>957</v>
      </c>
      <c r="C2058" s="57"/>
      <c r="D2058" s="57"/>
      <c r="E2058" s="57"/>
      <c r="F2058" s="84">
        <f>F2059+F2062+F2072+F2081</f>
        <v>64387.8340643873</v>
      </c>
    </row>
    <row r="2059" ht="14.45" customHeight="1" spans="1:6">
      <c r="A2059" s="57">
        <v>1</v>
      </c>
      <c r="B2059" s="57" t="s">
        <v>964</v>
      </c>
      <c r="C2059" s="57" t="s">
        <v>965</v>
      </c>
      <c r="D2059" s="84"/>
      <c r="E2059" s="113">
        <f>SUM(E2060:E2061)</f>
        <v>3052.7</v>
      </c>
      <c r="F2059" s="113">
        <f>SUM(F2060:F2061)</f>
        <v>23443.04</v>
      </c>
    </row>
    <row r="2060" ht="14.45" customHeight="1" spans="1:6">
      <c r="A2060" s="57"/>
      <c r="B2060" s="57" t="s">
        <v>966</v>
      </c>
      <c r="C2060" s="57" t="s">
        <v>965</v>
      </c>
      <c r="D2060" s="113">
        <f t="shared" ref="D2060:D2068" si="252">D2013</f>
        <v>8.1</v>
      </c>
      <c r="E2060" s="92">
        <v>2501.7</v>
      </c>
      <c r="F2060" s="113">
        <f>D2060*E2060</f>
        <v>20263.77</v>
      </c>
    </row>
    <row r="2061" ht="14.45" customHeight="1" spans="1:6">
      <c r="A2061" s="57"/>
      <c r="B2061" s="57" t="s">
        <v>968</v>
      </c>
      <c r="C2061" s="57" t="s">
        <v>965</v>
      </c>
      <c r="D2061" s="113">
        <f t="shared" si="252"/>
        <v>5.77</v>
      </c>
      <c r="E2061" s="92">
        <v>551</v>
      </c>
      <c r="F2061" s="113">
        <f>D2061*E2061</f>
        <v>3179.27</v>
      </c>
    </row>
    <row r="2062" ht="14.45" customHeight="1" spans="1:6">
      <c r="A2062" s="57">
        <v>2</v>
      </c>
      <c r="B2062" s="57" t="s">
        <v>1219</v>
      </c>
      <c r="C2062" s="57"/>
      <c r="D2062" s="84"/>
      <c r="E2062" s="84"/>
      <c r="F2062" s="84">
        <f>SUM(F2063:F2071)</f>
        <v>37926.11336292</v>
      </c>
    </row>
    <row r="2063" ht="14.45" customHeight="1" spans="1:6">
      <c r="A2063" s="57"/>
      <c r="B2063" s="244" t="s">
        <v>1272</v>
      </c>
      <c r="C2063" s="244" t="s">
        <v>1188</v>
      </c>
      <c r="D2063" s="84">
        <f>D1924</f>
        <v>2232.665025</v>
      </c>
      <c r="E2063" s="84">
        <v>6.17</v>
      </c>
      <c r="F2063" s="84">
        <f t="shared" ref="F2063:F2070" si="253">D2063*E2063</f>
        <v>13775.54320425</v>
      </c>
    </row>
    <row r="2064" ht="14.45" customHeight="1" spans="1:6">
      <c r="A2064" s="57"/>
      <c r="B2064" s="244" t="s">
        <v>1334</v>
      </c>
      <c r="C2064" s="244" t="s">
        <v>184</v>
      </c>
      <c r="D2064" s="84">
        <f t="shared" si="252"/>
        <v>4.44</v>
      </c>
      <c r="E2064" s="84">
        <v>60</v>
      </c>
      <c r="F2064" s="84">
        <f t="shared" si="253"/>
        <v>266.4</v>
      </c>
    </row>
    <row r="2065" ht="14.45" customHeight="1" spans="1:6">
      <c r="A2065" s="57"/>
      <c r="B2065" s="244" t="s">
        <v>1274</v>
      </c>
      <c r="C2065" s="244" t="s">
        <v>184</v>
      </c>
      <c r="D2065" s="84">
        <f t="shared" si="252"/>
        <v>4.5</v>
      </c>
      <c r="E2065" s="84">
        <v>60.8</v>
      </c>
      <c r="F2065" s="84">
        <f t="shared" si="253"/>
        <v>273.6</v>
      </c>
    </row>
    <row r="2066" ht="14.45" customHeight="1" spans="1:6">
      <c r="A2066" s="57"/>
      <c r="B2066" s="244" t="s">
        <v>1276</v>
      </c>
      <c r="C2066" s="244" t="s">
        <v>184</v>
      </c>
      <c r="D2066" s="84">
        <f t="shared" si="252"/>
        <v>4.5</v>
      </c>
      <c r="E2066" s="84">
        <v>276</v>
      </c>
      <c r="F2066" s="84">
        <f t="shared" si="253"/>
        <v>1242</v>
      </c>
    </row>
    <row r="2067" ht="14.45" customHeight="1" spans="1:6">
      <c r="A2067" s="57"/>
      <c r="B2067" s="244" t="s">
        <v>1277</v>
      </c>
      <c r="C2067" s="244" t="s">
        <v>184</v>
      </c>
      <c r="D2067" s="84">
        <f t="shared" si="252"/>
        <v>6.39</v>
      </c>
      <c r="E2067" s="84">
        <v>302.4</v>
      </c>
      <c r="F2067" s="84">
        <f t="shared" si="253"/>
        <v>1932.336</v>
      </c>
    </row>
    <row r="2068" ht="14.45" customHeight="1" spans="1:6">
      <c r="A2068" s="57"/>
      <c r="B2068" s="244" t="s">
        <v>1278</v>
      </c>
      <c r="C2068" s="244" t="s">
        <v>184</v>
      </c>
      <c r="D2068" s="84">
        <f t="shared" si="252"/>
        <v>5.97</v>
      </c>
      <c r="E2068" s="84">
        <v>5.8</v>
      </c>
      <c r="F2068" s="84">
        <f t="shared" si="253"/>
        <v>34.626</v>
      </c>
    </row>
    <row r="2069" ht="14.45" customHeight="1" spans="1:6">
      <c r="A2069" s="57"/>
      <c r="B2069" s="57" t="s">
        <v>1296</v>
      </c>
      <c r="C2069" s="57" t="s">
        <v>1188</v>
      </c>
      <c r="D2069" s="84">
        <f>配合比!M11</f>
        <v>188.1795335</v>
      </c>
      <c r="E2069" s="84">
        <v>103</v>
      </c>
      <c r="F2069" s="84">
        <f t="shared" si="253"/>
        <v>19382.4919505</v>
      </c>
    </row>
    <row r="2070" ht="14.45" customHeight="1" spans="1:6">
      <c r="A2070" s="57"/>
      <c r="B2070" s="57" t="s">
        <v>1022</v>
      </c>
      <c r="C2070" s="57" t="s">
        <v>1188</v>
      </c>
      <c r="D2070" s="84">
        <f>D1975</f>
        <v>4.37</v>
      </c>
      <c r="E2070" s="84">
        <v>70</v>
      </c>
      <c r="F2070" s="84">
        <f t="shared" si="253"/>
        <v>305.9</v>
      </c>
    </row>
    <row r="2071" ht="14.45" customHeight="1" spans="1:6">
      <c r="A2071" s="57"/>
      <c r="B2071" s="57" t="s">
        <v>1163</v>
      </c>
      <c r="C2071" s="59" t="s">
        <v>423</v>
      </c>
      <c r="D2071" s="84">
        <f>F2063+F2064+F2065+F2066+F2067+F2068+F2070</f>
        <v>17830.40520425</v>
      </c>
      <c r="E2071" s="84">
        <v>4</v>
      </c>
      <c r="F2071" s="84">
        <f>D2071*E2071/100</f>
        <v>713.21620817</v>
      </c>
    </row>
    <row r="2072" ht="14.45" customHeight="1" spans="1:6">
      <c r="A2072" s="57">
        <v>3</v>
      </c>
      <c r="B2072" s="57" t="s">
        <v>1171</v>
      </c>
      <c r="C2072" s="57"/>
      <c r="D2072" s="84"/>
      <c r="E2072" s="84"/>
      <c r="F2072" s="84">
        <f>SUM(F2073:F2080)</f>
        <v>1032.26928079458</v>
      </c>
    </row>
    <row r="2073" ht="14.45" customHeight="1" spans="1:6">
      <c r="A2073" s="57"/>
      <c r="B2073" s="57" t="s">
        <v>1284</v>
      </c>
      <c r="C2073" s="57" t="s">
        <v>988</v>
      </c>
      <c r="D2073" s="84">
        <f t="shared" ref="D2073:D2079" si="254">D1978</f>
        <v>1.80552692461109</v>
      </c>
      <c r="E2073" s="84">
        <v>38.88</v>
      </c>
      <c r="F2073" s="84">
        <f t="shared" ref="F2073:F2079" si="255">D2073*E2073</f>
        <v>70.1988868288792</v>
      </c>
    </row>
    <row r="2074" ht="14.45" customHeight="1" spans="1:6">
      <c r="A2074" s="57"/>
      <c r="B2074" s="248" t="s">
        <v>1343</v>
      </c>
      <c r="C2074" s="57" t="s">
        <v>988</v>
      </c>
      <c r="D2074" s="84">
        <f t="shared" si="254"/>
        <v>23.7459521340247</v>
      </c>
      <c r="E2074" s="84">
        <v>18.54</v>
      </c>
      <c r="F2074" s="84">
        <f t="shared" si="255"/>
        <v>440.249952564819</v>
      </c>
    </row>
    <row r="2075" ht="14.45" customHeight="1" spans="1:6">
      <c r="A2075" s="57"/>
      <c r="B2075" s="248" t="s">
        <v>1358</v>
      </c>
      <c r="C2075" s="57" t="s">
        <v>988</v>
      </c>
      <c r="D2075" s="84">
        <f t="shared" si="254"/>
        <v>40.7860167530913</v>
      </c>
      <c r="E2075" s="204">
        <v>4</v>
      </c>
      <c r="F2075" s="84">
        <f t="shared" si="255"/>
        <v>163.144067012365</v>
      </c>
    </row>
    <row r="2076" ht="14.45" customHeight="1" spans="1:6">
      <c r="A2076" s="57"/>
      <c r="B2076" s="57" t="s">
        <v>1190</v>
      </c>
      <c r="C2076" s="57" t="s">
        <v>988</v>
      </c>
      <c r="D2076" s="84">
        <f t="shared" si="254"/>
        <v>0.813242919824491</v>
      </c>
      <c r="E2076" s="204">
        <v>86.4</v>
      </c>
      <c r="F2076" s="84">
        <f t="shared" si="255"/>
        <v>70.264188272836</v>
      </c>
    </row>
    <row r="2077" ht="14.45" customHeight="1" spans="1:6">
      <c r="A2077" s="57"/>
      <c r="B2077" s="57" t="s">
        <v>1280</v>
      </c>
      <c r="C2077" s="57" t="s">
        <v>988</v>
      </c>
      <c r="D2077" s="84">
        <f t="shared" si="254"/>
        <v>49.389824491424</v>
      </c>
      <c r="E2077" s="204">
        <v>0.96</v>
      </c>
      <c r="F2077" s="84">
        <f t="shared" si="255"/>
        <v>47.414231511767</v>
      </c>
    </row>
    <row r="2078" ht="14.45" customHeight="1" spans="1:6">
      <c r="A2078" s="57"/>
      <c r="B2078" s="244" t="s">
        <v>1352</v>
      </c>
      <c r="C2078" s="57" t="s">
        <v>988</v>
      </c>
      <c r="D2078" s="84">
        <f t="shared" si="254"/>
        <v>62.3342780215397</v>
      </c>
      <c r="E2078" s="204">
        <v>0.36</v>
      </c>
      <c r="F2078" s="84">
        <f t="shared" si="255"/>
        <v>22.4403400877543</v>
      </c>
    </row>
    <row r="2079" ht="14.45" customHeight="1" spans="1:6">
      <c r="A2079" s="57"/>
      <c r="B2079" s="244" t="s">
        <v>1344</v>
      </c>
      <c r="C2079" s="57" t="s">
        <v>988</v>
      </c>
      <c r="D2079" s="84">
        <f t="shared" si="254"/>
        <v>8.0471858795373</v>
      </c>
      <c r="E2079" s="204">
        <v>5.78</v>
      </c>
      <c r="F2079" s="84">
        <f t="shared" si="255"/>
        <v>46.5127343837256</v>
      </c>
    </row>
    <row r="2080" ht="14.45" customHeight="1" spans="1:6">
      <c r="A2080" s="57"/>
      <c r="B2080" s="57" t="s">
        <v>1223</v>
      </c>
      <c r="C2080" s="59" t="s">
        <v>423</v>
      </c>
      <c r="D2080" s="84">
        <f>SUM(F2073:F2079)</f>
        <v>860.224400662146</v>
      </c>
      <c r="E2080" s="84">
        <v>20</v>
      </c>
      <c r="F2080" s="84">
        <f>D2080*E2080/100</f>
        <v>172.044880132429</v>
      </c>
    </row>
    <row r="2081" ht="14.45" customHeight="1" spans="1:6">
      <c r="A2081" s="57">
        <v>4</v>
      </c>
      <c r="B2081" s="57" t="s">
        <v>1285</v>
      </c>
      <c r="C2081" s="59"/>
      <c r="D2081" s="84"/>
      <c r="E2081" s="84"/>
      <c r="F2081" s="84">
        <f>SUM(F2082:F2083)</f>
        <v>1986.41142067271</v>
      </c>
    </row>
    <row r="2082" ht="14.45" customHeight="1" spans="1:6">
      <c r="A2082" s="57"/>
      <c r="B2082" s="245" t="s">
        <v>1286</v>
      </c>
      <c r="C2082" s="245" t="s">
        <v>1188</v>
      </c>
      <c r="D2082" s="246">
        <f>$F$2253/100</f>
        <v>5.03319379720782</v>
      </c>
      <c r="E2082" s="246">
        <v>103</v>
      </c>
      <c r="F2082" s="84">
        <f>D2082*E2082</f>
        <v>518.418961112405</v>
      </c>
    </row>
    <row r="2083" ht="14.45" customHeight="1" spans="1:6">
      <c r="A2083" s="57"/>
      <c r="B2083" s="245" t="s">
        <v>1287</v>
      </c>
      <c r="C2083" s="245" t="s">
        <v>1188</v>
      </c>
      <c r="D2083" s="246">
        <f>$F$2271/100</f>
        <v>14.2523539763136</v>
      </c>
      <c r="E2083" s="246">
        <v>103</v>
      </c>
      <c r="F2083" s="84">
        <f>D2083*E2083</f>
        <v>1467.99245956031</v>
      </c>
    </row>
    <row r="2084" ht="14.45" customHeight="1" spans="1:6">
      <c r="A2084" s="57" t="s">
        <v>70</v>
      </c>
      <c r="B2084" s="57" t="s">
        <v>977</v>
      </c>
      <c r="C2084" s="194">
        <f>取费表!$C$7</f>
        <v>0.048</v>
      </c>
      <c r="D2084" s="246"/>
      <c r="E2084" s="246">
        <f>F2058</f>
        <v>64387.8340643873</v>
      </c>
      <c r="F2084" s="84">
        <f t="shared" ref="F2084:F2087" si="256">E2084*C2084</f>
        <v>3090.61603509059</v>
      </c>
    </row>
    <row r="2085" ht="14.45" customHeight="1" spans="1:6">
      <c r="A2085" s="57"/>
      <c r="B2085" s="57"/>
      <c r="C2085" s="194"/>
      <c r="D2085" s="246"/>
      <c r="E2085" s="246"/>
      <c r="F2085" s="84"/>
    </row>
    <row r="2086" ht="14.45" customHeight="1" spans="1:6">
      <c r="A2086" s="57" t="s">
        <v>979</v>
      </c>
      <c r="B2086" s="57" t="s">
        <v>973</v>
      </c>
      <c r="C2086" s="194">
        <f>取费表!$E$7</f>
        <v>0.07</v>
      </c>
      <c r="D2086" s="246"/>
      <c r="E2086" s="246">
        <f>F2057</f>
        <v>67478.4500994779</v>
      </c>
      <c r="F2086" s="84">
        <f t="shared" si="256"/>
        <v>4723.49150696345</v>
      </c>
    </row>
    <row r="2087" ht="14.45" customHeight="1" spans="1:6">
      <c r="A2087" s="57" t="s">
        <v>162</v>
      </c>
      <c r="B2087" s="57" t="s">
        <v>980</v>
      </c>
      <c r="C2087" s="194">
        <f>取费表!$F$7</f>
        <v>0.07</v>
      </c>
      <c r="D2087" s="246"/>
      <c r="E2087" s="246">
        <f>F2086+F2057</f>
        <v>72201.9416064413</v>
      </c>
      <c r="F2087" s="84">
        <f t="shared" si="256"/>
        <v>5054.13591245089</v>
      </c>
    </row>
    <row r="2088" ht="14.45" customHeight="1" spans="1:6">
      <c r="A2088" s="57" t="s">
        <v>214</v>
      </c>
      <c r="B2088" s="57" t="s">
        <v>1173</v>
      </c>
      <c r="C2088" s="59"/>
      <c r="D2088" s="84"/>
      <c r="E2088" s="57"/>
      <c r="F2088" s="113">
        <f>F2089+F2094</f>
        <v>10283.8729521355</v>
      </c>
    </row>
    <row r="2089" ht="14.45" customHeight="1" spans="1:6">
      <c r="A2089" s="57">
        <v>1</v>
      </c>
      <c r="B2089" s="57" t="s">
        <v>1288</v>
      </c>
      <c r="C2089" s="59"/>
      <c r="D2089" s="84"/>
      <c r="E2089" s="57"/>
      <c r="F2089" s="113">
        <f>SUM(F2090:F2093)</f>
        <v>10011.8155521355</v>
      </c>
    </row>
    <row r="2090" ht="14.45" customHeight="1" spans="1:6">
      <c r="A2090" s="57"/>
      <c r="B2090" s="57"/>
      <c r="C2090" s="57"/>
      <c r="D2090" s="84"/>
      <c r="E2090" s="84"/>
      <c r="F2090" s="113"/>
    </row>
    <row r="2091" ht="14.45" customHeight="1" spans="1:6">
      <c r="A2091" s="57"/>
      <c r="B2091" s="57" t="s">
        <v>1141</v>
      </c>
      <c r="C2091" s="57" t="s">
        <v>69</v>
      </c>
      <c r="D2091" s="84">
        <f>材料预算价!K5-材料预算价!L5</f>
        <v>156.64017</v>
      </c>
      <c r="E2091" s="84">
        <f>E2069*配合比!E11</f>
        <v>37.58161</v>
      </c>
      <c r="F2091" s="113">
        <f t="shared" ref="F2091:F2093" si="257">D2091*E2091</f>
        <v>5886.7897792737</v>
      </c>
    </row>
    <row r="2092" ht="14.45" customHeight="1" spans="1:6">
      <c r="A2092" s="57"/>
      <c r="B2092" s="57" t="s">
        <v>1142</v>
      </c>
      <c r="C2092" s="57" t="s">
        <v>1188</v>
      </c>
      <c r="D2092" s="84">
        <f>D1951</f>
        <v>44.826214</v>
      </c>
      <c r="E2092" s="84">
        <f>E2069*配合比!G11</f>
        <v>52.18598</v>
      </c>
      <c r="F2092" s="113">
        <f t="shared" si="257"/>
        <v>2339.29990727972</v>
      </c>
    </row>
    <row r="2093" ht="14.45" customHeight="1" spans="1:6">
      <c r="A2093" s="57"/>
      <c r="B2093" s="57" t="s">
        <v>1110</v>
      </c>
      <c r="C2093" s="57" t="s">
        <v>1188</v>
      </c>
      <c r="D2093" s="84">
        <f>材料预算价!K8-材料预算价!L8</f>
        <v>20.60443</v>
      </c>
      <c r="E2093" s="84">
        <f>E2069*配合比!I11</f>
        <v>86.667084</v>
      </c>
      <c r="F2093" s="113">
        <f t="shared" si="257"/>
        <v>1785.72586558212</v>
      </c>
    </row>
    <row r="2094" ht="14.45" customHeight="1" spans="1:6">
      <c r="A2094" s="57">
        <v>2</v>
      </c>
      <c r="B2094" s="57" t="s">
        <v>1289</v>
      </c>
      <c r="C2094" s="57"/>
      <c r="D2094" s="84"/>
      <c r="E2094" s="88"/>
      <c r="F2094" s="113">
        <f>SUM(F2095:F2096)</f>
        <v>272.0574</v>
      </c>
    </row>
    <row r="2095" ht="14.45" customHeight="1" spans="1:6">
      <c r="A2095" s="57"/>
      <c r="B2095" s="57" t="s">
        <v>1290</v>
      </c>
      <c r="C2095" s="57" t="s">
        <v>184</v>
      </c>
      <c r="D2095" s="84">
        <f>材料预算价!K13-材料预算价!L13</f>
        <v>6.225</v>
      </c>
      <c r="E2095" s="88">
        <f>E2078*台时!F76+E2079*台时!H34</f>
        <v>43.704</v>
      </c>
      <c r="F2095" s="113">
        <f>D2095*E2095</f>
        <v>272.0574</v>
      </c>
    </row>
    <row r="2096" ht="14.45" customHeight="1" spans="1:6">
      <c r="A2096" s="57"/>
      <c r="B2096" s="57" t="s">
        <v>1174</v>
      </c>
      <c r="C2096" s="57" t="s">
        <v>184</v>
      </c>
      <c r="D2096" s="84">
        <f>D1918</f>
        <v>0</v>
      </c>
      <c r="E2096" s="88"/>
      <c r="F2096" s="113">
        <f>D2096*E2096</f>
        <v>0</v>
      </c>
    </row>
    <row r="2097" ht="14.45" customHeight="1" spans="1:6">
      <c r="A2097" s="57" t="s">
        <v>327</v>
      </c>
      <c r="B2097" s="57" t="s">
        <v>976</v>
      </c>
      <c r="C2097" s="195">
        <f>C2049</f>
        <v>0.09</v>
      </c>
      <c r="D2097" s="84"/>
      <c r="E2097" s="84">
        <f>F2088+F2087+F2086+F2057</f>
        <v>87539.9504710278</v>
      </c>
      <c r="F2097" s="84">
        <f>E2097*C2097</f>
        <v>7878.5955423925</v>
      </c>
    </row>
    <row r="2098" ht="14.45" customHeight="1" spans="1:6">
      <c r="A2098" s="57"/>
      <c r="B2098" s="57" t="s">
        <v>984</v>
      </c>
      <c r="C2098" s="195"/>
      <c r="D2098" s="84"/>
      <c r="E2098" s="84"/>
      <c r="F2098" s="84">
        <f>(F2057+F2086+F2087+F2088+F2097)*取费表!H7</f>
        <v>2862.55638040261</v>
      </c>
    </row>
    <row r="2099" ht="14.45" customHeight="1" spans="1:6">
      <c r="A2099" s="57"/>
      <c r="B2099" s="57" t="s">
        <v>278</v>
      </c>
      <c r="C2099" s="57"/>
      <c r="D2099" s="84"/>
      <c r="E2099" s="84"/>
      <c r="F2099" s="84">
        <f>F2097+E2097+F2098</f>
        <v>98281.1023938229</v>
      </c>
    </row>
    <row r="2100" ht="14.85" customHeight="1" spans="1:6">
      <c r="A2100" s="176" t="s">
        <v>1204</v>
      </c>
      <c r="B2100" s="175"/>
      <c r="C2100" s="175"/>
      <c r="D2100" s="175"/>
      <c r="E2100" s="175"/>
      <c r="F2100" s="175"/>
    </row>
    <row r="2101" ht="14.85" customHeight="1" spans="1:6">
      <c r="A2101" s="242" t="s">
        <v>1361</v>
      </c>
      <c r="C2101" s="243"/>
      <c r="D2101" s="243"/>
      <c r="E2101" s="243"/>
      <c r="F2101" s="243"/>
    </row>
    <row r="2102" ht="14.85" customHeight="1" spans="1:6">
      <c r="A2102" s="190" t="s">
        <v>1356</v>
      </c>
      <c r="B2102" s="191"/>
      <c r="C2102" s="243"/>
      <c r="D2102" s="243"/>
      <c r="E2102" s="191" t="s">
        <v>1159</v>
      </c>
      <c r="F2102" s="191"/>
    </row>
    <row r="2103" ht="14.85" customHeight="1" spans="1:6">
      <c r="A2103" s="117" t="s">
        <v>1218</v>
      </c>
      <c r="B2103" s="192"/>
      <c r="C2103" s="192"/>
      <c r="D2103" s="192"/>
      <c r="E2103" s="192"/>
      <c r="F2103" s="118"/>
    </row>
    <row r="2104" ht="14.85" customHeight="1" spans="1:6">
      <c r="A2104" s="57" t="s">
        <v>354</v>
      </c>
      <c r="B2104" s="57" t="s">
        <v>956</v>
      </c>
      <c r="C2104" s="57" t="s">
        <v>52</v>
      </c>
      <c r="D2104" s="57" t="s">
        <v>855</v>
      </c>
      <c r="E2104" s="57" t="s">
        <v>53</v>
      </c>
      <c r="F2104" s="57" t="s">
        <v>306</v>
      </c>
    </row>
    <row r="2105" ht="14.85" customHeight="1" spans="1:6">
      <c r="A2105" s="57" t="s">
        <v>959</v>
      </c>
      <c r="B2105" s="57" t="s">
        <v>960</v>
      </c>
      <c r="C2105" s="57"/>
      <c r="D2105" s="57"/>
      <c r="E2105" s="57"/>
      <c r="F2105" s="84">
        <f>F2106+F2131+F2132</f>
        <v>36995.1818105916</v>
      </c>
    </row>
    <row r="2106" ht="14.85" customHeight="1" spans="1:6">
      <c r="A2106" s="57" t="s">
        <v>59</v>
      </c>
      <c r="B2106" s="57" t="s">
        <v>957</v>
      </c>
      <c r="C2106" s="57"/>
      <c r="D2106" s="57"/>
      <c r="E2106" s="57"/>
      <c r="F2106" s="84">
        <f>F2107+F2110+F2120+F2128</f>
        <v>35300.7460024729</v>
      </c>
    </row>
    <row r="2107" ht="14.85" customHeight="1" spans="1:6">
      <c r="A2107" s="57">
        <v>1</v>
      </c>
      <c r="B2107" s="57" t="s">
        <v>964</v>
      </c>
      <c r="C2107" s="57" t="s">
        <v>965</v>
      </c>
      <c r="D2107" s="84"/>
      <c r="E2107" s="113">
        <f>SUM(E2108:E2109)</f>
        <v>1593.2</v>
      </c>
      <c r="F2107" s="113">
        <f>SUM(F2108:F2109)</f>
        <v>12061.46</v>
      </c>
    </row>
    <row r="2108" ht="14.85" customHeight="1" spans="1:6">
      <c r="A2108" s="57"/>
      <c r="B2108" s="57" t="s">
        <v>966</v>
      </c>
      <c r="C2108" s="57" t="s">
        <v>965</v>
      </c>
      <c r="D2108" s="113">
        <f>D2060</f>
        <v>8.1</v>
      </c>
      <c r="E2108" s="92">
        <v>1231.2</v>
      </c>
      <c r="F2108" s="113">
        <f>D2108*E2108</f>
        <v>9972.72</v>
      </c>
    </row>
    <row r="2109" ht="14.85" customHeight="1" spans="1:6">
      <c r="A2109" s="57"/>
      <c r="B2109" s="57" t="s">
        <v>968</v>
      </c>
      <c r="C2109" s="57" t="s">
        <v>965</v>
      </c>
      <c r="D2109" s="113">
        <f>D2061</f>
        <v>5.77</v>
      </c>
      <c r="E2109" s="92">
        <v>362</v>
      </c>
      <c r="F2109" s="113">
        <f>D2109*E2109</f>
        <v>2088.74</v>
      </c>
    </row>
    <row r="2110" ht="14.85" customHeight="1" spans="1:6">
      <c r="A2110" s="57">
        <v>2</v>
      </c>
      <c r="B2110" s="57" t="s">
        <v>1219</v>
      </c>
      <c r="C2110" s="57"/>
      <c r="D2110" s="84"/>
      <c r="E2110" s="84"/>
      <c r="F2110" s="84">
        <f>SUM(F2111:F2119)</f>
        <v>20572.44653814</v>
      </c>
    </row>
    <row r="2111" ht="14.85" customHeight="1" spans="1:6">
      <c r="A2111" s="57"/>
      <c r="B2111" s="244" t="s">
        <v>1272</v>
      </c>
      <c r="C2111" s="244" t="s">
        <v>1188</v>
      </c>
      <c r="D2111" s="84">
        <f t="shared" ref="D2111:D2118" si="258">D2063</f>
        <v>2232.665025</v>
      </c>
      <c r="E2111" s="84">
        <v>0.14</v>
      </c>
      <c r="F2111" s="84">
        <f t="shared" ref="F2111:F2118" si="259">D2111*E2111</f>
        <v>312.5731035</v>
      </c>
    </row>
    <row r="2112" ht="14.85" customHeight="1" spans="1:6">
      <c r="A2112" s="57"/>
      <c r="B2112" s="244" t="s">
        <v>1334</v>
      </c>
      <c r="C2112" s="244" t="s">
        <v>184</v>
      </c>
      <c r="D2112" s="84">
        <f t="shared" si="258"/>
        <v>4.44</v>
      </c>
      <c r="E2112" s="84">
        <v>13.1</v>
      </c>
      <c r="F2112" s="84">
        <f t="shared" si="259"/>
        <v>58.164</v>
      </c>
    </row>
    <row r="2113" ht="14.85" customHeight="1" spans="1:6">
      <c r="A2113" s="57"/>
      <c r="B2113" s="244" t="s">
        <v>1274</v>
      </c>
      <c r="C2113" s="244" t="s">
        <v>184</v>
      </c>
      <c r="D2113" s="84">
        <f t="shared" si="258"/>
        <v>4.5</v>
      </c>
      <c r="E2113" s="84">
        <v>13.2</v>
      </c>
      <c r="F2113" s="84">
        <f t="shared" si="259"/>
        <v>59.4</v>
      </c>
    </row>
    <row r="2114" ht="14.85" customHeight="1" spans="1:6">
      <c r="A2114" s="57"/>
      <c r="B2114" s="244" t="s">
        <v>1276</v>
      </c>
      <c r="C2114" s="244" t="s">
        <v>184</v>
      </c>
      <c r="D2114" s="84">
        <f t="shared" si="258"/>
        <v>4.5</v>
      </c>
      <c r="E2114" s="84">
        <v>14.7</v>
      </c>
      <c r="F2114" s="84">
        <f t="shared" si="259"/>
        <v>66.15</v>
      </c>
    </row>
    <row r="2115" ht="14.85" customHeight="1" spans="1:6">
      <c r="A2115" s="57"/>
      <c r="B2115" s="244" t="s">
        <v>1277</v>
      </c>
      <c r="C2115" s="244" t="s">
        <v>184</v>
      </c>
      <c r="D2115" s="84">
        <f t="shared" si="258"/>
        <v>6.39</v>
      </c>
      <c r="E2115" s="84">
        <v>52.4</v>
      </c>
      <c r="F2115" s="84">
        <f t="shared" si="259"/>
        <v>334.836</v>
      </c>
    </row>
    <row r="2116" ht="14.85" customHeight="1" spans="1:6">
      <c r="A2116" s="57"/>
      <c r="B2116" s="244" t="s">
        <v>1278</v>
      </c>
      <c r="C2116" s="244" t="s">
        <v>184</v>
      </c>
      <c r="D2116" s="84">
        <f t="shared" si="258"/>
        <v>5.97</v>
      </c>
      <c r="E2116" s="84">
        <v>1.2</v>
      </c>
      <c r="F2116" s="84">
        <f t="shared" si="259"/>
        <v>7.164</v>
      </c>
    </row>
    <row r="2117" ht="14.85" customHeight="1" spans="1:6">
      <c r="A2117" s="57"/>
      <c r="B2117" s="57" t="s">
        <v>1296</v>
      </c>
      <c r="C2117" s="57" t="s">
        <v>1188</v>
      </c>
      <c r="D2117" s="84">
        <f t="shared" si="258"/>
        <v>188.1795335</v>
      </c>
      <c r="E2117" s="84">
        <v>103</v>
      </c>
      <c r="F2117" s="84">
        <f t="shared" si="259"/>
        <v>19382.4919505</v>
      </c>
    </row>
    <row r="2118" ht="14.85" customHeight="1" spans="1:6">
      <c r="A2118" s="57"/>
      <c r="B2118" s="57" t="s">
        <v>1022</v>
      </c>
      <c r="C2118" s="57" t="s">
        <v>1188</v>
      </c>
      <c r="D2118" s="84">
        <f t="shared" si="258"/>
        <v>4.37</v>
      </c>
      <c r="E2118" s="84">
        <v>70</v>
      </c>
      <c r="F2118" s="84">
        <f t="shared" si="259"/>
        <v>305.9</v>
      </c>
    </row>
    <row r="2119" ht="14.85" customHeight="1" spans="1:6">
      <c r="A2119" s="57"/>
      <c r="B2119" s="57" t="s">
        <v>1163</v>
      </c>
      <c r="C2119" s="59" t="s">
        <v>423</v>
      </c>
      <c r="D2119" s="84">
        <f>F2111+F2112+F2113+F2114+F2115+F2116+F2118</f>
        <v>1144.1871035</v>
      </c>
      <c r="E2119" s="84">
        <v>4</v>
      </c>
      <c r="F2119" s="84">
        <f>D2119*E2119/100</f>
        <v>45.76748414</v>
      </c>
    </row>
    <row r="2120" ht="14.85" customHeight="1" spans="1:6">
      <c r="A2120" s="57">
        <v>3</v>
      </c>
      <c r="B2120" s="57" t="s">
        <v>1171</v>
      </c>
      <c r="C2120" s="57"/>
      <c r="D2120" s="84"/>
      <c r="E2120" s="84"/>
      <c r="F2120" s="84">
        <f>SUM(F2121:F2127)</f>
        <v>680.428043660152</v>
      </c>
    </row>
    <row r="2121" ht="14.85" customHeight="1" spans="1:6">
      <c r="A2121" s="57"/>
      <c r="B2121" s="57" t="s">
        <v>1284</v>
      </c>
      <c r="C2121" s="57" t="s">
        <v>988</v>
      </c>
      <c r="D2121" s="84">
        <f t="shared" ref="D2121:D2126" si="260">D2026</f>
        <v>1.80552692461109</v>
      </c>
      <c r="E2121" s="84">
        <v>23</v>
      </c>
      <c r="F2121" s="84">
        <f t="shared" ref="F2121:F2126" si="261">D2121*E2121</f>
        <v>41.5271192660551</v>
      </c>
    </row>
    <row r="2122" ht="14.85" customHeight="1" spans="1:6">
      <c r="A2122" s="57"/>
      <c r="B2122" s="248" t="s">
        <v>1343</v>
      </c>
      <c r="C2122" s="57" t="s">
        <v>988</v>
      </c>
      <c r="D2122" s="84">
        <f t="shared" si="260"/>
        <v>23.7459521340247</v>
      </c>
      <c r="E2122" s="84">
        <v>18.54</v>
      </c>
      <c r="F2122" s="84">
        <f t="shared" si="261"/>
        <v>440.249952564819</v>
      </c>
    </row>
    <row r="2123" ht="14.85" customHeight="1" spans="1:6">
      <c r="A2123" s="57"/>
      <c r="B2123" s="57" t="s">
        <v>1190</v>
      </c>
      <c r="C2123" s="57" t="s">
        <v>988</v>
      </c>
      <c r="D2123" s="84">
        <f t="shared" si="260"/>
        <v>0.813242919824491</v>
      </c>
      <c r="E2123" s="204">
        <v>75.2</v>
      </c>
      <c r="F2123" s="84">
        <f t="shared" si="261"/>
        <v>61.1558675708017</v>
      </c>
    </row>
    <row r="2124" ht="14.85" customHeight="1" spans="1:6">
      <c r="A2124" s="57"/>
      <c r="B2124" s="57" t="s">
        <v>1280</v>
      </c>
      <c r="C2124" s="57" t="s">
        <v>988</v>
      </c>
      <c r="D2124" s="84">
        <f t="shared" si="260"/>
        <v>49.389824491424</v>
      </c>
      <c r="E2124" s="204">
        <v>0.21</v>
      </c>
      <c r="F2124" s="84">
        <f t="shared" si="261"/>
        <v>10.371863143199</v>
      </c>
    </row>
    <row r="2125" ht="14.85" customHeight="1" spans="1:6">
      <c r="A2125" s="57"/>
      <c r="B2125" s="244" t="s">
        <v>1352</v>
      </c>
      <c r="C2125" s="57" t="s">
        <v>988</v>
      </c>
      <c r="D2125" s="84">
        <f t="shared" si="260"/>
        <v>62.3342780215397</v>
      </c>
      <c r="E2125" s="204">
        <v>0.06</v>
      </c>
      <c r="F2125" s="84">
        <f t="shared" si="261"/>
        <v>3.74005668129238</v>
      </c>
    </row>
    <row r="2126" ht="14.85" customHeight="1" spans="1:6">
      <c r="A2126" s="57"/>
      <c r="B2126" s="244" t="s">
        <v>1344</v>
      </c>
      <c r="C2126" s="57" t="s">
        <v>988</v>
      </c>
      <c r="D2126" s="84">
        <f t="shared" si="260"/>
        <v>8.0471858795373</v>
      </c>
      <c r="E2126" s="204">
        <v>1.24</v>
      </c>
      <c r="F2126" s="84">
        <f t="shared" si="261"/>
        <v>9.97851049062625</v>
      </c>
    </row>
    <row r="2127" ht="14.85" customHeight="1" spans="1:6">
      <c r="A2127" s="57"/>
      <c r="B2127" s="57" t="s">
        <v>1223</v>
      </c>
      <c r="C2127" s="59" t="s">
        <v>423</v>
      </c>
      <c r="D2127" s="84">
        <f>SUM(F2121:F2126)</f>
        <v>567.023369716793</v>
      </c>
      <c r="E2127" s="84">
        <v>20</v>
      </c>
      <c r="F2127" s="84">
        <f>D2127*E2127/100</f>
        <v>113.404673943359</v>
      </c>
    </row>
    <row r="2128" ht="14.85" customHeight="1" spans="1:6">
      <c r="A2128" s="55">
        <v>4</v>
      </c>
      <c r="B2128" s="55" t="s">
        <v>1285</v>
      </c>
      <c r="C2128" s="253"/>
      <c r="D2128" s="254"/>
      <c r="E2128" s="254"/>
      <c r="F2128" s="254">
        <f>SUM(F2129:F2130)</f>
        <v>1986.41142067271</v>
      </c>
    </row>
    <row r="2129" ht="14.85" customHeight="1" spans="1:6">
      <c r="A2129" s="57"/>
      <c r="B2129" s="245" t="s">
        <v>1286</v>
      </c>
      <c r="C2129" s="245" t="s">
        <v>1188</v>
      </c>
      <c r="D2129" s="246">
        <f>$F$2253/100</f>
        <v>5.03319379720782</v>
      </c>
      <c r="E2129" s="246">
        <v>103</v>
      </c>
      <c r="F2129" s="84">
        <f>D2129*E2129</f>
        <v>518.418961112405</v>
      </c>
    </row>
    <row r="2130" ht="14.85" customHeight="1" spans="1:6">
      <c r="A2130" s="57"/>
      <c r="B2130" s="245" t="s">
        <v>1287</v>
      </c>
      <c r="C2130" s="245" t="s">
        <v>1188</v>
      </c>
      <c r="D2130" s="246">
        <f>$F$2271/100</f>
        <v>14.2523539763136</v>
      </c>
      <c r="E2130" s="246">
        <v>103</v>
      </c>
      <c r="F2130" s="84">
        <f>D2130*E2130</f>
        <v>1467.99245956031</v>
      </c>
    </row>
    <row r="2131" ht="14.85" customHeight="1" spans="1:6">
      <c r="A2131" s="57" t="s">
        <v>70</v>
      </c>
      <c r="B2131" s="57" t="s">
        <v>977</v>
      </c>
      <c r="C2131" s="194">
        <f>取费表!$C$7</f>
        <v>0.048</v>
      </c>
      <c r="D2131" s="246"/>
      <c r="E2131" s="246">
        <f>F2106</f>
        <v>35300.7460024729</v>
      </c>
      <c r="F2131" s="84">
        <f t="shared" ref="F2131:F2134" si="262">E2131*C2131</f>
        <v>1694.4358081187</v>
      </c>
    </row>
    <row r="2132" ht="14.85" customHeight="1" spans="1:6">
      <c r="A2132" s="57"/>
      <c r="B2132" s="57"/>
      <c r="C2132" s="194"/>
      <c r="D2132" s="246"/>
      <c r="E2132" s="246"/>
      <c r="F2132" s="84"/>
    </row>
    <row r="2133" ht="14.85" customHeight="1" spans="1:6">
      <c r="A2133" s="57" t="s">
        <v>979</v>
      </c>
      <c r="B2133" s="57" t="s">
        <v>973</v>
      </c>
      <c r="C2133" s="194">
        <f>取费表!$E$7</f>
        <v>0.07</v>
      </c>
      <c r="D2133" s="246"/>
      <c r="E2133" s="246">
        <f>F2105</f>
        <v>36995.1818105916</v>
      </c>
      <c r="F2133" s="84">
        <f t="shared" si="262"/>
        <v>2589.66272674141</v>
      </c>
    </row>
    <row r="2134" ht="14.85" customHeight="1" spans="1:6">
      <c r="A2134" s="57" t="s">
        <v>162</v>
      </c>
      <c r="B2134" s="57" t="s">
        <v>980</v>
      </c>
      <c r="C2134" s="194">
        <f>取费表!$F$7</f>
        <v>0.07</v>
      </c>
      <c r="D2134" s="246"/>
      <c r="E2134" s="246">
        <f>F2133+F2105</f>
        <v>39584.844537333</v>
      </c>
      <c r="F2134" s="84">
        <f t="shared" si="262"/>
        <v>2770.93911761331</v>
      </c>
    </row>
    <row r="2135" ht="14.85" customHeight="1" spans="1:6">
      <c r="A2135" s="55" t="s">
        <v>214</v>
      </c>
      <c r="B2135" s="55" t="s">
        <v>1173</v>
      </c>
      <c r="C2135" s="253"/>
      <c r="D2135" s="254"/>
      <c r="E2135" s="55"/>
      <c r="F2135" s="255">
        <f>F2136+F2141</f>
        <v>10023.3940521355</v>
      </c>
    </row>
    <row r="2136" ht="14.85" customHeight="1" spans="1:6">
      <c r="A2136" s="57">
        <v>1</v>
      </c>
      <c r="B2136" s="57" t="s">
        <v>1288</v>
      </c>
      <c r="C2136" s="59"/>
      <c r="D2136" s="84"/>
      <c r="E2136" s="57"/>
      <c r="F2136" s="113">
        <f>SUM(F2137:F2140)</f>
        <v>10011.8155521355</v>
      </c>
    </row>
    <row r="2137" ht="14.85" customHeight="1" spans="1:6">
      <c r="A2137" s="57"/>
      <c r="B2137" s="57"/>
      <c r="C2137" s="57"/>
      <c r="D2137" s="84"/>
      <c r="E2137" s="84"/>
      <c r="F2137" s="113"/>
    </row>
    <row r="2138" ht="14.85" customHeight="1" spans="1:6">
      <c r="A2138" s="57"/>
      <c r="B2138" s="57" t="s">
        <v>1141</v>
      </c>
      <c r="C2138" s="57" t="s">
        <v>69</v>
      </c>
      <c r="D2138" s="84">
        <f t="shared" ref="D2138:D2143" si="263">D2091</f>
        <v>156.64017</v>
      </c>
      <c r="E2138" s="84">
        <f t="shared" ref="E2138:E2140" si="264">E2091</f>
        <v>37.58161</v>
      </c>
      <c r="F2138" s="113">
        <f t="shared" ref="F2138:F2140" si="265">D2138*E2138</f>
        <v>5886.7897792737</v>
      </c>
    </row>
    <row r="2139" ht="14.85" customHeight="1" spans="1:6">
      <c r="A2139" s="57"/>
      <c r="B2139" s="57" t="s">
        <v>1142</v>
      </c>
      <c r="C2139" s="57" t="s">
        <v>1188</v>
      </c>
      <c r="D2139" s="84">
        <f t="shared" si="263"/>
        <v>44.826214</v>
      </c>
      <c r="E2139" s="84">
        <f t="shared" si="264"/>
        <v>52.18598</v>
      </c>
      <c r="F2139" s="113">
        <f t="shared" si="265"/>
        <v>2339.29990727972</v>
      </c>
    </row>
    <row r="2140" ht="14.85" customHeight="1" spans="1:6">
      <c r="A2140" s="57"/>
      <c r="B2140" s="57" t="s">
        <v>1110</v>
      </c>
      <c r="C2140" s="57" t="s">
        <v>1188</v>
      </c>
      <c r="D2140" s="84">
        <f t="shared" si="263"/>
        <v>20.60443</v>
      </c>
      <c r="E2140" s="84">
        <f t="shared" si="264"/>
        <v>86.667084</v>
      </c>
      <c r="F2140" s="113">
        <f t="shared" si="265"/>
        <v>1785.72586558212</v>
      </c>
    </row>
    <row r="2141" ht="14.85" customHeight="1" spans="1:6">
      <c r="A2141" s="57">
        <v>2</v>
      </c>
      <c r="B2141" s="57" t="s">
        <v>1289</v>
      </c>
      <c r="C2141" s="57"/>
      <c r="D2141" s="84"/>
      <c r="E2141" s="88"/>
      <c r="F2141" s="113">
        <f>SUM(F2142:F2143)</f>
        <v>11.5785</v>
      </c>
    </row>
    <row r="2142" ht="14.85" customHeight="1" spans="1:6">
      <c r="A2142" s="57"/>
      <c r="B2142" s="57" t="s">
        <v>1290</v>
      </c>
      <c r="C2142" s="57" t="s">
        <v>184</v>
      </c>
      <c r="D2142" s="84">
        <f t="shared" si="263"/>
        <v>6.225</v>
      </c>
      <c r="E2142" s="88">
        <f>(E2124*7.2+E2125*5.8)</f>
        <v>1.86</v>
      </c>
      <c r="F2142" s="113">
        <f>D2142*E2142</f>
        <v>11.5785</v>
      </c>
    </row>
    <row r="2143" ht="14.85" customHeight="1" spans="1:6">
      <c r="A2143" s="57"/>
      <c r="B2143" s="57" t="s">
        <v>1174</v>
      </c>
      <c r="C2143" s="57" t="s">
        <v>184</v>
      </c>
      <c r="D2143" s="84">
        <f t="shared" si="263"/>
        <v>0</v>
      </c>
      <c r="E2143" s="88"/>
      <c r="F2143" s="113">
        <f>D2143*E2143</f>
        <v>0</v>
      </c>
    </row>
    <row r="2144" ht="14.85" customHeight="1" spans="1:6">
      <c r="A2144" s="57" t="s">
        <v>327</v>
      </c>
      <c r="B2144" s="57" t="s">
        <v>976</v>
      </c>
      <c r="C2144" s="195">
        <f>C2097</f>
        <v>0.09</v>
      </c>
      <c r="D2144" s="84"/>
      <c r="E2144" s="84">
        <f>F2135+F2134+F2133+F2105</f>
        <v>52379.1777070818</v>
      </c>
      <c r="F2144" s="84">
        <f>E2144*C2144</f>
        <v>4714.12599363736</v>
      </c>
    </row>
    <row r="2145" ht="14.85" customHeight="1" spans="1:6">
      <c r="A2145" s="57"/>
      <c r="B2145" s="57" t="s">
        <v>984</v>
      </c>
      <c r="C2145" s="195"/>
      <c r="D2145" s="84"/>
      <c r="E2145" s="84"/>
      <c r="F2145" s="84">
        <f>(F2105+F2133+F2134+F2135+F2144)*取费表!H7</f>
        <v>1712.79911102158</v>
      </c>
    </row>
    <row r="2146" ht="14.85" customHeight="1" spans="1:6">
      <c r="A2146" s="57"/>
      <c r="B2146" s="57" t="s">
        <v>278</v>
      </c>
      <c r="C2146" s="57"/>
      <c r="D2146" s="84"/>
      <c r="E2146" s="84"/>
      <c r="F2146" s="84">
        <f>F2144+E2144+F2145</f>
        <v>58806.1028117408</v>
      </c>
    </row>
    <row r="2147" ht="14.45" customHeight="1" spans="1:6">
      <c r="A2147" s="176" t="s">
        <v>1204</v>
      </c>
      <c r="B2147" s="175"/>
      <c r="C2147" s="175"/>
      <c r="D2147" s="175"/>
      <c r="E2147" s="175"/>
      <c r="F2147" s="175"/>
    </row>
    <row r="2148" ht="14.45" customHeight="1" spans="1:6">
      <c r="A2148" s="242" t="s">
        <v>1362</v>
      </c>
      <c r="C2148" s="243"/>
      <c r="D2148" s="243"/>
      <c r="E2148" s="243"/>
      <c r="F2148" s="243"/>
    </row>
    <row r="2149" ht="14.45" customHeight="1" spans="1:6">
      <c r="A2149" s="190" t="s">
        <v>1356</v>
      </c>
      <c r="B2149" s="191"/>
      <c r="C2149" s="243"/>
      <c r="D2149" s="243"/>
      <c r="E2149" s="191" t="s">
        <v>1159</v>
      </c>
      <c r="F2149" s="191"/>
    </row>
    <row r="2150" ht="14.45" customHeight="1" spans="1:6">
      <c r="A2150" s="117" t="s">
        <v>1218</v>
      </c>
      <c r="B2150" s="192"/>
      <c r="C2150" s="192"/>
      <c r="D2150" s="192"/>
      <c r="E2150" s="192"/>
      <c r="F2150" s="118"/>
    </row>
    <row r="2151" ht="14.45" customHeight="1" spans="1:6">
      <c r="A2151" s="57" t="s">
        <v>354</v>
      </c>
      <c r="B2151" s="57" t="s">
        <v>956</v>
      </c>
      <c r="C2151" s="57" t="s">
        <v>52</v>
      </c>
      <c r="D2151" s="57" t="s">
        <v>855</v>
      </c>
      <c r="E2151" s="57" t="s">
        <v>53</v>
      </c>
      <c r="F2151" s="57" t="s">
        <v>306</v>
      </c>
    </row>
    <row r="2152" ht="14.45" customHeight="1" spans="1:6">
      <c r="A2152" s="57" t="s">
        <v>959</v>
      </c>
      <c r="B2152" s="57" t="s">
        <v>960</v>
      </c>
      <c r="C2152" s="57"/>
      <c r="D2152" s="57"/>
      <c r="E2152" s="57"/>
      <c r="F2152" s="84">
        <f>F2153+F2179+F2180</f>
        <v>67478.4500994779</v>
      </c>
    </row>
    <row r="2153" ht="14.45" customHeight="1" spans="1:6">
      <c r="A2153" s="57" t="s">
        <v>59</v>
      </c>
      <c r="B2153" s="57" t="s">
        <v>957</v>
      </c>
      <c r="C2153" s="57"/>
      <c r="D2153" s="57"/>
      <c r="E2153" s="57"/>
      <c r="F2153" s="84">
        <f>F2154+F2157+F2167+F2176</f>
        <v>64387.8340643873</v>
      </c>
    </row>
    <row r="2154" ht="14.45" customHeight="1" spans="1:6">
      <c r="A2154" s="57">
        <v>1</v>
      </c>
      <c r="B2154" s="57" t="s">
        <v>964</v>
      </c>
      <c r="C2154" s="57" t="s">
        <v>965</v>
      </c>
      <c r="D2154" s="84"/>
      <c r="E2154" s="113">
        <f>SUM(E2155:E2156)</f>
        <v>3052.7</v>
      </c>
      <c r="F2154" s="113">
        <f>SUM(F2155:F2156)</f>
        <v>23443.04</v>
      </c>
    </row>
    <row r="2155" ht="14.45" customHeight="1" spans="1:6">
      <c r="A2155" s="57"/>
      <c r="B2155" s="57" t="s">
        <v>966</v>
      </c>
      <c r="C2155" s="57" t="s">
        <v>965</v>
      </c>
      <c r="D2155" s="113">
        <f>D2108</f>
        <v>8.1</v>
      </c>
      <c r="E2155" s="92">
        <v>2501.7</v>
      </c>
      <c r="F2155" s="113">
        <f>D2155*E2155</f>
        <v>20263.77</v>
      </c>
    </row>
    <row r="2156" ht="14.45" customHeight="1" spans="1:6">
      <c r="A2156" s="57"/>
      <c r="B2156" s="57" t="s">
        <v>968</v>
      </c>
      <c r="C2156" s="57" t="s">
        <v>965</v>
      </c>
      <c r="D2156" s="113">
        <f>D2109</f>
        <v>5.77</v>
      </c>
      <c r="E2156" s="92">
        <v>551</v>
      </c>
      <c r="F2156" s="113">
        <f>D2156*E2156</f>
        <v>3179.27</v>
      </c>
    </row>
    <row r="2157" ht="14.45" customHeight="1" spans="1:6">
      <c r="A2157" s="57">
        <v>2</v>
      </c>
      <c r="B2157" s="57" t="s">
        <v>1219</v>
      </c>
      <c r="C2157" s="57"/>
      <c r="D2157" s="84"/>
      <c r="E2157" s="84"/>
      <c r="F2157" s="84">
        <f>SUM(F2158:F2166)</f>
        <v>37926.11336292</v>
      </c>
    </row>
    <row r="2158" ht="14.45" customHeight="1" spans="1:6">
      <c r="A2158" s="57"/>
      <c r="B2158" s="244" t="s">
        <v>1272</v>
      </c>
      <c r="C2158" s="244" t="s">
        <v>1188</v>
      </c>
      <c r="D2158" s="84">
        <f>D2063</f>
        <v>2232.665025</v>
      </c>
      <c r="E2158" s="84">
        <v>6.17</v>
      </c>
      <c r="F2158" s="84">
        <f t="shared" ref="F2158:F2165" si="266">D2158*E2158</f>
        <v>13775.54320425</v>
      </c>
    </row>
    <row r="2159" ht="14.45" customHeight="1" spans="1:6">
      <c r="A2159" s="57"/>
      <c r="B2159" s="244" t="s">
        <v>1334</v>
      </c>
      <c r="C2159" s="244" t="s">
        <v>184</v>
      </c>
      <c r="D2159" s="84">
        <f t="shared" ref="D2159:D2165" si="267">D2064</f>
        <v>4.44</v>
      </c>
      <c r="E2159" s="84">
        <v>60</v>
      </c>
      <c r="F2159" s="84">
        <f t="shared" si="266"/>
        <v>266.4</v>
      </c>
    </row>
    <row r="2160" ht="14.45" customHeight="1" spans="1:6">
      <c r="A2160" s="57"/>
      <c r="B2160" s="244" t="s">
        <v>1274</v>
      </c>
      <c r="C2160" s="244" t="s">
        <v>184</v>
      </c>
      <c r="D2160" s="84">
        <f t="shared" si="267"/>
        <v>4.5</v>
      </c>
      <c r="E2160" s="84">
        <v>60.8</v>
      </c>
      <c r="F2160" s="84">
        <f t="shared" si="266"/>
        <v>273.6</v>
      </c>
    </row>
    <row r="2161" ht="14.45" customHeight="1" spans="1:6">
      <c r="A2161" s="57"/>
      <c r="B2161" s="244" t="s">
        <v>1276</v>
      </c>
      <c r="C2161" s="244" t="s">
        <v>184</v>
      </c>
      <c r="D2161" s="84">
        <f t="shared" si="267"/>
        <v>4.5</v>
      </c>
      <c r="E2161" s="84">
        <v>276</v>
      </c>
      <c r="F2161" s="84">
        <f t="shared" si="266"/>
        <v>1242</v>
      </c>
    </row>
    <row r="2162" ht="14.45" customHeight="1" spans="1:6">
      <c r="A2162" s="57"/>
      <c r="B2162" s="244" t="s">
        <v>1277</v>
      </c>
      <c r="C2162" s="244" t="s">
        <v>184</v>
      </c>
      <c r="D2162" s="84">
        <f t="shared" si="267"/>
        <v>6.39</v>
      </c>
      <c r="E2162" s="84">
        <v>302.4</v>
      </c>
      <c r="F2162" s="84">
        <f t="shared" si="266"/>
        <v>1932.336</v>
      </c>
    </row>
    <row r="2163" ht="14.45" customHeight="1" spans="1:6">
      <c r="A2163" s="57"/>
      <c r="B2163" s="244" t="s">
        <v>1278</v>
      </c>
      <c r="C2163" s="244" t="s">
        <v>184</v>
      </c>
      <c r="D2163" s="84">
        <f t="shared" si="267"/>
        <v>5.97</v>
      </c>
      <c r="E2163" s="84">
        <v>5.8</v>
      </c>
      <c r="F2163" s="84">
        <f t="shared" si="266"/>
        <v>34.626</v>
      </c>
    </row>
    <row r="2164" ht="14.45" customHeight="1" spans="1:6">
      <c r="A2164" s="57"/>
      <c r="B2164" s="57" t="s">
        <v>1292</v>
      </c>
      <c r="C2164" s="57" t="s">
        <v>1188</v>
      </c>
      <c r="D2164" s="84">
        <f t="shared" si="267"/>
        <v>188.1795335</v>
      </c>
      <c r="E2164" s="84">
        <v>103</v>
      </c>
      <c r="F2164" s="84">
        <f t="shared" si="266"/>
        <v>19382.4919505</v>
      </c>
    </row>
    <row r="2165" ht="14.45" customHeight="1" spans="1:6">
      <c r="A2165" s="57"/>
      <c r="B2165" s="57" t="s">
        <v>1022</v>
      </c>
      <c r="C2165" s="57" t="s">
        <v>1188</v>
      </c>
      <c r="D2165" s="84">
        <f t="shared" si="267"/>
        <v>4.37</v>
      </c>
      <c r="E2165" s="84">
        <v>70</v>
      </c>
      <c r="F2165" s="84">
        <f t="shared" si="266"/>
        <v>305.9</v>
      </c>
    </row>
    <row r="2166" ht="14.45" customHeight="1" spans="1:6">
      <c r="A2166" s="57"/>
      <c r="B2166" s="57" t="s">
        <v>1163</v>
      </c>
      <c r="C2166" s="59" t="s">
        <v>423</v>
      </c>
      <c r="D2166" s="84">
        <f>F2158+F2159+F2160+F2161+F2162+F2163+F2165</f>
        <v>17830.40520425</v>
      </c>
      <c r="E2166" s="84">
        <v>4</v>
      </c>
      <c r="F2166" s="84">
        <f>D2166*E2166/100</f>
        <v>713.21620817</v>
      </c>
    </row>
    <row r="2167" ht="14.45" customHeight="1" spans="1:6">
      <c r="A2167" s="57">
        <v>3</v>
      </c>
      <c r="B2167" s="57" t="s">
        <v>1171</v>
      </c>
      <c r="C2167" s="57"/>
      <c r="D2167" s="84"/>
      <c r="E2167" s="84"/>
      <c r="F2167" s="84">
        <f>SUM(F2168:F2175)</f>
        <v>1032.26928079458</v>
      </c>
    </row>
    <row r="2168" ht="14.45" customHeight="1" spans="1:6">
      <c r="A2168" s="57"/>
      <c r="B2168" s="57" t="s">
        <v>1284</v>
      </c>
      <c r="C2168" s="57" t="s">
        <v>988</v>
      </c>
      <c r="D2168" s="84">
        <f>D2073</f>
        <v>1.80552692461109</v>
      </c>
      <c r="E2168" s="84">
        <v>38.88</v>
      </c>
      <c r="F2168" s="84">
        <f t="shared" ref="F2168:F2174" si="268">D2168*E2168</f>
        <v>70.1988868288792</v>
      </c>
    </row>
    <row r="2169" ht="14.45" customHeight="1" spans="1:6">
      <c r="A2169" s="57"/>
      <c r="B2169" s="248" t="s">
        <v>1343</v>
      </c>
      <c r="C2169" s="57" t="s">
        <v>988</v>
      </c>
      <c r="D2169" s="84">
        <f t="shared" ref="D2169:D2174" si="269">D2074</f>
        <v>23.7459521340247</v>
      </c>
      <c r="E2169" s="84">
        <v>18.54</v>
      </c>
      <c r="F2169" s="84">
        <f t="shared" si="268"/>
        <v>440.249952564819</v>
      </c>
    </row>
    <row r="2170" ht="14.45" customHeight="1" spans="1:6">
      <c r="A2170" s="57"/>
      <c r="B2170" s="248" t="s">
        <v>1358</v>
      </c>
      <c r="C2170" s="57" t="s">
        <v>988</v>
      </c>
      <c r="D2170" s="84">
        <f t="shared" si="269"/>
        <v>40.7860167530913</v>
      </c>
      <c r="E2170" s="204">
        <v>4</v>
      </c>
      <c r="F2170" s="84">
        <f t="shared" si="268"/>
        <v>163.144067012365</v>
      </c>
    </row>
    <row r="2171" ht="14.45" customHeight="1" spans="1:6">
      <c r="A2171" s="57"/>
      <c r="B2171" s="57" t="s">
        <v>1190</v>
      </c>
      <c r="C2171" s="57" t="s">
        <v>988</v>
      </c>
      <c r="D2171" s="84">
        <f t="shared" si="269"/>
        <v>0.813242919824491</v>
      </c>
      <c r="E2171" s="204">
        <v>86.4</v>
      </c>
      <c r="F2171" s="84">
        <f t="shared" si="268"/>
        <v>70.264188272836</v>
      </c>
    </row>
    <row r="2172" ht="14.45" customHeight="1" spans="1:6">
      <c r="A2172" s="57"/>
      <c r="B2172" s="57" t="s">
        <v>1280</v>
      </c>
      <c r="C2172" s="57" t="s">
        <v>988</v>
      </c>
      <c r="D2172" s="84">
        <f t="shared" si="269"/>
        <v>49.389824491424</v>
      </c>
      <c r="E2172" s="204">
        <v>0.96</v>
      </c>
      <c r="F2172" s="84">
        <f t="shared" si="268"/>
        <v>47.414231511767</v>
      </c>
    </row>
    <row r="2173" ht="14.45" customHeight="1" spans="1:6">
      <c r="A2173" s="57"/>
      <c r="B2173" s="244" t="s">
        <v>1352</v>
      </c>
      <c r="C2173" s="57" t="s">
        <v>988</v>
      </c>
      <c r="D2173" s="84">
        <f t="shared" si="269"/>
        <v>62.3342780215397</v>
      </c>
      <c r="E2173" s="204">
        <v>0.36</v>
      </c>
      <c r="F2173" s="84">
        <f t="shared" si="268"/>
        <v>22.4403400877543</v>
      </c>
    </row>
    <row r="2174" ht="14.45" customHeight="1" spans="1:6">
      <c r="A2174" s="57"/>
      <c r="B2174" s="244" t="s">
        <v>1344</v>
      </c>
      <c r="C2174" s="57" t="s">
        <v>988</v>
      </c>
      <c r="D2174" s="84">
        <f t="shared" si="269"/>
        <v>8.0471858795373</v>
      </c>
      <c r="E2174" s="204">
        <v>5.78</v>
      </c>
      <c r="F2174" s="84">
        <f t="shared" si="268"/>
        <v>46.5127343837256</v>
      </c>
    </row>
    <row r="2175" ht="14.45" customHeight="1" spans="1:6">
      <c r="A2175" s="57"/>
      <c r="B2175" s="57" t="s">
        <v>1223</v>
      </c>
      <c r="C2175" s="59" t="s">
        <v>423</v>
      </c>
      <c r="D2175" s="84">
        <f>SUM(F2168:F2174)</f>
        <v>860.224400662146</v>
      </c>
      <c r="E2175" s="84">
        <v>20</v>
      </c>
      <c r="F2175" s="84">
        <f>D2175*E2175/100</f>
        <v>172.044880132429</v>
      </c>
    </row>
    <row r="2176" ht="14.45" customHeight="1" spans="1:6">
      <c r="A2176" s="57">
        <v>4</v>
      </c>
      <c r="B2176" s="57" t="s">
        <v>1285</v>
      </c>
      <c r="C2176" s="59"/>
      <c r="D2176" s="84"/>
      <c r="E2176" s="84"/>
      <c r="F2176" s="84">
        <f>SUM(F2177:F2178)</f>
        <v>1986.41142067271</v>
      </c>
    </row>
    <row r="2177" ht="14.45" customHeight="1" spans="1:6">
      <c r="A2177" s="57"/>
      <c r="B2177" s="245" t="s">
        <v>1286</v>
      </c>
      <c r="C2177" s="245" t="s">
        <v>1188</v>
      </c>
      <c r="D2177" s="246">
        <f>$F$2253/100</f>
        <v>5.03319379720782</v>
      </c>
      <c r="E2177" s="246">
        <v>103</v>
      </c>
      <c r="F2177" s="84">
        <f>D2177*E2177</f>
        <v>518.418961112405</v>
      </c>
    </row>
    <row r="2178" ht="14.45" customHeight="1" spans="1:6">
      <c r="A2178" s="57"/>
      <c r="B2178" s="245" t="s">
        <v>1287</v>
      </c>
      <c r="C2178" s="245" t="s">
        <v>1188</v>
      </c>
      <c r="D2178" s="246">
        <f>$F$2271/100</f>
        <v>14.2523539763136</v>
      </c>
      <c r="E2178" s="246">
        <v>103</v>
      </c>
      <c r="F2178" s="84">
        <f>D2178*E2178</f>
        <v>1467.99245956031</v>
      </c>
    </row>
    <row r="2179" ht="14.45" customHeight="1" spans="1:6">
      <c r="A2179" s="57" t="s">
        <v>70</v>
      </c>
      <c r="B2179" s="57" t="s">
        <v>977</v>
      </c>
      <c r="C2179" s="194">
        <f>取费表!$C$7</f>
        <v>0.048</v>
      </c>
      <c r="D2179" s="246"/>
      <c r="E2179" s="246">
        <f>F2153</f>
        <v>64387.8340643873</v>
      </c>
      <c r="F2179" s="84">
        <f t="shared" ref="F2179:F2182" si="270">E2179*C2179</f>
        <v>3090.61603509059</v>
      </c>
    </row>
    <row r="2180" ht="14.45" customHeight="1" spans="1:6">
      <c r="A2180" s="57"/>
      <c r="B2180" s="57"/>
      <c r="C2180" s="194"/>
      <c r="D2180" s="246"/>
      <c r="E2180" s="246"/>
      <c r="F2180" s="84"/>
    </row>
    <row r="2181" ht="14.45" customHeight="1" spans="1:6">
      <c r="A2181" s="57" t="s">
        <v>979</v>
      </c>
      <c r="B2181" s="57" t="s">
        <v>973</v>
      </c>
      <c r="C2181" s="194">
        <f>取费表!$E$7</f>
        <v>0.07</v>
      </c>
      <c r="D2181" s="246"/>
      <c r="E2181" s="246">
        <f>F2152</f>
        <v>67478.4500994779</v>
      </c>
      <c r="F2181" s="84">
        <f t="shared" si="270"/>
        <v>4723.49150696345</v>
      </c>
    </row>
    <row r="2182" ht="14.45" customHeight="1" spans="1:6">
      <c r="A2182" s="57" t="s">
        <v>162</v>
      </c>
      <c r="B2182" s="57" t="s">
        <v>980</v>
      </c>
      <c r="C2182" s="194">
        <f>取费表!$F$7</f>
        <v>0.07</v>
      </c>
      <c r="D2182" s="246"/>
      <c r="E2182" s="246">
        <f>F2181+F2152</f>
        <v>72201.9416064413</v>
      </c>
      <c r="F2182" s="84">
        <f t="shared" si="270"/>
        <v>5054.13591245089</v>
      </c>
    </row>
    <row r="2183" ht="14.45" customHeight="1" spans="1:6">
      <c r="A2183" s="57" t="s">
        <v>214</v>
      </c>
      <c r="B2183" s="57" t="s">
        <v>1173</v>
      </c>
      <c r="C2183" s="59"/>
      <c r="D2183" s="84"/>
      <c r="E2183" s="57"/>
      <c r="F2183" s="113">
        <f>F2184+F2189</f>
        <v>16295.8173848473</v>
      </c>
    </row>
    <row r="2184" ht="14.45" customHeight="1" spans="1:6">
      <c r="A2184" s="57">
        <v>1</v>
      </c>
      <c r="B2184" s="57" t="s">
        <v>1288</v>
      </c>
      <c r="C2184" s="59"/>
      <c r="D2184" s="84"/>
      <c r="E2184" s="57"/>
      <c r="F2184" s="113">
        <f>SUM(F2185:F2188)</f>
        <v>16023.7599848473</v>
      </c>
    </row>
    <row r="2185" ht="14.45" customHeight="1" spans="1:6">
      <c r="A2185" s="57"/>
      <c r="B2185" s="57"/>
      <c r="C2185" s="57"/>
      <c r="D2185" s="84"/>
      <c r="E2185" s="84"/>
      <c r="F2185" s="113"/>
    </row>
    <row r="2186" ht="14.45" customHeight="1" spans="1:6">
      <c r="A2186" s="57"/>
      <c r="B2186" s="57" t="s">
        <v>1106</v>
      </c>
      <c r="C2186" s="57" t="s">
        <v>69</v>
      </c>
      <c r="D2186" s="84">
        <f>材料预算价!K6-材料预算价!L6</f>
        <v>316.61055</v>
      </c>
      <c r="E2186" s="84">
        <f t="shared" ref="E2186:E2191" si="271">E2091</f>
        <v>37.58161</v>
      </c>
      <c r="F2186" s="113">
        <f t="shared" ref="F2186:F2188" si="272">D2186*E2186</f>
        <v>11898.7342119855</v>
      </c>
    </row>
    <row r="2187" ht="14.45" customHeight="1" spans="1:6">
      <c r="A2187" s="57"/>
      <c r="B2187" s="57" t="s">
        <v>1142</v>
      </c>
      <c r="C2187" s="57" t="s">
        <v>1188</v>
      </c>
      <c r="D2187" s="84">
        <f t="shared" ref="D2187:D2191" si="273">D2092</f>
        <v>44.826214</v>
      </c>
      <c r="E2187" s="84">
        <f t="shared" si="271"/>
        <v>52.18598</v>
      </c>
      <c r="F2187" s="113">
        <f t="shared" si="272"/>
        <v>2339.29990727972</v>
      </c>
    </row>
    <row r="2188" ht="14.45" customHeight="1" spans="1:6">
      <c r="A2188" s="57"/>
      <c r="B2188" s="57" t="s">
        <v>1110</v>
      </c>
      <c r="C2188" s="57" t="s">
        <v>1188</v>
      </c>
      <c r="D2188" s="84">
        <f t="shared" si="273"/>
        <v>20.60443</v>
      </c>
      <c r="E2188" s="84">
        <f t="shared" si="271"/>
        <v>86.667084</v>
      </c>
      <c r="F2188" s="113">
        <f t="shared" si="272"/>
        <v>1785.72586558212</v>
      </c>
    </row>
    <row r="2189" ht="14.45" customHeight="1" spans="1:6">
      <c r="A2189" s="57">
        <v>2</v>
      </c>
      <c r="B2189" s="57" t="s">
        <v>1289</v>
      </c>
      <c r="C2189" s="57"/>
      <c r="D2189" s="84"/>
      <c r="E2189" s="84">
        <f t="shared" si="271"/>
        <v>0</v>
      </c>
      <c r="F2189" s="113">
        <f>SUM(F2190:F2191)</f>
        <v>272.0574</v>
      </c>
    </row>
    <row r="2190" ht="14.45" customHeight="1" spans="1:6">
      <c r="A2190" s="57"/>
      <c r="B2190" s="57" t="s">
        <v>1290</v>
      </c>
      <c r="C2190" s="57" t="s">
        <v>184</v>
      </c>
      <c r="D2190" s="84">
        <f t="shared" si="273"/>
        <v>6.225</v>
      </c>
      <c r="E2190" s="84">
        <f t="shared" si="271"/>
        <v>43.704</v>
      </c>
      <c r="F2190" s="113">
        <f>D2190*E2190</f>
        <v>272.0574</v>
      </c>
    </row>
    <row r="2191" ht="14.45" customHeight="1" spans="1:6">
      <c r="A2191" s="57"/>
      <c r="B2191" s="57" t="s">
        <v>1174</v>
      </c>
      <c r="C2191" s="57" t="s">
        <v>184</v>
      </c>
      <c r="D2191" s="84">
        <f t="shared" si="273"/>
        <v>0</v>
      </c>
      <c r="E2191" s="84">
        <f t="shared" si="271"/>
        <v>0</v>
      </c>
      <c r="F2191" s="113">
        <f>D2191*E2191</f>
        <v>0</v>
      </c>
    </row>
    <row r="2192" ht="14.45" customHeight="1" spans="1:6">
      <c r="A2192" s="57" t="s">
        <v>327</v>
      </c>
      <c r="B2192" s="57" t="s">
        <v>976</v>
      </c>
      <c r="C2192" s="195">
        <f>C2144</f>
        <v>0.09</v>
      </c>
      <c r="D2192" s="84"/>
      <c r="E2192" s="84">
        <f>F2183+F2182+F2181+F2152</f>
        <v>93551.8949037396</v>
      </c>
      <c r="F2192" s="84">
        <f>E2192*C2192</f>
        <v>8419.67054133656</v>
      </c>
    </row>
    <row r="2193" ht="14.45" customHeight="1" spans="1:6">
      <c r="A2193" s="57"/>
      <c r="B2193" s="57" t="s">
        <v>984</v>
      </c>
      <c r="C2193" s="195"/>
      <c r="D2193" s="84"/>
      <c r="E2193" s="84"/>
      <c r="F2193" s="84">
        <f>(F2152+F2181+F2182+F2183+F2192)*取费表!H7</f>
        <v>3059.14696335228</v>
      </c>
    </row>
    <row r="2194" ht="14.45" customHeight="1" spans="1:6">
      <c r="A2194" s="57"/>
      <c r="B2194" s="57" t="s">
        <v>278</v>
      </c>
      <c r="C2194" s="57"/>
      <c r="D2194" s="84"/>
      <c r="E2194" s="84"/>
      <c r="F2194" s="84">
        <f>F2192+E2192+F2193</f>
        <v>105030.712408428</v>
      </c>
    </row>
    <row r="2195" ht="14.85" customHeight="1" spans="1:6">
      <c r="A2195" s="176" t="s">
        <v>1204</v>
      </c>
      <c r="B2195" s="175"/>
      <c r="C2195" s="175"/>
      <c r="D2195" s="175"/>
      <c r="E2195" s="175"/>
      <c r="F2195" s="175"/>
    </row>
    <row r="2196" ht="14.85" customHeight="1" spans="1:6">
      <c r="A2196" s="242" t="s">
        <v>1363</v>
      </c>
      <c r="C2196" s="243"/>
      <c r="D2196" s="243"/>
      <c r="E2196" s="243"/>
      <c r="F2196" s="243"/>
    </row>
    <row r="2197" ht="14.85" customHeight="1" spans="1:6">
      <c r="A2197" s="190" t="s">
        <v>1356</v>
      </c>
      <c r="B2197" s="191"/>
      <c r="C2197" s="243"/>
      <c r="D2197" s="243"/>
      <c r="E2197" s="191" t="s">
        <v>1159</v>
      </c>
      <c r="F2197" s="191"/>
    </row>
    <row r="2198" ht="14.85" customHeight="1" spans="1:6">
      <c r="A2198" s="117" t="s">
        <v>1218</v>
      </c>
      <c r="B2198" s="192"/>
      <c r="C2198" s="192"/>
      <c r="D2198" s="192"/>
      <c r="E2198" s="192"/>
      <c r="F2198" s="118"/>
    </row>
    <row r="2199" ht="14.85" customHeight="1" spans="1:6">
      <c r="A2199" s="57" t="s">
        <v>354</v>
      </c>
      <c r="B2199" s="57" t="s">
        <v>956</v>
      </c>
      <c r="C2199" s="57" t="s">
        <v>52</v>
      </c>
      <c r="D2199" s="57" t="s">
        <v>855</v>
      </c>
      <c r="E2199" s="57" t="s">
        <v>53</v>
      </c>
      <c r="F2199" s="57" t="s">
        <v>306</v>
      </c>
    </row>
    <row r="2200" ht="14.85" customHeight="1" spans="1:6">
      <c r="A2200" s="57" t="s">
        <v>959</v>
      </c>
      <c r="B2200" s="57" t="s">
        <v>960</v>
      </c>
      <c r="C2200" s="57"/>
      <c r="D2200" s="57"/>
      <c r="E2200" s="57"/>
      <c r="F2200" s="84">
        <f>F2201+F2226+F2227</f>
        <v>36995.1818105916</v>
      </c>
    </row>
    <row r="2201" ht="14.85" customHeight="1" spans="1:6">
      <c r="A2201" s="57" t="s">
        <v>59</v>
      </c>
      <c r="B2201" s="57" t="s">
        <v>957</v>
      </c>
      <c r="C2201" s="57"/>
      <c r="D2201" s="57"/>
      <c r="E2201" s="57"/>
      <c r="F2201" s="84">
        <f>F2202+F2205+F2215+F2223</f>
        <v>35300.7460024729</v>
      </c>
    </row>
    <row r="2202" ht="14.85" customHeight="1" spans="1:6">
      <c r="A2202" s="57">
        <v>1</v>
      </c>
      <c r="B2202" s="57" t="s">
        <v>964</v>
      </c>
      <c r="C2202" s="57" t="s">
        <v>965</v>
      </c>
      <c r="D2202" s="84"/>
      <c r="E2202" s="113">
        <f>SUM(E2203:E2204)</f>
        <v>1593.2</v>
      </c>
      <c r="F2202" s="113">
        <f>SUM(F2203:F2204)</f>
        <v>12061.46</v>
      </c>
    </row>
    <row r="2203" ht="14.85" customHeight="1" spans="1:6">
      <c r="A2203" s="57"/>
      <c r="B2203" s="57" t="s">
        <v>966</v>
      </c>
      <c r="C2203" s="57" t="s">
        <v>965</v>
      </c>
      <c r="D2203" s="113">
        <f>D2155</f>
        <v>8.1</v>
      </c>
      <c r="E2203" s="92">
        <v>1231.2</v>
      </c>
      <c r="F2203" s="113">
        <f>D2203*E2203</f>
        <v>9972.72</v>
      </c>
    </row>
    <row r="2204" ht="14.85" customHeight="1" spans="1:6">
      <c r="A2204" s="57"/>
      <c r="B2204" s="57" t="s">
        <v>968</v>
      </c>
      <c r="C2204" s="57" t="s">
        <v>965</v>
      </c>
      <c r="D2204" s="113">
        <f>D2156</f>
        <v>5.77</v>
      </c>
      <c r="E2204" s="92">
        <v>362</v>
      </c>
      <c r="F2204" s="113">
        <f>D2204*E2204</f>
        <v>2088.74</v>
      </c>
    </row>
    <row r="2205" ht="14.85" customHeight="1" spans="1:6">
      <c r="A2205" s="57">
        <v>2</v>
      </c>
      <c r="B2205" s="57" t="s">
        <v>1219</v>
      </c>
      <c r="C2205" s="57"/>
      <c r="D2205" s="84"/>
      <c r="E2205" s="84"/>
      <c r="F2205" s="84">
        <f>SUM(F2206:F2214)</f>
        <v>20572.44653814</v>
      </c>
    </row>
    <row r="2206" ht="14.85" customHeight="1" spans="1:6">
      <c r="A2206" s="57"/>
      <c r="B2206" s="244" t="s">
        <v>1272</v>
      </c>
      <c r="C2206" s="244" t="s">
        <v>1188</v>
      </c>
      <c r="D2206" s="84">
        <f t="shared" ref="D2206:D2213" si="274">D2158</f>
        <v>2232.665025</v>
      </c>
      <c r="E2206" s="84">
        <v>0.14</v>
      </c>
      <c r="F2206" s="84">
        <f t="shared" ref="F2206:F2213" si="275">D2206*E2206</f>
        <v>312.5731035</v>
      </c>
    </row>
    <row r="2207" ht="14.85" customHeight="1" spans="1:6">
      <c r="A2207" s="57"/>
      <c r="B2207" s="244" t="s">
        <v>1334</v>
      </c>
      <c r="C2207" s="244" t="s">
        <v>184</v>
      </c>
      <c r="D2207" s="84">
        <f t="shared" si="274"/>
        <v>4.44</v>
      </c>
      <c r="E2207" s="84">
        <v>13.1</v>
      </c>
      <c r="F2207" s="84">
        <f t="shared" si="275"/>
        <v>58.164</v>
      </c>
    </row>
    <row r="2208" ht="14.85" customHeight="1" spans="1:6">
      <c r="A2208" s="57"/>
      <c r="B2208" s="244" t="s">
        <v>1274</v>
      </c>
      <c r="C2208" s="244" t="s">
        <v>184</v>
      </c>
      <c r="D2208" s="84">
        <f t="shared" si="274"/>
        <v>4.5</v>
      </c>
      <c r="E2208" s="84">
        <v>13.2</v>
      </c>
      <c r="F2208" s="84">
        <f t="shared" si="275"/>
        <v>59.4</v>
      </c>
    </row>
    <row r="2209" ht="14.85" customHeight="1" spans="1:6">
      <c r="A2209" s="57"/>
      <c r="B2209" s="244" t="s">
        <v>1276</v>
      </c>
      <c r="C2209" s="244" t="s">
        <v>184</v>
      </c>
      <c r="D2209" s="84">
        <f t="shared" si="274"/>
        <v>4.5</v>
      </c>
      <c r="E2209" s="84">
        <v>14.7</v>
      </c>
      <c r="F2209" s="84">
        <f t="shared" si="275"/>
        <v>66.15</v>
      </c>
    </row>
    <row r="2210" ht="14.85" customHeight="1" spans="1:6">
      <c r="A2210" s="57"/>
      <c r="B2210" s="244" t="s">
        <v>1277</v>
      </c>
      <c r="C2210" s="244" t="s">
        <v>184</v>
      </c>
      <c r="D2210" s="84">
        <f t="shared" si="274"/>
        <v>6.39</v>
      </c>
      <c r="E2210" s="84">
        <v>52.4</v>
      </c>
      <c r="F2210" s="84">
        <f t="shared" si="275"/>
        <v>334.836</v>
      </c>
    </row>
    <row r="2211" ht="14.85" customHeight="1" spans="1:6">
      <c r="A2211" s="57"/>
      <c r="B2211" s="244" t="s">
        <v>1278</v>
      </c>
      <c r="C2211" s="244" t="s">
        <v>184</v>
      </c>
      <c r="D2211" s="84">
        <f t="shared" si="274"/>
        <v>5.97</v>
      </c>
      <c r="E2211" s="84">
        <v>1.2</v>
      </c>
      <c r="F2211" s="84">
        <f t="shared" si="275"/>
        <v>7.164</v>
      </c>
    </row>
    <row r="2212" ht="14.85" customHeight="1" spans="1:6">
      <c r="A2212" s="57"/>
      <c r="B2212" s="57" t="s">
        <v>1364</v>
      </c>
      <c r="C2212" s="57" t="s">
        <v>1188</v>
      </c>
      <c r="D2212" s="84">
        <f t="shared" si="274"/>
        <v>188.1795335</v>
      </c>
      <c r="E2212" s="84">
        <v>103</v>
      </c>
      <c r="F2212" s="84">
        <f t="shared" si="275"/>
        <v>19382.4919505</v>
      </c>
    </row>
    <row r="2213" ht="14.85" customHeight="1" spans="1:6">
      <c r="A2213" s="57"/>
      <c r="B2213" s="57" t="s">
        <v>1022</v>
      </c>
      <c r="C2213" s="57" t="s">
        <v>1188</v>
      </c>
      <c r="D2213" s="84">
        <f t="shared" si="274"/>
        <v>4.37</v>
      </c>
      <c r="E2213" s="84">
        <v>70</v>
      </c>
      <c r="F2213" s="84">
        <f t="shared" si="275"/>
        <v>305.9</v>
      </c>
    </row>
    <row r="2214" ht="14.85" customHeight="1" spans="1:6">
      <c r="A2214" s="57"/>
      <c r="B2214" s="57" t="s">
        <v>1163</v>
      </c>
      <c r="C2214" s="59" t="s">
        <v>423</v>
      </c>
      <c r="D2214" s="84">
        <f>F2206+F2207+F2208+F2209+F2210+F2211+F2213</f>
        <v>1144.1871035</v>
      </c>
      <c r="E2214" s="84">
        <v>4</v>
      </c>
      <c r="F2214" s="84">
        <f>D2214*E2214/100</f>
        <v>45.76748414</v>
      </c>
    </row>
    <row r="2215" ht="14.85" customHeight="1" spans="1:6">
      <c r="A2215" s="57">
        <v>3</v>
      </c>
      <c r="B2215" s="57" t="s">
        <v>1171</v>
      </c>
      <c r="C2215" s="57"/>
      <c r="D2215" s="84"/>
      <c r="E2215" s="84"/>
      <c r="F2215" s="84">
        <f>SUM(F2216:F2222)</f>
        <v>680.428043660152</v>
      </c>
    </row>
    <row r="2216" ht="14.85" customHeight="1" spans="1:6">
      <c r="A2216" s="57"/>
      <c r="B2216" s="57" t="s">
        <v>1284</v>
      </c>
      <c r="C2216" s="57" t="s">
        <v>988</v>
      </c>
      <c r="D2216" s="84">
        <f t="shared" ref="D2216:D2221" si="276">D2121</f>
        <v>1.80552692461109</v>
      </c>
      <c r="E2216" s="84">
        <v>23</v>
      </c>
      <c r="F2216" s="84">
        <f t="shared" ref="F2216:F2221" si="277">D2216*E2216</f>
        <v>41.5271192660551</v>
      </c>
    </row>
    <row r="2217" ht="14.85" customHeight="1" spans="1:6">
      <c r="A2217" s="57"/>
      <c r="B2217" s="248" t="s">
        <v>1343</v>
      </c>
      <c r="C2217" s="57" t="s">
        <v>988</v>
      </c>
      <c r="D2217" s="84">
        <f t="shared" si="276"/>
        <v>23.7459521340247</v>
      </c>
      <c r="E2217" s="84">
        <v>18.54</v>
      </c>
      <c r="F2217" s="84">
        <f t="shared" si="277"/>
        <v>440.249952564819</v>
      </c>
    </row>
    <row r="2218" ht="14.85" customHeight="1" spans="1:6">
      <c r="A2218" s="57"/>
      <c r="B2218" s="57" t="s">
        <v>1190</v>
      </c>
      <c r="C2218" s="57" t="s">
        <v>988</v>
      </c>
      <c r="D2218" s="84">
        <f t="shared" si="276"/>
        <v>0.813242919824491</v>
      </c>
      <c r="E2218" s="204">
        <v>75.2</v>
      </c>
      <c r="F2218" s="84">
        <f t="shared" si="277"/>
        <v>61.1558675708017</v>
      </c>
    </row>
    <row r="2219" ht="14.85" customHeight="1" spans="1:6">
      <c r="A2219" s="57"/>
      <c r="B2219" s="57" t="s">
        <v>1280</v>
      </c>
      <c r="C2219" s="57" t="s">
        <v>988</v>
      </c>
      <c r="D2219" s="84">
        <f t="shared" si="276"/>
        <v>49.389824491424</v>
      </c>
      <c r="E2219" s="204">
        <v>0.21</v>
      </c>
      <c r="F2219" s="84">
        <f t="shared" si="277"/>
        <v>10.371863143199</v>
      </c>
    </row>
    <row r="2220" ht="14.85" customHeight="1" spans="1:6">
      <c r="A2220" s="57"/>
      <c r="B2220" s="244" t="s">
        <v>1352</v>
      </c>
      <c r="C2220" s="57" t="s">
        <v>988</v>
      </c>
      <c r="D2220" s="84">
        <f t="shared" si="276"/>
        <v>62.3342780215397</v>
      </c>
      <c r="E2220" s="204">
        <v>0.06</v>
      </c>
      <c r="F2220" s="84">
        <f t="shared" si="277"/>
        <v>3.74005668129238</v>
      </c>
    </row>
    <row r="2221" ht="14.85" customHeight="1" spans="1:6">
      <c r="A2221" s="57"/>
      <c r="B2221" s="244" t="s">
        <v>1344</v>
      </c>
      <c r="C2221" s="57" t="s">
        <v>988</v>
      </c>
      <c r="D2221" s="84">
        <f t="shared" si="276"/>
        <v>8.0471858795373</v>
      </c>
      <c r="E2221" s="204">
        <v>1.24</v>
      </c>
      <c r="F2221" s="84">
        <f t="shared" si="277"/>
        <v>9.97851049062625</v>
      </c>
    </row>
    <row r="2222" ht="14.85" customHeight="1" spans="1:6">
      <c r="A2222" s="57"/>
      <c r="B2222" s="57" t="s">
        <v>1223</v>
      </c>
      <c r="C2222" s="59" t="s">
        <v>423</v>
      </c>
      <c r="D2222" s="84">
        <f>SUM(F2216:F2221)</f>
        <v>567.023369716793</v>
      </c>
      <c r="E2222" s="84">
        <v>20</v>
      </c>
      <c r="F2222" s="84">
        <f>D2222*E2222/100</f>
        <v>113.404673943359</v>
      </c>
    </row>
    <row r="2223" ht="14.85" customHeight="1" spans="1:6">
      <c r="A2223" s="55">
        <v>4</v>
      </c>
      <c r="B2223" s="55" t="s">
        <v>1285</v>
      </c>
      <c r="C2223" s="253"/>
      <c r="D2223" s="254"/>
      <c r="E2223" s="254"/>
      <c r="F2223" s="254">
        <f>SUM(F2224:F2225)</f>
        <v>1986.41142067271</v>
      </c>
    </row>
    <row r="2224" ht="14.85" customHeight="1" spans="1:6">
      <c r="A2224" s="57"/>
      <c r="B2224" s="245" t="s">
        <v>1286</v>
      </c>
      <c r="C2224" s="245" t="s">
        <v>1188</v>
      </c>
      <c r="D2224" s="246">
        <f>$F$2253/100</f>
        <v>5.03319379720782</v>
      </c>
      <c r="E2224" s="246">
        <v>103</v>
      </c>
      <c r="F2224" s="84">
        <f>D2224*E2224</f>
        <v>518.418961112405</v>
      </c>
    </row>
    <row r="2225" ht="14.85" customHeight="1" spans="1:6">
      <c r="A2225" s="57"/>
      <c r="B2225" s="245" t="s">
        <v>1287</v>
      </c>
      <c r="C2225" s="245" t="s">
        <v>1188</v>
      </c>
      <c r="D2225" s="246">
        <f>$F$2271/100</f>
        <v>14.2523539763136</v>
      </c>
      <c r="E2225" s="246">
        <v>103</v>
      </c>
      <c r="F2225" s="84">
        <f>D2225*E2225</f>
        <v>1467.99245956031</v>
      </c>
    </row>
    <row r="2226" ht="14.85" customHeight="1" spans="1:6">
      <c r="A2226" s="57" t="s">
        <v>70</v>
      </c>
      <c r="B2226" s="57" t="s">
        <v>977</v>
      </c>
      <c r="C2226" s="194">
        <f>取费表!$C$7</f>
        <v>0.048</v>
      </c>
      <c r="D2226" s="246"/>
      <c r="E2226" s="246">
        <f>F2201</f>
        <v>35300.7460024729</v>
      </c>
      <c r="F2226" s="84">
        <f t="shared" ref="F2226:F2229" si="278">E2226*C2226</f>
        <v>1694.4358081187</v>
      </c>
    </row>
    <row r="2227" ht="14.85" customHeight="1" spans="1:6">
      <c r="A2227" s="57"/>
      <c r="B2227" s="57"/>
      <c r="C2227" s="194"/>
      <c r="D2227" s="246"/>
      <c r="E2227" s="246"/>
      <c r="F2227" s="84"/>
    </row>
    <row r="2228" ht="14.85" customHeight="1" spans="1:6">
      <c r="A2228" s="57" t="s">
        <v>979</v>
      </c>
      <c r="B2228" s="57" t="s">
        <v>973</v>
      </c>
      <c r="C2228" s="194">
        <f>取费表!$E$7</f>
        <v>0.07</v>
      </c>
      <c r="D2228" s="246"/>
      <c r="E2228" s="246">
        <f>F2200</f>
        <v>36995.1818105916</v>
      </c>
      <c r="F2228" s="84">
        <f t="shared" si="278"/>
        <v>2589.66272674141</v>
      </c>
    </row>
    <row r="2229" ht="14.85" customHeight="1" spans="1:6">
      <c r="A2229" s="57" t="s">
        <v>162</v>
      </c>
      <c r="B2229" s="57" t="s">
        <v>980</v>
      </c>
      <c r="C2229" s="194">
        <f>取费表!$F$7</f>
        <v>0.07</v>
      </c>
      <c r="D2229" s="246"/>
      <c r="E2229" s="246">
        <f>F2228+F2200</f>
        <v>39584.844537333</v>
      </c>
      <c r="F2229" s="84">
        <f t="shared" si="278"/>
        <v>2770.93911761331</v>
      </c>
    </row>
    <row r="2230" ht="14.85" customHeight="1" spans="1:6">
      <c r="A2230" s="55" t="s">
        <v>214</v>
      </c>
      <c r="B2230" s="55" t="s">
        <v>1173</v>
      </c>
      <c r="C2230" s="253"/>
      <c r="D2230" s="254"/>
      <c r="E2230" s="55"/>
      <c r="F2230" s="255">
        <f>F2231+F2236</f>
        <v>16035.3384848473</v>
      </c>
    </row>
    <row r="2231" ht="14.85" customHeight="1" spans="1:6">
      <c r="A2231" s="57">
        <v>1</v>
      </c>
      <c r="B2231" s="57" t="s">
        <v>1288</v>
      </c>
      <c r="C2231" s="59"/>
      <c r="D2231" s="84"/>
      <c r="E2231" s="57"/>
      <c r="F2231" s="113">
        <f>SUM(F2232:F2235)</f>
        <v>16023.7599848473</v>
      </c>
    </row>
    <row r="2232" ht="14.85" customHeight="1" spans="1:6">
      <c r="A2232" s="57"/>
      <c r="B2232" s="57"/>
      <c r="C2232" s="57"/>
      <c r="D2232" s="84"/>
      <c r="E2232" s="84"/>
      <c r="F2232" s="113"/>
    </row>
    <row r="2233" ht="14.85" customHeight="1" spans="1:6">
      <c r="A2233" s="57"/>
      <c r="B2233" s="57" t="s">
        <v>1106</v>
      </c>
      <c r="C2233" s="57" t="s">
        <v>69</v>
      </c>
      <c r="D2233" s="84">
        <f>D2186</f>
        <v>316.61055</v>
      </c>
      <c r="E2233" s="84">
        <f t="shared" ref="E2233:E2235" si="279">E2138</f>
        <v>37.58161</v>
      </c>
      <c r="F2233" s="113">
        <f t="shared" ref="F2233:F2235" si="280">D2233*E2233</f>
        <v>11898.7342119855</v>
      </c>
    </row>
    <row r="2234" ht="14.85" customHeight="1" spans="1:6">
      <c r="A2234" s="57"/>
      <c r="B2234" s="57" t="s">
        <v>1142</v>
      </c>
      <c r="C2234" s="57" t="s">
        <v>1188</v>
      </c>
      <c r="D2234" s="84">
        <f t="shared" ref="D2234:D2238" si="281">D2139</f>
        <v>44.826214</v>
      </c>
      <c r="E2234" s="84">
        <f t="shared" si="279"/>
        <v>52.18598</v>
      </c>
      <c r="F2234" s="113">
        <f t="shared" si="280"/>
        <v>2339.29990727972</v>
      </c>
    </row>
    <row r="2235" ht="14.85" customHeight="1" spans="1:6">
      <c r="A2235" s="57"/>
      <c r="B2235" s="57" t="s">
        <v>1110</v>
      </c>
      <c r="C2235" s="57" t="s">
        <v>1188</v>
      </c>
      <c r="D2235" s="84">
        <f t="shared" si="281"/>
        <v>20.60443</v>
      </c>
      <c r="E2235" s="84">
        <f t="shared" si="279"/>
        <v>86.667084</v>
      </c>
      <c r="F2235" s="113">
        <f t="shared" si="280"/>
        <v>1785.72586558212</v>
      </c>
    </row>
    <row r="2236" ht="14.85" customHeight="1" spans="1:6">
      <c r="A2236" s="57">
        <v>2</v>
      </c>
      <c r="B2236" s="57" t="s">
        <v>1289</v>
      </c>
      <c r="C2236" s="57"/>
      <c r="D2236" s="84"/>
      <c r="E2236" s="84"/>
      <c r="F2236" s="113">
        <f>SUM(F2237:F2238)</f>
        <v>11.5785</v>
      </c>
    </row>
    <row r="2237" ht="14.85" customHeight="1" spans="1:6">
      <c r="A2237" s="57"/>
      <c r="B2237" s="57" t="s">
        <v>1290</v>
      </c>
      <c r="C2237" s="57" t="s">
        <v>184</v>
      </c>
      <c r="D2237" s="84">
        <f t="shared" si="281"/>
        <v>6.225</v>
      </c>
      <c r="E2237" s="84">
        <f>E2142</f>
        <v>1.86</v>
      </c>
      <c r="F2237" s="113">
        <f>D2237*E2237</f>
        <v>11.5785</v>
      </c>
    </row>
    <row r="2238" ht="14.85" customHeight="1" spans="1:6">
      <c r="A2238" s="57"/>
      <c r="B2238" s="57" t="s">
        <v>1174</v>
      </c>
      <c r="C2238" s="57" t="s">
        <v>184</v>
      </c>
      <c r="D2238" s="84">
        <f t="shared" si="281"/>
        <v>0</v>
      </c>
      <c r="E2238" s="84">
        <f>E2143</f>
        <v>0</v>
      </c>
      <c r="F2238" s="113">
        <f>D2238*E2238</f>
        <v>0</v>
      </c>
    </row>
    <row r="2239" ht="14.85" customHeight="1" spans="1:6">
      <c r="A2239" s="57" t="s">
        <v>327</v>
      </c>
      <c r="B2239" s="57" t="s">
        <v>976</v>
      </c>
      <c r="C2239" s="195">
        <f>C2192</f>
        <v>0.09</v>
      </c>
      <c r="D2239" s="84"/>
      <c r="E2239" s="84">
        <f>F2230+F2229+F2228+F2200</f>
        <v>58391.1221397936</v>
      </c>
      <c r="F2239" s="84">
        <f>E2239*C2239</f>
        <v>5255.20099258143</v>
      </c>
    </row>
    <row r="2240" ht="14.85" customHeight="1" spans="1:6">
      <c r="A2240" s="57"/>
      <c r="B2240" s="57" t="s">
        <v>984</v>
      </c>
      <c r="C2240" s="195"/>
      <c r="D2240" s="84"/>
      <c r="E2240" s="84"/>
      <c r="F2240" s="84">
        <f>(F2200+F2228+F2229+F2230+F2239)*取费表!H7</f>
        <v>1909.38969397125</v>
      </c>
    </row>
    <row r="2241" ht="14.85" customHeight="1" spans="1:6">
      <c r="A2241" s="57"/>
      <c r="B2241" s="57" t="s">
        <v>278</v>
      </c>
      <c r="C2241" s="57"/>
      <c r="D2241" s="84"/>
      <c r="E2241" s="84"/>
      <c r="F2241" s="84">
        <f>F2239+E2239+F2240</f>
        <v>65555.7128263463</v>
      </c>
    </row>
    <row r="2242" ht="20.1" customHeight="1" spans="1:6">
      <c r="A2242" s="176" t="s">
        <v>1204</v>
      </c>
      <c r="B2242" s="175"/>
      <c r="C2242" s="175"/>
      <c r="D2242" s="175"/>
      <c r="E2242" s="175"/>
      <c r="F2242" s="175"/>
    </row>
    <row r="2243" ht="20.1" customHeight="1" spans="1:6">
      <c r="A2243" s="256" t="s">
        <v>1365</v>
      </c>
      <c r="B2243" s="256"/>
      <c r="C2243" s="256"/>
      <c r="D2243" s="256"/>
      <c r="E2243" s="256"/>
      <c r="F2243" s="256"/>
    </row>
    <row r="2244" ht="20.1" customHeight="1" spans="1:6">
      <c r="A2244" s="190" t="s">
        <v>1366</v>
      </c>
      <c r="B2244" s="191"/>
      <c r="C2244" s="243"/>
      <c r="D2244" s="243"/>
      <c r="E2244" s="191" t="s">
        <v>1242</v>
      </c>
      <c r="F2244" s="191"/>
    </row>
    <row r="2245" ht="20.1" customHeight="1" spans="1:6">
      <c r="A2245" s="197" t="s">
        <v>1218</v>
      </c>
      <c r="B2245" s="192"/>
      <c r="C2245" s="192"/>
      <c r="D2245" s="192"/>
      <c r="E2245" s="192"/>
      <c r="F2245" s="118"/>
    </row>
    <row r="2246" ht="20.1" customHeight="1" spans="1:6">
      <c r="A2246" s="57" t="s">
        <v>354</v>
      </c>
      <c r="B2246" s="57" t="s">
        <v>956</v>
      </c>
      <c r="C2246" s="57" t="s">
        <v>52</v>
      </c>
      <c r="D2246" s="57" t="s">
        <v>855</v>
      </c>
      <c r="E2246" s="57" t="s">
        <v>53</v>
      </c>
      <c r="F2246" s="57" t="s">
        <v>306</v>
      </c>
    </row>
    <row r="2247" s="307" customFormat="1" ht="20.1" customHeight="1" spans="1:6">
      <c r="A2247" s="57" t="s">
        <v>1367</v>
      </c>
      <c r="B2247" s="57" t="s">
        <v>964</v>
      </c>
      <c r="C2247" s="57" t="s">
        <v>965</v>
      </c>
      <c r="D2247" s="84"/>
      <c r="E2247" s="92">
        <f>SUM(E2248:E2249)</f>
        <v>74.4</v>
      </c>
      <c r="F2247" s="113">
        <f>SUM(F2248:F2249)</f>
        <v>429.288</v>
      </c>
    </row>
    <row r="2248" s="307" customFormat="1" ht="20.1" customHeight="1" spans="1:6">
      <c r="A2248" s="57"/>
      <c r="B2248" s="57" t="s">
        <v>966</v>
      </c>
      <c r="C2248" s="57" t="s">
        <v>965</v>
      </c>
      <c r="D2248" s="113">
        <f>材料预算价!K20</f>
        <v>8.1</v>
      </c>
      <c r="E2248" s="92">
        <v>0</v>
      </c>
      <c r="F2248" s="113">
        <f t="shared" ref="F2248:F2252" si="282">D2248*E2248</f>
        <v>0</v>
      </c>
    </row>
    <row r="2249" s="307" customFormat="1" ht="20.1" customHeight="1" spans="1:6">
      <c r="A2249" s="57"/>
      <c r="B2249" s="57" t="s">
        <v>968</v>
      </c>
      <c r="C2249" s="57" t="s">
        <v>965</v>
      </c>
      <c r="D2249" s="113">
        <f>材料预算价!K19</f>
        <v>5.77</v>
      </c>
      <c r="E2249" s="92">
        <v>74.4</v>
      </c>
      <c r="F2249" s="113">
        <f t="shared" si="282"/>
        <v>429.288</v>
      </c>
    </row>
    <row r="2250" s="307" customFormat="1" ht="20.1" customHeight="1" spans="1:6">
      <c r="A2250" s="57" t="s">
        <v>1368</v>
      </c>
      <c r="B2250" s="57" t="s">
        <v>969</v>
      </c>
      <c r="C2250" s="57" t="s">
        <v>423</v>
      </c>
      <c r="D2250" s="84">
        <f>F2247+F2251</f>
        <v>474.829603510172</v>
      </c>
      <c r="E2250" s="84">
        <v>6</v>
      </c>
      <c r="F2250" s="84">
        <f>D2250*E2250/100</f>
        <v>28.4897762106103</v>
      </c>
    </row>
    <row r="2251" s="307" customFormat="1" ht="20.1" customHeight="1" spans="1:6">
      <c r="A2251" s="57" t="s">
        <v>1369</v>
      </c>
      <c r="B2251" s="57" t="s">
        <v>1171</v>
      </c>
      <c r="C2251" s="57"/>
      <c r="D2251" s="84"/>
      <c r="E2251" s="84"/>
      <c r="F2251" s="84">
        <f>SUM(F2252:F2252)</f>
        <v>45.5416035101715</v>
      </c>
    </row>
    <row r="2252" s="307" customFormat="1" ht="20.1" customHeight="1" spans="1:6">
      <c r="A2252" s="57"/>
      <c r="B2252" s="57" t="s">
        <v>1190</v>
      </c>
      <c r="C2252" s="57" t="s">
        <v>988</v>
      </c>
      <c r="D2252" s="84">
        <f>台时!C42</f>
        <v>0.813242919824491</v>
      </c>
      <c r="E2252" s="57">
        <v>56</v>
      </c>
      <c r="F2252" s="84">
        <f t="shared" si="282"/>
        <v>45.5416035101715</v>
      </c>
    </row>
    <row r="2253" s="307" customFormat="1" ht="20.1" customHeight="1" spans="1:6">
      <c r="A2253" s="57"/>
      <c r="B2253" s="57" t="s">
        <v>278</v>
      </c>
      <c r="C2253" s="57"/>
      <c r="D2253" s="84"/>
      <c r="E2253" s="84"/>
      <c r="F2253" s="84">
        <f>F2247+F2250+F2251</f>
        <v>503.319379720782</v>
      </c>
    </row>
    <row r="2254" s="307" customFormat="1" ht="20.1" customHeight="1" spans="1:6">
      <c r="A2254" s="57"/>
      <c r="B2254" s="57"/>
      <c r="C2254" s="57"/>
      <c r="D2254" s="84"/>
      <c r="E2254" s="84"/>
      <c r="F2254" s="84"/>
    </row>
    <row r="2255" s="307" customFormat="1" ht="20.1" customHeight="1" spans="1:6">
      <c r="A2255" s="57"/>
      <c r="B2255" s="57"/>
      <c r="C2255" s="57"/>
      <c r="D2255" s="84"/>
      <c r="E2255" s="84"/>
      <c r="F2255" s="84"/>
    </row>
    <row r="2256" s="307" customFormat="1" ht="20.1" customHeight="1" spans="1:6">
      <c r="A2256" s="57"/>
      <c r="B2256" s="57"/>
      <c r="C2256" s="57"/>
      <c r="D2256" s="84"/>
      <c r="E2256" s="84"/>
      <c r="F2256" s="84"/>
    </row>
    <row r="2257" s="307" customFormat="1" ht="20.1" customHeight="1" spans="1:6">
      <c r="A2257" s="57"/>
      <c r="B2257" s="57"/>
      <c r="C2257" s="57"/>
      <c r="D2257" s="84"/>
      <c r="E2257" s="84"/>
      <c r="F2257" s="84"/>
    </row>
    <row r="2258" s="307" customFormat="1" ht="20.1" customHeight="1" spans="1:6">
      <c r="A2258" s="57"/>
      <c r="B2258" s="57"/>
      <c r="C2258" s="57"/>
      <c r="D2258" s="84"/>
      <c r="E2258" s="84"/>
      <c r="F2258" s="84"/>
    </row>
    <row r="2259" ht="20.1" customHeight="1" spans="1:6">
      <c r="A2259" s="176" t="s">
        <v>1204</v>
      </c>
      <c r="B2259" s="175"/>
      <c r="C2259" s="175"/>
      <c r="D2259" s="175"/>
      <c r="E2259" s="175"/>
      <c r="F2259" s="175"/>
    </row>
    <row r="2260" ht="20.1" customHeight="1" spans="1:6">
      <c r="A2260" s="256" t="s">
        <v>1370</v>
      </c>
      <c r="B2260" s="256"/>
      <c r="C2260" s="256"/>
      <c r="D2260" s="256"/>
      <c r="E2260" s="256"/>
      <c r="F2260" s="256"/>
    </row>
    <row r="2261" ht="20.1" customHeight="1" spans="1:6">
      <c r="A2261" s="190" t="s">
        <v>1371</v>
      </c>
      <c r="B2261" s="191"/>
      <c r="C2261" s="168"/>
      <c r="D2261" s="168"/>
      <c r="E2261" s="191" t="s">
        <v>1159</v>
      </c>
      <c r="F2261" s="191"/>
    </row>
    <row r="2262" ht="20.1" customHeight="1" spans="1:6">
      <c r="A2262" s="197" t="s">
        <v>1218</v>
      </c>
      <c r="B2262" s="192"/>
      <c r="C2262" s="192"/>
      <c r="D2262" s="192"/>
      <c r="E2262" s="192"/>
      <c r="F2262" s="118"/>
    </row>
    <row r="2263" ht="20.1" customHeight="1" spans="1:6">
      <c r="A2263" s="57" t="s">
        <v>354</v>
      </c>
      <c r="B2263" s="57" t="s">
        <v>956</v>
      </c>
      <c r="C2263" s="57" t="s">
        <v>52</v>
      </c>
      <c r="D2263" s="57" t="s">
        <v>855</v>
      </c>
      <c r="E2263" s="57" t="s">
        <v>53</v>
      </c>
      <c r="F2263" s="57" t="s">
        <v>306</v>
      </c>
    </row>
    <row r="2264" s="307" customFormat="1" ht="20.1" customHeight="1" spans="1:6">
      <c r="A2264" s="57" t="s">
        <v>959</v>
      </c>
      <c r="B2264" s="57" t="s">
        <v>964</v>
      </c>
      <c r="C2264" s="57" t="s">
        <v>965</v>
      </c>
      <c r="D2264" s="84"/>
      <c r="E2264" s="92">
        <f>SUM(E2265:E2266)</f>
        <v>83.7</v>
      </c>
      <c r="F2264" s="113">
        <f>SUM(F2265:F2266)</f>
        <v>640.923</v>
      </c>
    </row>
    <row r="2265" s="307" customFormat="1" ht="20.1" customHeight="1" spans="1:6">
      <c r="A2265" s="57"/>
      <c r="B2265" s="57" t="s">
        <v>966</v>
      </c>
      <c r="C2265" s="57" t="s">
        <v>965</v>
      </c>
      <c r="D2265" s="113">
        <f>D2248</f>
        <v>8.1</v>
      </c>
      <c r="E2265" s="92">
        <v>67.8</v>
      </c>
      <c r="F2265" s="113">
        <f t="shared" ref="F2265:F2270" si="283">D2265*E2265</f>
        <v>549.18</v>
      </c>
    </row>
    <row r="2266" s="307" customFormat="1" ht="20.1" customHeight="1" spans="1:6">
      <c r="A2266" s="57"/>
      <c r="B2266" s="57" t="s">
        <v>968</v>
      </c>
      <c r="C2266" s="57" t="s">
        <v>965</v>
      </c>
      <c r="D2266" s="113">
        <f>D2249</f>
        <v>5.77</v>
      </c>
      <c r="E2266" s="92">
        <v>15.9</v>
      </c>
      <c r="F2266" s="113">
        <f t="shared" si="283"/>
        <v>91.743</v>
      </c>
    </row>
    <row r="2267" s="307" customFormat="1" ht="20.1" customHeight="1" spans="1:6">
      <c r="A2267" s="57" t="s">
        <v>1372</v>
      </c>
      <c r="B2267" s="57" t="s">
        <v>969</v>
      </c>
      <c r="C2267" s="59" t="s">
        <v>423</v>
      </c>
      <c r="D2267" s="84">
        <f>F2264+F2268</f>
        <v>1344.56169587865</v>
      </c>
      <c r="E2267" s="84">
        <v>6</v>
      </c>
      <c r="F2267" s="84">
        <f>D2267*E2267/100</f>
        <v>80.6737017527187</v>
      </c>
    </row>
    <row r="2268" s="307" customFormat="1" ht="20.1" customHeight="1" spans="1:6">
      <c r="A2268" s="57" t="s">
        <v>1373</v>
      </c>
      <c r="B2268" s="57" t="s">
        <v>1171</v>
      </c>
      <c r="C2268" s="57"/>
      <c r="D2268" s="84"/>
      <c r="E2268" s="84"/>
      <c r="F2268" s="84">
        <f>SUM(F2269:F2270)</f>
        <v>703.638695878646</v>
      </c>
    </row>
    <row r="2269" s="307" customFormat="1" ht="20.1" customHeight="1" spans="1:6">
      <c r="A2269" s="57"/>
      <c r="B2269" s="57" t="s">
        <v>1374</v>
      </c>
      <c r="C2269" s="118" t="s">
        <v>988</v>
      </c>
      <c r="D2269" s="84">
        <f>台时!G105</f>
        <v>62.5908005584364</v>
      </c>
      <c r="E2269" s="84">
        <v>11.05</v>
      </c>
      <c r="F2269" s="84">
        <f t="shared" si="283"/>
        <v>691.628346170722</v>
      </c>
    </row>
    <row r="2270" s="307" customFormat="1" ht="20.1" customHeight="1" spans="1:6">
      <c r="A2270" s="57"/>
      <c r="B2270" s="57" t="s">
        <v>1375</v>
      </c>
      <c r="C2270" s="57" t="s">
        <v>988</v>
      </c>
      <c r="D2270" s="84">
        <f>台时!D252</f>
        <v>1.08690947583016</v>
      </c>
      <c r="E2270" s="84">
        <v>11.05</v>
      </c>
      <c r="F2270" s="84">
        <f t="shared" si="283"/>
        <v>12.0103497079233</v>
      </c>
    </row>
    <row r="2271" s="307" customFormat="1" ht="20.1" customHeight="1" spans="1:6">
      <c r="A2271" s="57"/>
      <c r="B2271" s="57" t="s">
        <v>278</v>
      </c>
      <c r="C2271" s="57"/>
      <c r="D2271" s="84"/>
      <c r="E2271" s="84"/>
      <c r="F2271" s="84">
        <f>F2264+F2267+F2268</f>
        <v>1425.23539763136</v>
      </c>
    </row>
    <row r="2272" s="307" customFormat="1" ht="20.1" customHeight="1" spans="1:6">
      <c r="A2272" s="57"/>
      <c r="B2272" s="57"/>
      <c r="C2272" s="57"/>
      <c r="D2272" s="84"/>
      <c r="E2272" s="84"/>
      <c r="F2272" s="84"/>
    </row>
    <row r="2273" s="307" customFormat="1" ht="20.1" customHeight="1" spans="1:6">
      <c r="A2273" s="57"/>
      <c r="B2273" s="57"/>
      <c r="C2273" s="57"/>
      <c r="D2273" s="84"/>
      <c r="E2273" s="84"/>
      <c r="F2273" s="84"/>
    </row>
    <row r="2274" s="307" customFormat="1" ht="20.1" customHeight="1" spans="1:6">
      <c r="A2274" s="57"/>
      <c r="B2274" s="57"/>
      <c r="C2274" s="57"/>
      <c r="D2274" s="84"/>
      <c r="E2274" s="84"/>
      <c r="F2274" s="84"/>
    </row>
    <row r="2275" s="307" customFormat="1" ht="20.1" customHeight="1" spans="1:6">
      <c r="A2275" s="57"/>
      <c r="B2275" s="57"/>
      <c r="C2275" s="57"/>
      <c r="D2275" s="84"/>
      <c r="E2275" s="84"/>
      <c r="F2275" s="84"/>
    </row>
    <row r="2276" ht="15.95" customHeight="1" spans="1:6">
      <c r="A2276" s="311" t="s">
        <v>1155</v>
      </c>
      <c r="B2276" s="175"/>
      <c r="C2276" s="175"/>
      <c r="D2276" s="175"/>
      <c r="E2276" s="175"/>
      <c r="F2276" s="175"/>
    </row>
    <row r="2277" ht="15.95" customHeight="1" spans="1:6">
      <c r="A2277" s="256" t="s">
        <v>1376</v>
      </c>
      <c r="B2277" s="256"/>
      <c r="C2277" s="256"/>
      <c r="D2277" s="256"/>
      <c r="E2277" s="256"/>
      <c r="F2277" s="256"/>
    </row>
    <row r="2278" ht="15.95" customHeight="1" spans="1:6">
      <c r="A2278" s="190" t="s">
        <v>1377</v>
      </c>
      <c r="B2278" s="191"/>
      <c r="C2278" s="243"/>
      <c r="D2278" s="243"/>
      <c r="E2278" s="191" t="s">
        <v>1159</v>
      </c>
      <c r="F2278" s="191"/>
    </row>
    <row r="2279" ht="15.95" customHeight="1" spans="1:6">
      <c r="A2279" s="197" t="s">
        <v>1218</v>
      </c>
      <c r="B2279" s="192"/>
      <c r="C2279" s="201"/>
      <c r="D2279" s="201"/>
      <c r="E2279" s="201"/>
      <c r="F2279" s="202"/>
    </row>
    <row r="2280" ht="15.95" customHeight="1" spans="1:6">
      <c r="A2280" s="57" t="s">
        <v>354</v>
      </c>
      <c r="B2280" s="57" t="s">
        <v>956</v>
      </c>
      <c r="C2280" s="57" t="s">
        <v>52</v>
      </c>
      <c r="D2280" s="57" t="s">
        <v>855</v>
      </c>
      <c r="E2280" s="57" t="s">
        <v>53</v>
      </c>
      <c r="F2280" s="57" t="s">
        <v>306</v>
      </c>
    </row>
    <row r="2281" ht="15.95" customHeight="1" spans="1:6">
      <c r="A2281" s="57" t="s">
        <v>959</v>
      </c>
      <c r="B2281" s="57" t="s">
        <v>964</v>
      </c>
      <c r="C2281" s="57" t="s">
        <v>965</v>
      </c>
      <c r="D2281" s="257"/>
      <c r="E2281" s="92">
        <f>SUM(E2282:E2283)</f>
        <v>2246.3</v>
      </c>
      <c r="F2281" s="113">
        <f>SUM(F2282:F2283)</f>
        <v>16572.418</v>
      </c>
    </row>
    <row r="2282" ht="15.95" customHeight="1" spans="1:6">
      <c r="A2282" s="57"/>
      <c r="B2282" s="57" t="s">
        <v>966</v>
      </c>
      <c r="C2282" s="57" t="s">
        <v>965</v>
      </c>
      <c r="D2282" s="113">
        <f>D2265</f>
        <v>8.1</v>
      </c>
      <c r="E2282" s="92">
        <v>1549.9</v>
      </c>
      <c r="F2282" s="113">
        <f t="shared" ref="F2282:F2288" si="284">D2282*E2282</f>
        <v>12554.19</v>
      </c>
    </row>
    <row r="2283" ht="15.95" customHeight="1" spans="1:6">
      <c r="A2283" s="57"/>
      <c r="B2283" s="57" t="s">
        <v>968</v>
      </c>
      <c r="C2283" s="57" t="s">
        <v>965</v>
      </c>
      <c r="D2283" s="113">
        <f>D2266</f>
        <v>5.77</v>
      </c>
      <c r="E2283" s="92">
        <v>696.4</v>
      </c>
      <c r="F2283" s="113">
        <f t="shared" si="284"/>
        <v>4018.228</v>
      </c>
    </row>
    <row r="2284" ht="15.95" customHeight="1" spans="1:6">
      <c r="A2284" s="57" t="s">
        <v>1372</v>
      </c>
      <c r="B2284" s="57" t="s">
        <v>1219</v>
      </c>
      <c r="C2284" s="57"/>
      <c r="D2284" s="84"/>
      <c r="E2284" s="84"/>
      <c r="F2284" s="84">
        <f>SUM(F2285:F2289)</f>
        <v>27620.86957392</v>
      </c>
    </row>
    <row r="2285" ht="15.95" customHeight="1" spans="1:6">
      <c r="A2285" s="57"/>
      <c r="B2285" s="244" t="s">
        <v>1272</v>
      </c>
      <c r="C2285" s="244" t="s">
        <v>1188</v>
      </c>
      <c r="D2285" s="84">
        <f>材料预算价!K10</f>
        <v>2232.665025</v>
      </c>
      <c r="E2285" s="84">
        <v>2.76</v>
      </c>
      <c r="F2285" s="246">
        <f t="shared" si="284"/>
        <v>6162.155469</v>
      </c>
    </row>
    <row r="2286" ht="15.95" customHeight="1" spans="1:6">
      <c r="A2286" s="57"/>
      <c r="B2286" s="244" t="s">
        <v>1378</v>
      </c>
      <c r="C2286" s="244" t="s">
        <v>184</v>
      </c>
      <c r="D2286" s="84">
        <f>建筑工程单价分析表!D485</f>
        <v>7.99</v>
      </c>
      <c r="E2286" s="258">
        <v>10</v>
      </c>
      <c r="F2286" s="246">
        <f t="shared" si="284"/>
        <v>79.9</v>
      </c>
    </row>
    <row r="2287" ht="15.95" customHeight="1" spans="1:6">
      <c r="A2287" s="57"/>
      <c r="B2287" s="57" t="s">
        <v>1379</v>
      </c>
      <c r="C2287" s="57" t="s">
        <v>1188</v>
      </c>
      <c r="D2287" s="84">
        <f>配合比!M12</f>
        <v>196.5747885</v>
      </c>
      <c r="E2287" s="258">
        <v>102</v>
      </c>
      <c r="F2287" s="246">
        <f t="shared" si="284"/>
        <v>20050.628427</v>
      </c>
    </row>
    <row r="2288" ht="15.95" customHeight="1" spans="1:6">
      <c r="A2288" s="57"/>
      <c r="B2288" s="57" t="s">
        <v>1022</v>
      </c>
      <c r="C2288" s="57" t="s">
        <v>1188</v>
      </c>
      <c r="D2288" s="84">
        <f>建筑工程单价分析表!D487</f>
        <v>4.37</v>
      </c>
      <c r="E2288" s="84">
        <v>180</v>
      </c>
      <c r="F2288" s="246">
        <f t="shared" si="284"/>
        <v>786.6</v>
      </c>
    </row>
    <row r="2289" ht="15.95" customHeight="1" spans="1:6">
      <c r="A2289" s="57"/>
      <c r="B2289" s="57" t="s">
        <v>1163</v>
      </c>
      <c r="C2289" s="59" t="s">
        <v>423</v>
      </c>
      <c r="D2289" s="252">
        <f>SUM(F2285:F2288)</f>
        <v>27079.283896</v>
      </c>
      <c r="E2289" s="84">
        <v>2</v>
      </c>
      <c r="F2289" s="246">
        <f>D2289*E2289/100</f>
        <v>541.58567792</v>
      </c>
    </row>
    <row r="2290" ht="15.95" customHeight="1" spans="1:6">
      <c r="A2290" s="57" t="s">
        <v>1373</v>
      </c>
      <c r="B2290" s="57" t="s">
        <v>1171</v>
      </c>
      <c r="C2290" s="57"/>
      <c r="D2290" s="84"/>
      <c r="E2290" s="84"/>
      <c r="F2290" s="259">
        <f>SUM(F2291:F2295)</f>
        <v>2614.83615643119</v>
      </c>
    </row>
    <row r="2291" ht="15.95" customHeight="1" spans="1:6">
      <c r="A2291" s="57"/>
      <c r="B2291" s="57" t="s">
        <v>1280</v>
      </c>
      <c r="C2291" s="57" t="s">
        <v>988</v>
      </c>
      <c r="D2291" s="84">
        <f>建筑工程单价分析表!D490</f>
        <v>49.389824491424</v>
      </c>
      <c r="E2291" s="84">
        <v>1.5</v>
      </c>
      <c r="F2291" s="84">
        <f t="shared" ref="F2291:F2294" si="285">D2291*E2291</f>
        <v>74.084736737136</v>
      </c>
    </row>
    <row r="2292" ht="15.95" customHeight="1" spans="1:6">
      <c r="A2292" s="57"/>
      <c r="B2292" s="57" t="s">
        <v>1380</v>
      </c>
      <c r="C2292" s="57" t="s">
        <v>988</v>
      </c>
      <c r="D2292" s="84">
        <f>建筑工程单价分析表!D491</f>
        <v>23.7459521340247</v>
      </c>
      <c r="E2292" s="84">
        <v>18.36</v>
      </c>
      <c r="F2292" s="84">
        <f t="shared" si="285"/>
        <v>435.975681180694</v>
      </c>
    </row>
    <row r="2293" ht="15.95" customHeight="1" spans="1:6">
      <c r="A2293" s="57"/>
      <c r="B2293" s="57" t="s">
        <v>1284</v>
      </c>
      <c r="C2293" s="57" t="s">
        <v>988</v>
      </c>
      <c r="D2293" s="84">
        <f>建筑工程单价分析表!D492</f>
        <v>1.80552692461109</v>
      </c>
      <c r="E2293" s="84">
        <v>44</v>
      </c>
      <c r="F2293" s="84">
        <f t="shared" si="285"/>
        <v>79.443184682888</v>
      </c>
    </row>
    <row r="2294" ht="15.95" customHeight="1" spans="1:6">
      <c r="A2294" s="57"/>
      <c r="B2294" s="57" t="s">
        <v>1381</v>
      </c>
      <c r="C2294" s="57" t="s">
        <v>988</v>
      </c>
      <c r="D2294" s="84">
        <f>建筑工程单价分析表!D493</f>
        <v>95.156325887515</v>
      </c>
      <c r="E2294" s="84">
        <v>17.7</v>
      </c>
      <c r="F2294" s="84">
        <f t="shared" si="285"/>
        <v>1684.26696820902</v>
      </c>
    </row>
    <row r="2295" ht="15.95" customHeight="1" spans="1:6">
      <c r="A2295" s="57"/>
      <c r="B2295" s="57" t="s">
        <v>1223</v>
      </c>
      <c r="C2295" s="59" t="s">
        <v>423</v>
      </c>
      <c r="D2295" s="84">
        <f>建筑工程单价分析表!D494</f>
        <v>2273.77057080973</v>
      </c>
      <c r="E2295" s="84">
        <v>15</v>
      </c>
      <c r="F2295" s="84">
        <f>D2295*E2295/100</f>
        <v>341.06558562146</v>
      </c>
    </row>
    <row r="2296" ht="15.95" customHeight="1" spans="1:6">
      <c r="A2296" s="57" t="s">
        <v>214</v>
      </c>
      <c r="B2296" s="57" t="s">
        <v>1285</v>
      </c>
      <c r="C2296" s="59"/>
      <c r="D2296" s="84"/>
      <c r="E2296" s="84"/>
      <c r="F2296" s="84">
        <f>SUM(F2297:F2298)</f>
        <v>1967.12587289919</v>
      </c>
    </row>
    <row r="2297" ht="15.95" customHeight="1" spans="1:6">
      <c r="A2297" s="57"/>
      <c r="B2297" s="245" t="s">
        <v>1286</v>
      </c>
      <c r="C2297" s="245" t="s">
        <v>1188</v>
      </c>
      <c r="D2297" s="246">
        <f>$F$2253/100</f>
        <v>5.03319379720782</v>
      </c>
      <c r="E2297" s="246">
        <v>102</v>
      </c>
      <c r="F2297" s="84">
        <f>D2297*E2297</f>
        <v>513.385767315197</v>
      </c>
    </row>
    <row r="2298" ht="15.95" customHeight="1" spans="1:6">
      <c r="A2298" s="57"/>
      <c r="B2298" s="245" t="s">
        <v>1287</v>
      </c>
      <c r="C2298" s="245" t="s">
        <v>1188</v>
      </c>
      <c r="D2298" s="246">
        <f>$F$2271/100</f>
        <v>14.2523539763136</v>
      </c>
      <c r="E2298" s="246">
        <v>102</v>
      </c>
      <c r="F2298" s="84">
        <f>D2298*E2298</f>
        <v>1453.74010558399</v>
      </c>
    </row>
    <row r="2299" ht="15.95" customHeight="1" spans="1:6">
      <c r="A2299" s="57"/>
      <c r="B2299" s="57" t="s">
        <v>1382</v>
      </c>
      <c r="C2299" s="57"/>
      <c r="D2299" s="84"/>
      <c r="E2299" s="84"/>
      <c r="F2299" s="84">
        <f>F2281+F2284+F2290+F2296</f>
        <v>48775.2496032504</v>
      </c>
    </row>
    <row r="2300" ht="15.95" customHeight="1" spans="1:6">
      <c r="A2300" s="57"/>
      <c r="B2300" s="57"/>
      <c r="C2300" s="57"/>
      <c r="D2300" s="84"/>
      <c r="E2300" s="84"/>
      <c r="F2300" s="84"/>
    </row>
    <row r="2301" ht="15.95" customHeight="1" spans="1:6">
      <c r="A2301" s="57"/>
      <c r="B2301" s="57"/>
      <c r="C2301" s="57"/>
      <c r="D2301" s="84"/>
      <c r="E2301" s="84"/>
      <c r="F2301" s="84"/>
    </row>
    <row r="2302" ht="15.95" customHeight="1" spans="1:6">
      <c r="A2302" s="57"/>
      <c r="B2302" s="57"/>
      <c r="C2302" s="57"/>
      <c r="D2302" s="84"/>
      <c r="E2302" s="84"/>
      <c r="F2302" s="84"/>
    </row>
    <row r="2303" ht="15.95" customHeight="1" spans="1:6">
      <c r="A2303" s="57"/>
      <c r="B2303" s="57"/>
      <c r="C2303" s="57"/>
      <c r="D2303" s="84"/>
      <c r="E2303" s="84"/>
      <c r="F2303" s="84"/>
    </row>
    <row r="2304" ht="15.95" customHeight="1" spans="1:6">
      <c r="A2304" s="57"/>
      <c r="B2304" s="57"/>
      <c r="C2304" s="57"/>
      <c r="D2304" s="84"/>
      <c r="E2304" s="84"/>
      <c r="F2304" s="84"/>
    </row>
    <row r="2305" ht="15.95" customHeight="1" spans="1:6">
      <c r="A2305" s="57"/>
      <c r="B2305" s="57"/>
      <c r="C2305" s="57"/>
      <c r="D2305" s="84"/>
      <c r="E2305" s="84"/>
      <c r="F2305" s="84"/>
    </row>
    <row r="2306" ht="15.95" customHeight="1" spans="1:6">
      <c r="A2306" s="57"/>
      <c r="B2306" s="57"/>
      <c r="C2306" s="57"/>
      <c r="D2306" s="84"/>
      <c r="E2306" s="84"/>
      <c r="F2306" s="84"/>
    </row>
    <row r="2307" ht="15.95" customHeight="1" spans="1:6">
      <c r="A2307" s="57"/>
      <c r="B2307" s="57"/>
      <c r="C2307" s="57"/>
      <c r="D2307" s="84"/>
      <c r="E2307" s="84"/>
      <c r="F2307" s="84"/>
    </row>
    <row r="2308" ht="15.95" customHeight="1" spans="1:6">
      <c r="A2308" s="57"/>
      <c r="B2308" s="57"/>
      <c r="C2308" s="57"/>
      <c r="D2308" s="84"/>
      <c r="E2308" s="84"/>
      <c r="F2308" s="84"/>
    </row>
    <row r="2309" ht="15.95" customHeight="1" spans="1:6">
      <c r="A2309" s="57"/>
      <c r="B2309" s="57"/>
      <c r="C2309" s="57"/>
      <c r="D2309" s="84"/>
      <c r="E2309" s="84"/>
      <c r="F2309" s="84"/>
    </row>
    <row r="2310" ht="15.95" customHeight="1" spans="1:6">
      <c r="A2310" s="57"/>
      <c r="B2310" s="57"/>
      <c r="C2310" s="57"/>
      <c r="D2310" s="84"/>
      <c r="E2310" s="84"/>
      <c r="F2310" s="84"/>
    </row>
    <row r="2311" ht="15.95" customHeight="1" spans="1:6">
      <c r="A2311" s="57"/>
      <c r="B2311" s="57"/>
      <c r="C2311" s="57"/>
      <c r="D2311" s="84"/>
      <c r="E2311" s="84"/>
      <c r="F2311" s="84"/>
    </row>
    <row r="2312" ht="15.95" customHeight="1" spans="1:6">
      <c r="A2312" s="57"/>
      <c r="B2312" s="57"/>
      <c r="C2312" s="57"/>
      <c r="D2312" s="84"/>
      <c r="E2312" s="84"/>
      <c r="F2312" s="84"/>
    </row>
    <row r="2313" ht="15.95" customHeight="1" spans="1:6">
      <c r="A2313" s="57"/>
      <c r="B2313" s="57"/>
      <c r="C2313" s="57"/>
      <c r="D2313" s="84"/>
      <c r="E2313" s="84"/>
      <c r="F2313" s="84"/>
    </row>
    <row r="2314" ht="15.95" customHeight="1" spans="1:6">
      <c r="A2314" s="57"/>
      <c r="B2314" s="57"/>
      <c r="C2314" s="57"/>
      <c r="D2314" s="84"/>
      <c r="E2314" s="84"/>
      <c r="F2314" s="84"/>
    </row>
    <row r="2315" ht="15.95" customHeight="1" spans="1:6">
      <c r="A2315" s="57"/>
      <c r="B2315" s="57"/>
      <c r="C2315" s="57"/>
      <c r="D2315" s="84"/>
      <c r="E2315" s="84"/>
      <c r="F2315" s="84"/>
    </row>
    <row r="2316" ht="15.95" customHeight="1" spans="1:6">
      <c r="A2316" s="57"/>
      <c r="B2316" s="57"/>
      <c r="C2316" s="57"/>
      <c r="D2316" s="84"/>
      <c r="E2316" s="84"/>
      <c r="F2316" s="84"/>
    </row>
    <row r="2317" ht="15.95" customHeight="1" spans="1:6">
      <c r="A2317" s="57"/>
      <c r="B2317" s="57"/>
      <c r="C2317" s="57"/>
      <c r="D2317" s="84"/>
      <c r="E2317" s="84"/>
      <c r="F2317" s="84"/>
    </row>
    <row r="2318" ht="15.95" customHeight="1" spans="1:6">
      <c r="A2318" s="57"/>
      <c r="B2318" s="57"/>
      <c r="C2318" s="57"/>
      <c r="D2318" s="84"/>
      <c r="E2318" s="84"/>
      <c r="F2318" s="84"/>
    </row>
    <row r="2319" ht="15.95" customHeight="1" spans="1:6">
      <c r="A2319" s="311" t="s">
        <v>1155</v>
      </c>
      <c r="B2319" s="175"/>
      <c r="C2319" s="175"/>
      <c r="D2319" s="175"/>
      <c r="E2319" s="175"/>
      <c r="F2319" s="175"/>
    </row>
    <row r="2320" ht="15.95" customHeight="1" spans="1:6">
      <c r="A2320" s="256" t="s">
        <v>1383</v>
      </c>
      <c r="B2320" s="256"/>
      <c r="C2320" s="256"/>
      <c r="D2320" s="256"/>
      <c r="E2320" s="256"/>
      <c r="F2320" s="256"/>
    </row>
    <row r="2321" ht="15.95" customHeight="1" spans="1:6">
      <c r="A2321" s="191" t="s">
        <v>1384</v>
      </c>
      <c r="B2321" s="191"/>
      <c r="C2321" s="168"/>
      <c r="D2321" s="168"/>
      <c r="E2321" s="191" t="s">
        <v>1159</v>
      </c>
      <c r="F2321" s="191"/>
    </row>
    <row r="2322" ht="15.95" customHeight="1" spans="1:6">
      <c r="A2322" s="117" t="s">
        <v>1218</v>
      </c>
      <c r="B2322" s="192"/>
      <c r="C2322" s="192"/>
      <c r="D2322" s="192"/>
      <c r="E2322" s="192"/>
      <c r="F2322" s="118"/>
    </row>
    <row r="2323" ht="15.95" customHeight="1" spans="1:6">
      <c r="A2323" s="57" t="s">
        <v>354</v>
      </c>
      <c r="B2323" s="57" t="s">
        <v>956</v>
      </c>
      <c r="C2323" s="57" t="s">
        <v>52</v>
      </c>
      <c r="D2323" s="57" t="s">
        <v>855</v>
      </c>
      <c r="E2323" s="57" t="s">
        <v>53</v>
      </c>
      <c r="F2323" s="57" t="s">
        <v>306</v>
      </c>
    </row>
    <row r="2324" ht="15.95" customHeight="1" spans="1:6">
      <c r="A2324" s="57" t="s">
        <v>959</v>
      </c>
      <c r="B2324" s="57" t="s">
        <v>960</v>
      </c>
      <c r="C2324" s="57"/>
      <c r="D2324" s="57"/>
      <c r="E2324" s="57"/>
      <c r="F2324" s="84">
        <f>F2325+F2343+F2344</f>
        <v>63774.4032963941</v>
      </c>
    </row>
    <row r="2325" ht="15.95" customHeight="1" spans="1:6">
      <c r="A2325" s="57" t="s">
        <v>59</v>
      </c>
      <c r="B2325" s="57" t="s">
        <v>957</v>
      </c>
      <c r="C2325" s="57"/>
      <c r="D2325" s="57"/>
      <c r="E2325" s="57"/>
      <c r="F2325" s="84">
        <f>F2326+F2329+F2336+F2341</f>
        <v>60853.4382599181</v>
      </c>
    </row>
    <row r="2326" ht="15.95" customHeight="1" spans="1:6">
      <c r="A2326" s="57">
        <v>1</v>
      </c>
      <c r="B2326" s="57" t="s">
        <v>964</v>
      </c>
      <c r="C2326" s="57" t="s">
        <v>965</v>
      </c>
      <c r="D2326" s="84"/>
      <c r="E2326" s="92">
        <f>SUM(E2327:E2328)</f>
        <v>574.6</v>
      </c>
      <c r="F2326" s="113">
        <f>SUM(F2327:F2328)</f>
        <v>4654.26</v>
      </c>
    </row>
    <row r="2327" ht="15.95" customHeight="1" spans="1:6">
      <c r="A2327" s="57"/>
      <c r="B2327" s="57" t="s">
        <v>966</v>
      </c>
      <c r="C2327" s="57" t="s">
        <v>965</v>
      </c>
      <c r="D2327" s="113">
        <f t="shared" ref="D2327:D2330" si="286">D2282</f>
        <v>8.1</v>
      </c>
      <c r="E2327" s="92">
        <v>574.6</v>
      </c>
      <c r="F2327" s="113">
        <f t="shared" ref="F2327:F2334" si="287">D2327*E2327</f>
        <v>4654.26</v>
      </c>
    </row>
    <row r="2328" ht="15.95" customHeight="1" spans="1:6">
      <c r="A2328" s="57"/>
      <c r="B2328" s="57" t="s">
        <v>968</v>
      </c>
      <c r="C2328" s="57" t="s">
        <v>965</v>
      </c>
      <c r="D2328" s="113">
        <f t="shared" si="286"/>
        <v>5.77</v>
      </c>
      <c r="E2328" s="92">
        <v>0</v>
      </c>
      <c r="F2328" s="113">
        <f t="shared" si="287"/>
        <v>0</v>
      </c>
    </row>
    <row r="2329" ht="15.95" customHeight="1" spans="1:6">
      <c r="A2329" s="57">
        <v>2</v>
      </c>
      <c r="B2329" s="57" t="s">
        <v>1219</v>
      </c>
      <c r="C2329" s="57"/>
      <c r="D2329" s="84"/>
      <c r="E2329" s="84"/>
      <c r="F2329" s="252">
        <f>SUM(F2330:F2335)</f>
        <v>53731.4577254516</v>
      </c>
    </row>
    <row r="2330" ht="15.95" customHeight="1" spans="1:6">
      <c r="A2330" s="57"/>
      <c r="B2330" s="244" t="s">
        <v>1272</v>
      </c>
      <c r="C2330" s="244" t="s">
        <v>1188</v>
      </c>
      <c r="D2330" s="84">
        <f t="shared" si="286"/>
        <v>2232.665025</v>
      </c>
      <c r="E2330" s="84">
        <v>0.19</v>
      </c>
      <c r="F2330" s="84">
        <f t="shared" si="287"/>
        <v>424.20635475</v>
      </c>
    </row>
    <row r="2331" ht="15.95" customHeight="1" spans="1:6">
      <c r="A2331" s="57"/>
      <c r="B2331" s="244" t="s">
        <v>1385</v>
      </c>
      <c r="C2331" s="244" t="s">
        <v>1188</v>
      </c>
      <c r="D2331" s="84">
        <f>D2330</f>
        <v>2232.665025</v>
      </c>
      <c r="E2331" s="84">
        <v>0.62</v>
      </c>
      <c r="F2331" s="84">
        <f t="shared" si="287"/>
        <v>1384.2523155</v>
      </c>
    </row>
    <row r="2332" ht="15.95" customHeight="1" spans="1:6">
      <c r="A2332" s="57"/>
      <c r="B2332" s="57" t="s">
        <v>1255</v>
      </c>
      <c r="C2332" s="244" t="s">
        <v>1188</v>
      </c>
      <c r="D2332" s="84">
        <f>建筑工程单价分析表!D535</f>
        <v>125.92729</v>
      </c>
      <c r="E2332" s="84">
        <v>1.8</v>
      </c>
      <c r="F2332" s="84">
        <f t="shared" si="287"/>
        <v>226.669122</v>
      </c>
    </row>
    <row r="2333" ht="15.95" customHeight="1" spans="1:6">
      <c r="A2333" s="57"/>
      <c r="B2333" s="57" t="s">
        <v>1386</v>
      </c>
      <c r="C2333" s="244" t="s">
        <v>1188</v>
      </c>
      <c r="D2333" s="84">
        <f>F2299/100</f>
        <v>487.752496032504</v>
      </c>
      <c r="E2333" s="84">
        <v>100</v>
      </c>
      <c r="F2333" s="84">
        <f t="shared" si="287"/>
        <v>48775.2496032504</v>
      </c>
    </row>
    <row r="2334" ht="15.95" customHeight="1" spans="1:6">
      <c r="A2334" s="57"/>
      <c r="B2334" s="57" t="s">
        <v>1379</v>
      </c>
      <c r="C2334" s="244" t="s">
        <v>1188</v>
      </c>
      <c r="D2334" s="84">
        <f>配合比!M12</f>
        <v>196.5747885</v>
      </c>
      <c r="E2334" s="84">
        <v>13.5</v>
      </c>
      <c r="F2334" s="84">
        <f t="shared" si="287"/>
        <v>2653.75964475</v>
      </c>
    </row>
    <row r="2335" ht="15.95" customHeight="1" spans="1:6">
      <c r="A2335" s="57"/>
      <c r="B2335" s="57" t="s">
        <v>1163</v>
      </c>
      <c r="C2335" s="260" t="s">
        <v>423</v>
      </c>
      <c r="D2335" s="252">
        <f>SUM(F2330:F2334)</f>
        <v>53464.1370402504</v>
      </c>
      <c r="E2335" s="84">
        <v>0.5</v>
      </c>
      <c r="F2335" s="84">
        <f>D2335*E2335/100</f>
        <v>267.320685201252</v>
      </c>
    </row>
    <row r="2336" ht="15.95" customHeight="1" spans="1:6">
      <c r="A2336" s="57">
        <v>3</v>
      </c>
      <c r="B2336" s="57" t="s">
        <v>1171</v>
      </c>
      <c r="C2336" s="57"/>
      <c r="D2336" s="84"/>
      <c r="E2336" s="84"/>
      <c r="F2336" s="252">
        <f>SUM(F2337:F2340)</f>
        <v>2399.77241820413</v>
      </c>
    </row>
    <row r="2337" ht="15.95" customHeight="1" spans="1:6">
      <c r="A2337" s="57"/>
      <c r="B2337" s="57" t="s">
        <v>1387</v>
      </c>
      <c r="C2337" s="57" t="s">
        <v>988</v>
      </c>
      <c r="D2337" s="84">
        <f>建筑工程单价分析表!D540</f>
        <v>62.3342780215397</v>
      </c>
      <c r="E2337" s="84">
        <v>37</v>
      </c>
      <c r="F2337" s="84">
        <f t="shared" ref="F2337:F2339" si="288">D2337*E2337</f>
        <v>2306.36828679697</v>
      </c>
    </row>
    <row r="2338" ht="15.95" customHeight="1" spans="1:6">
      <c r="A2338" s="57"/>
      <c r="B2338" s="57" t="s">
        <v>1380</v>
      </c>
      <c r="C2338" s="57" t="s">
        <v>988</v>
      </c>
      <c r="D2338" s="84">
        <f>建筑工程单价分析表!D541</f>
        <v>23.7459521340247</v>
      </c>
      <c r="E2338" s="84">
        <v>2.5029</v>
      </c>
      <c r="F2338" s="84">
        <f t="shared" si="288"/>
        <v>59.4337435962504</v>
      </c>
    </row>
    <row r="2339" ht="15.95" customHeight="1" spans="1:6">
      <c r="A2339" s="57"/>
      <c r="B2339" s="57" t="s">
        <v>1190</v>
      </c>
      <c r="C2339" s="57" t="s">
        <v>988</v>
      </c>
      <c r="D2339" s="84">
        <f>建筑工程单价分析表!D542</f>
        <v>0.813242919824491</v>
      </c>
      <c r="E2339" s="204">
        <v>12.555</v>
      </c>
      <c r="F2339" s="84">
        <f t="shared" si="288"/>
        <v>10.2102648583965</v>
      </c>
    </row>
    <row r="2340" ht="15.95" customHeight="1" spans="1:6">
      <c r="A2340" s="57"/>
      <c r="B2340" s="57" t="s">
        <v>1223</v>
      </c>
      <c r="C2340" s="59" t="s">
        <v>423</v>
      </c>
      <c r="D2340" s="252">
        <f>SUM(F2337:F2339)</f>
        <v>2376.01229525162</v>
      </c>
      <c r="E2340" s="84">
        <v>1</v>
      </c>
      <c r="F2340" s="84">
        <f>D2340*E2340/100</f>
        <v>23.7601229525162</v>
      </c>
    </row>
    <row r="2341" ht="15.95" customHeight="1" spans="1:6">
      <c r="A2341" s="57">
        <v>4</v>
      </c>
      <c r="B2341" s="57" t="s">
        <v>1285</v>
      </c>
      <c r="C2341" s="253"/>
      <c r="D2341" s="252"/>
      <c r="E2341" s="84"/>
      <c r="F2341" s="84">
        <f>F2342</f>
        <v>67.9481162623055</v>
      </c>
    </row>
    <row r="2342" ht="15.95" customHeight="1" spans="1:6">
      <c r="A2342" s="57"/>
      <c r="B2342" s="245" t="s">
        <v>1286</v>
      </c>
      <c r="C2342" s="245" t="s">
        <v>1188</v>
      </c>
      <c r="D2342" s="252">
        <f>D2297</f>
        <v>5.03319379720782</v>
      </c>
      <c r="E2342" s="84">
        <v>13.5</v>
      </c>
      <c r="F2342" s="84">
        <f>D2342*E2342</f>
        <v>67.9481162623055</v>
      </c>
    </row>
    <row r="2343" ht="15.95" customHeight="1" spans="1:6">
      <c r="A2343" s="57" t="s">
        <v>70</v>
      </c>
      <c r="B2343" s="57" t="s">
        <v>977</v>
      </c>
      <c r="C2343" s="194">
        <f>取费表!$C$7</f>
        <v>0.048</v>
      </c>
      <c r="D2343" s="252"/>
      <c r="E2343" s="84">
        <f>F2325</f>
        <v>60853.4382599181</v>
      </c>
      <c r="F2343" s="84">
        <f t="shared" ref="F2343:F2346" si="289">E2343*C2343</f>
        <v>2920.96503647607</v>
      </c>
    </row>
    <row r="2344" ht="15.95" customHeight="1" spans="1:6">
      <c r="A2344" s="57"/>
      <c r="B2344" s="57"/>
      <c r="C2344" s="194"/>
      <c r="D2344" s="252"/>
      <c r="E2344" s="84"/>
      <c r="F2344" s="84"/>
    </row>
    <row r="2345" ht="15.95" customHeight="1" spans="1:6">
      <c r="A2345" s="57" t="s">
        <v>979</v>
      </c>
      <c r="B2345" s="57" t="s">
        <v>973</v>
      </c>
      <c r="C2345" s="194">
        <f>取费表!$E$7</f>
        <v>0.07</v>
      </c>
      <c r="D2345" s="252"/>
      <c r="E2345" s="84">
        <f>F2324</f>
        <v>63774.4032963941</v>
      </c>
      <c r="F2345" s="84">
        <f t="shared" si="289"/>
        <v>4464.20823074759</v>
      </c>
    </row>
    <row r="2346" ht="15.95" customHeight="1" spans="1:6">
      <c r="A2346" s="57" t="s">
        <v>162</v>
      </c>
      <c r="B2346" s="57" t="s">
        <v>980</v>
      </c>
      <c r="C2346" s="194">
        <f>取费表!$F$7</f>
        <v>0.07</v>
      </c>
      <c r="D2346" s="252"/>
      <c r="E2346" s="84">
        <f>F2345+F2324</f>
        <v>68238.6115271417</v>
      </c>
      <c r="F2346" s="84">
        <f t="shared" si="289"/>
        <v>4776.70280689992</v>
      </c>
    </row>
    <row r="2347" ht="15.95" customHeight="1" spans="1:6">
      <c r="A2347" s="55" t="s">
        <v>214</v>
      </c>
      <c r="B2347" s="55" t="s">
        <v>1173</v>
      </c>
      <c r="C2347" s="253"/>
      <c r="D2347" s="254"/>
      <c r="E2347" s="55"/>
      <c r="F2347" s="255">
        <f>F2348+F2353</f>
        <v>13221.0403971598</v>
      </c>
    </row>
    <row r="2348" ht="15.95" customHeight="1" spans="1:6">
      <c r="A2348" s="57">
        <v>1</v>
      </c>
      <c r="B2348" s="57" t="s">
        <v>1288</v>
      </c>
      <c r="C2348" s="59"/>
      <c r="D2348" s="84"/>
      <c r="E2348" s="57"/>
      <c r="F2348" s="113">
        <f>SUM(F2349:F2352)</f>
        <v>11817.9253971598</v>
      </c>
    </row>
    <row r="2349" ht="15.95" customHeight="1" spans="1:6">
      <c r="A2349" s="57"/>
      <c r="B2349" s="57"/>
      <c r="C2349" s="57"/>
      <c r="D2349" s="84"/>
      <c r="E2349" s="84"/>
      <c r="F2349" s="113"/>
    </row>
    <row r="2350" ht="15.95" customHeight="1" spans="1:6">
      <c r="A2350" s="57"/>
      <c r="B2350" s="57" t="s">
        <v>1141</v>
      </c>
      <c r="C2350" s="57" t="s">
        <v>69</v>
      </c>
      <c r="D2350" s="84">
        <f>建筑工程单价分析表!D553</f>
        <v>156.64017</v>
      </c>
      <c r="E2350" s="84">
        <f>E2334*配合比!E12+E2333*0.01*E2287*配合比!E12</f>
        <v>46.6286205</v>
      </c>
      <c r="F2350" s="113">
        <f t="shared" ref="F2350:F2352" si="290">D2350*E2350</f>
        <v>7303.91504198549</v>
      </c>
    </row>
    <row r="2351" ht="15.95" customHeight="1" spans="1:6">
      <c r="A2351" s="57"/>
      <c r="B2351" s="57" t="s">
        <v>1142</v>
      </c>
      <c r="C2351" s="57" t="s">
        <v>1188</v>
      </c>
      <c r="D2351" s="84">
        <f>D2234</f>
        <v>44.826214</v>
      </c>
      <c r="E2351" s="84">
        <f>E2334*配合比!G12+E2333*0.01*E2287*配合比!G12</f>
        <v>56.02905</v>
      </c>
      <c r="F2351" s="113">
        <f t="shared" si="290"/>
        <v>2511.5701855167</v>
      </c>
    </row>
    <row r="2352" ht="15.95" customHeight="1" spans="1:6">
      <c r="A2352" s="57"/>
      <c r="B2352" s="57" t="s">
        <v>1110</v>
      </c>
      <c r="C2352" s="57" t="s">
        <v>1188</v>
      </c>
      <c r="D2352" s="84">
        <f>建筑工程单价分析表!D555</f>
        <v>20.60443</v>
      </c>
      <c r="E2352" s="84">
        <f>E2334*配合比!I12+E2333*0.01*E2287*配合比!I12</f>
        <v>97.184934</v>
      </c>
      <c r="F2352" s="113">
        <f t="shared" si="290"/>
        <v>2002.44016965762</v>
      </c>
    </row>
    <row r="2353" ht="15.95" customHeight="1" spans="1:6">
      <c r="A2353" s="57">
        <v>2</v>
      </c>
      <c r="B2353" s="57" t="s">
        <v>1289</v>
      </c>
      <c r="C2353" s="57"/>
      <c r="D2353" s="84"/>
      <c r="E2353" s="88"/>
      <c r="F2353" s="113">
        <f>SUM(F2354:F2355)</f>
        <v>1403.115</v>
      </c>
    </row>
    <row r="2354" ht="15.95" customHeight="1" spans="1:6">
      <c r="A2354" s="57"/>
      <c r="B2354" s="57" t="s">
        <v>1290</v>
      </c>
      <c r="C2354" s="57" t="s">
        <v>184</v>
      </c>
      <c r="D2354" s="84">
        <f>建筑工程单价分析表!D557</f>
        <v>6.225</v>
      </c>
      <c r="E2354" s="88">
        <f>(E2291*7.2+E2337*5.8)</f>
        <v>225.4</v>
      </c>
      <c r="F2354" s="113">
        <f>D2354*E2354</f>
        <v>1403.115</v>
      </c>
    </row>
    <row r="2355" ht="15.95" customHeight="1" spans="1:6">
      <c r="A2355" s="57"/>
      <c r="B2355" s="57" t="s">
        <v>1174</v>
      </c>
      <c r="C2355" s="59" t="s">
        <v>184</v>
      </c>
      <c r="D2355" s="84">
        <f>建筑工程单价分析表!D558</f>
        <v>4.86</v>
      </c>
      <c r="E2355" s="88">
        <v>0</v>
      </c>
      <c r="F2355" s="113">
        <f>D2355*E2355</f>
        <v>0</v>
      </c>
    </row>
    <row r="2356" ht="15.95" customHeight="1" spans="1:6">
      <c r="A2356" s="57" t="s">
        <v>327</v>
      </c>
      <c r="B2356" s="57" t="s">
        <v>976</v>
      </c>
      <c r="C2356" s="195">
        <f>C2144</f>
        <v>0.09</v>
      </c>
      <c r="D2356" s="84"/>
      <c r="E2356" s="84">
        <f>E2346+F2346+F2347</f>
        <v>86236.3547312015</v>
      </c>
      <c r="F2356" s="84">
        <f>E2356*C2356</f>
        <v>7761.27192580813</v>
      </c>
    </row>
    <row r="2357" ht="15.95" customHeight="1" spans="1:6">
      <c r="A2357" s="57"/>
      <c r="B2357" s="57" t="s">
        <v>984</v>
      </c>
      <c r="C2357" s="195"/>
      <c r="D2357" s="84"/>
      <c r="E2357" s="84"/>
      <c r="F2357" s="84">
        <f>(F2324+F2345+F2346+F2347+F2356)*取费表!H7</f>
        <v>2819.92879971029</v>
      </c>
    </row>
    <row r="2358" ht="15.95" customHeight="1" spans="1:6">
      <c r="A2358" s="57"/>
      <c r="B2358" s="57" t="s">
        <v>278</v>
      </c>
      <c r="C2358" s="57"/>
      <c r="D2358" s="84"/>
      <c r="E2358" s="84"/>
      <c r="F2358" s="84">
        <f>F2356+E2356+F2357</f>
        <v>96817.5554567199</v>
      </c>
    </row>
    <row r="2359" ht="15.95" customHeight="1" spans="1:6">
      <c r="A2359" s="57"/>
      <c r="B2359" s="57"/>
      <c r="C2359" s="57"/>
      <c r="D2359" s="84"/>
      <c r="E2359" s="84"/>
      <c r="F2359" s="84"/>
    </row>
    <row r="2360" ht="15.95" customHeight="1" spans="1:6">
      <c r="A2360" s="57"/>
      <c r="B2360" s="57"/>
      <c r="C2360" s="57"/>
      <c r="D2360" s="84"/>
      <c r="E2360" s="84"/>
      <c r="F2360" s="84"/>
    </row>
    <row r="2361" ht="15.95" customHeight="1" spans="1:6">
      <c r="A2361" s="57"/>
      <c r="B2361" s="57"/>
      <c r="C2361" s="57"/>
      <c r="D2361" s="84"/>
      <c r="E2361" s="84"/>
      <c r="F2361" s="84"/>
    </row>
    <row r="2362" customHeight="1" spans="1:6">
      <c r="A2362"/>
      <c r="B2362"/>
      <c r="C2362"/>
      <c r="D2362"/>
      <c r="E2362"/>
      <c r="F2362"/>
    </row>
    <row r="2363" customHeight="1" spans="1:6">
      <c r="A2363"/>
      <c r="B2363"/>
      <c r="C2363"/>
      <c r="D2363"/>
      <c r="E2363"/>
      <c r="F2363"/>
    </row>
    <row r="2364" customHeight="1" spans="1:6">
      <c r="A2364"/>
      <c r="B2364"/>
      <c r="C2364"/>
      <c r="D2364"/>
      <c r="E2364"/>
      <c r="F2364"/>
    </row>
    <row r="2365" customHeight="1" spans="1:6">
      <c r="A2365"/>
      <c r="B2365"/>
      <c r="C2365"/>
      <c r="D2365"/>
      <c r="E2365"/>
      <c r="F2365"/>
    </row>
    <row r="2366" customHeight="1" spans="1:6">
      <c r="A2366"/>
      <c r="B2366"/>
      <c r="C2366"/>
      <c r="D2366"/>
      <c r="E2366"/>
      <c r="F2366"/>
    </row>
    <row r="2367" customHeight="1" spans="1:6">
      <c r="A2367"/>
      <c r="B2367"/>
      <c r="C2367"/>
      <c r="D2367"/>
      <c r="E2367"/>
      <c r="F2367"/>
    </row>
    <row r="2368" s="307" customFormat="1" customHeight="1" spans="1:6">
      <c r="A2368"/>
      <c r="B2368"/>
      <c r="C2368"/>
      <c r="D2368"/>
      <c r="E2368"/>
      <c r="F2368"/>
    </row>
    <row r="2369" s="307" customFormat="1" customHeight="1" spans="1:6">
      <c r="A2369"/>
      <c r="B2369"/>
      <c r="C2369"/>
      <c r="D2369"/>
      <c r="E2369"/>
      <c r="F2369"/>
    </row>
    <row r="2370" customHeight="1" spans="1:6">
      <c r="A2370"/>
      <c r="B2370"/>
      <c r="C2370"/>
      <c r="D2370"/>
      <c r="E2370"/>
      <c r="F2370"/>
    </row>
    <row r="2371" customHeight="1" spans="1:6">
      <c r="A2371"/>
      <c r="B2371"/>
      <c r="C2371"/>
      <c r="D2371"/>
      <c r="E2371"/>
      <c r="F2371"/>
    </row>
    <row r="2372" customHeight="1" spans="1:6">
      <c r="A2372"/>
      <c r="B2372"/>
      <c r="C2372"/>
      <c r="D2372"/>
      <c r="E2372"/>
      <c r="F2372"/>
    </row>
    <row r="2373" customHeight="1" spans="1:6">
      <c r="A2373"/>
      <c r="B2373"/>
      <c r="C2373"/>
      <c r="D2373"/>
      <c r="E2373"/>
      <c r="F2373"/>
    </row>
    <row r="2374" customHeight="1" spans="1:6">
      <c r="A2374"/>
      <c r="B2374"/>
      <c r="C2374"/>
      <c r="D2374"/>
      <c r="E2374"/>
      <c r="F2374"/>
    </row>
    <row r="2375" customHeight="1" spans="1:6">
      <c r="A2375"/>
      <c r="B2375"/>
      <c r="C2375"/>
      <c r="D2375"/>
      <c r="E2375"/>
      <c r="F2375"/>
    </row>
    <row r="2376" customHeight="1" spans="1:6">
      <c r="A2376"/>
      <c r="B2376"/>
      <c r="C2376"/>
      <c r="D2376"/>
      <c r="E2376"/>
      <c r="F2376"/>
    </row>
    <row r="2377" customHeight="1" spans="1:6">
      <c r="A2377"/>
      <c r="B2377"/>
      <c r="C2377"/>
      <c r="D2377"/>
      <c r="E2377"/>
      <c r="F2377"/>
    </row>
    <row r="2378" customHeight="1" spans="1:6">
      <c r="A2378"/>
      <c r="B2378"/>
      <c r="C2378"/>
      <c r="D2378"/>
      <c r="E2378"/>
      <c r="F2378"/>
    </row>
    <row r="2379" customHeight="1" spans="1:6">
      <c r="A2379"/>
      <c r="B2379"/>
      <c r="C2379"/>
      <c r="D2379"/>
      <c r="E2379"/>
      <c r="F2379"/>
    </row>
    <row r="2380" customHeight="1" spans="1:6">
      <c r="A2380"/>
      <c r="B2380"/>
      <c r="C2380"/>
      <c r="D2380"/>
      <c r="E2380"/>
      <c r="F2380"/>
    </row>
    <row r="2381" customHeight="1" spans="1:6">
      <c r="A2381"/>
      <c r="B2381"/>
      <c r="C2381"/>
      <c r="D2381"/>
      <c r="E2381"/>
      <c r="F2381"/>
    </row>
    <row r="2382" s="309" customFormat="1" customHeight="1" spans="1:6">
      <c r="A2382"/>
      <c r="B2382"/>
      <c r="C2382"/>
      <c r="D2382"/>
      <c r="E2382"/>
      <c r="F2382"/>
    </row>
    <row r="2383" s="307" customFormat="1" customHeight="1" spans="1:6">
      <c r="A2383"/>
      <c r="B2383"/>
      <c r="C2383"/>
      <c r="D2383"/>
      <c r="E2383"/>
      <c r="F2383"/>
    </row>
    <row r="2384" s="307" customFormat="1" customHeight="1" spans="1:6">
      <c r="A2384"/>
      <c r="B2384"/>
      <c r="C2384"/>
      <c r="D2384"/>
      <c r="E2384"/>
      <c r="F2384"/>
    </row>
    <row r="2385" customHeight="1" spans="1:6">
      <c r="A2385"/>
      <c r="B2385"/>
      <c r="C2385"/>
      <c r="D2385"/>
      <c r="E2385"/>
      <c r="F2385"/>
    </row>
    <row r="2386" customHeight="1" spans="1:6">
      <c r="A2386"/>
      <c r="B2386"/>
      <c r="C2386"/>
      <c r="D2386"/>
      <c r="E2386"/>
      <c r="F2386"/>
    </row>
    <row r="2387" customHeight="1" spans="1:6">
      <c r="A2387"/>
      <c r="B2387"/>
      <c r="C2387"/>
      <c r="D2387"/>
      <c r="E2387"/>
      <c r="F2387"/>
    </row>
    <row r="2388" customHeight="1" spans="1:6">
      <c r="A2388"/>
      <c r="B2388"/>
      <c r="C2388"/>
      <c r="D2388"/>
      <c r="E2388"/>
      <c r="F2388"/>
    </row>
    <row r="2389" customHeight="1" spans="1:6">
      <c r="A2389"/>
      <c r="B2389"/>
      <c r="C2389"/>
      <c r="D2389"/>
      <c r="E2389"/>
      <c r="F2389"/>
    </row>
    <row r="2390" customHeight="1" spans="1:6">
      <c r="A2390"/>
      <c r="B2390"/>
      <c r="C2390"/>
      <c r="D2390"/>
      <c r="E2390"/>
      <c r="F2390"/>
    </row>
    <row r="2391" customHeight="1" spans="1:6">
      <c r="A2391"/>
      <c r="B2391"/>
      <c r="C2391"/>
      <c r="D2391"/>
      <c r="E2391"/>
      <c r="F2391"/>
    </row>
    <row r="2392" customHeight="1" spans="1:6">
      <c r="A2392"/>
      <c r="B2392"/>
      <c r="C2392"/>
      <c r="D2392"/>
      <c r="E2392"/>
      <c r="F2392"/>
    </row>
    <row r="2393" customHeight="1" spans="1:6">
      <c r="A2393"/>
      <c r="B2393"/>
      <c r="C2393"/>
      <c r="D2393"/>
      <c r="E2393"/>
      <c r="F2393"/>
    </row>
    <row r="2394" customHeight="1" spans="1:6">
      <c r="A2394"/>
      <c r="B2394"/>
      <c r="C2394"/>
      <c r="D2394"/>
      <c r="E2394"/>
      <c r="F2394"/>
    </row>
    <row r="2395" customHeight="1" spans="1:6">
      <c r="A2395"/>
      <c r="B2395"/>
      <c r="C2395"/>
      <c r="D2395"/>
      <c r="E2395"/>
      <c r="F2395"/>
    </row>
    <row r="2396" customHeight="1" spans="1:6">
      <c r="A2396"/>
      <c r="B2396"/>
      <c r="C2396"/>
      <c r="D2396"/>
      <c r="E2396"/>
      <c r="F2396"/>
    </row>
    <row r="2397" customHeight="1" spans="1:6">
      <c r="A2397"/>
      <c r="B2397"/>
      <c r="C2397"/>
      <c r="D2397"/>
      <c r="E2397"/>
      <c r="F2397"/>
    </row>
    <row r="2398" customHeight="1" spans="1:6">
      <c r="A2398"/>
      <c r="B2398"/>
      <c r="C2398"/>
      <c r="D2398"/>
      <c r="E2398"/>
      <c r="F2398"/>
    </row>
    <row r="2399" customHeight="1" spans="1:6">
      <c r="A2399"/>
      <c r="B2399"/>
      <c r="C2399"/>
      <c r="D2399"/>
      <c r="E2399"/>
      <c r="F2399"/>
    </row>
    <row r="2400" ht="17.1" customHeight="1" spans="1:6">
      <c r="A2400"/>
      <c r="B2400"/>
      <c r="C2400"/>
      <c r="D2400"/>
      <c r="E2400"/>
      <c r="F2400"/>
    </row>
    <row r="2401" ht="17.1" customHeight="1" spans="1:6">
      <c r="A2401"/>
      <c r="B2401"/>
      <c r="C2401"/>
      <c r="D2401"/>
      <c r="E2401"/>
      <c r="F2401"/>
    </row>
    <row r="2402" ht="17.1" customHeight="1" spans="1:6">
      <c r="A2402"/>
      <c r="B2402"/>
      <c r="C2402"/>
      <c r="D2402"/>
      <c r="E2402"/>
      <c r="F2402"/>
    </row>
    <row r="2403" ht="17.1" customHeight="1" spans="1:6">
      <c r="A2403"/>
      <c r="B2403"/>
      <c r="C2403"/>
      <c r="D2403"/>
      <c r="E2403"/>
      <c r="F2403"/>
    </row>
    <row r="2404" ht="17.1" customHeight="1" spans="1:6">
      <c r="A2404"/>
      <c r="B2404"/>
      <c r="C2404"/>
      <c r="D2404"/>
      <c r="E2404"/>
      <c r="F2404"/>
    </row>
    <row r="2405" ht="17.1" customHeight="1" spans="1:6">
      <c r="A2405"/>
      <c r="B2405"/>
      <c r="C2405"/>
      <c r="D2405"/>
      <c r="E2405"/>
      <c r="F2405"/>
    </row>
    <row r="2406" ht="17.1" customHeight="1" spans="1:6">
      <c r="A2406"/>
      <c r="B2406"/>
      <c r="C2406"/>
      <c r="D2406"/>
      <c r="E2406"/>
      <c r="F2406"/>
    </row>
    <row r="2407" ht="17.1" customHeight="1" spans="1:6">
      <c r="A2407"/>
      <c r="B2407"/>
      <c r="C2407"/>
      <c r="D2407"/>
      <c r="E2407"/>
      <c r="F2407"/>
    </row>
    <row r="2408" s="307" customFormat="1" ht="17.1" customHeight="1" spans="1:6">
      <c r="A2408"/>
      <c r="B2408"/>
      <c r="C2408"/>
      <c r="D2408"/>
      <c r="E2408"/>
      <c r="F2408"/>
    </row>
    <row r="2409" s="307" customFormat="1" ht="17.1" customHeight="1" spans="1:6">
      <c r="A2409"/>
      <c r="B2409"/>
      <c r="C2409"/>
      <c r="D2409"/>
      <c r="E2409"/>
      <c r="F2409"/>
    </row>
    <row r="2410" ht="17.1" customHeight="1" spans="1:6">
      <c r="A2410"/>
      <c r="B2410"/>
      <c r="C2410"/>
      <c r="D2410"/>
      <c r="E2410"/>
      <c r="F2410"/>
    </row>
    <row r="2411" ht="17.1" customHeight="1" spans="1:6">
      <c r="A2411"/>
      <c r="B2411"/>
      <c r="C2411"/>
      <c r="D2411"/>
      <c r="E2411"/>
      <c r="F2411"/>
    </row>
    <row r="2412" ht="17.1" customHeight="1" spans="1:6">
      <c r="A2412"/>
      <c r="B2412"/>
      <c r="C2412"/>
      <c r="D2412"/>
      <c r="E2412"/>
      <c r="F2412"/>
    </row>
    <row r="2413" ht="17.1" customHeight="1" spans="1:6">
      <c r="A2413"/>
      <c r="B2413"/>
      <c r="C2413"/>
      <c r="D2413"/>
      <c r="E2413"/>
      <c r="F2413"/>
    </row>
    <row r="2414" ht="17.1" customHeight="1" spans="1:6">
      <c r="A2414"/>
      <c r="B2414"/>
      <c r="C2414"/>
      <c r="D2414"/>
      <c r="E2414"/>
      <c r="F2414"/>
    </row>
    <row r="2415" ht="17.1" customHeight="1" spans="1:6">
      <c r="A2415"/>
      <c r="B2415"/>
      <c r="C2415"/>
      <c r="D2415"/>
      <c r="E2415"/>
      <c r="F2415"/>
    </row>
    <row r="2416" ht="17.1" customHeight="1" spans="1:6">
      <c r="A2416"/>
      <c r="B2416"/>
      <c r="C2416"/>
      <c r="D2416"/>
      <c r="E2416"/>
      <c r="F2416"/>
    </row>
    <row r="2417" ht="17.1" customHeight="1" spans="1:6">
      <c r="A2417"/>
      <c r="B2417"/>
      <c r="C2417"/>
      <c r="D2417"/>
      <c r="E2417"/>
      <c r="F2417"/>
    </row>
    <row r="2418" ht="17.1" customHeight="1" spans="1:6">
      <c r="A2418"/>
      <c r="B2418"/>
      <c r="C2418"/>
      <c r="D2418"/>
      <c r="E2418"/>
      <c r="F2418"/>
    </row>
    <row r="2419" ht="17.1" customHeight="1" spans="1:6">
      <c r="A2419"/>
      <c r="B2419"/>
      <c r="C2419"/>
      <c r="D2419"/>
      <c r="E2419"/>
      <c r="F2419"/>
    </row>
    <row r="2420" ht="17.1" customHeight="1" spans="1:6">
      <c r="A2420"/>
      <c r="B2420"/>
      <c r="C2420"/>
      <c r="D2420"/>
      <c r="E2420"/>
      <c r="F2420"/>
    </row>
    <row r="2421" ht="17.1" customHeight="1" spans="1:6">
      <c r="A2421"/>
      <c r="B2421"/>
      <c r="C2421"/>
      <c r="D2421"/>
      <c r="E2421"/>
      <c r="F2421"/>
    </row>
    <row r="2422" ht="17.1" customHeight="1" spans="1:6">
      <c r="A2422"/>
      <c r="B2422"/>
      <c r="C2422"/>
      <c r="D2422"/>
      <c r="E2422"/>
      <c r="F2422"/>
    </row>
    <row r="2423" ht="17.1" customHeight="1" spans="1:6">
      <c r="A2423"/>
      <c r="B2423"/>
      <c r="C2423"/>
      <c r="D2423"/>
      <c r="E2423"/>
      <c r="F2423"/>
    </row>
    <row r="2424" ht="17.1" customHeight="1" spans="1:6">
      <c r="A2424"/>
      <c r="B2424"/>
      <c r="C2424"/>
      <c r="D2424"/>
      <c r="E2424"/>
      <c r="F2424"/>
    </row>
    <row r="2425" ht="17.1" customHeight="1" spans="1:6">
      <c r="A2425"/>
      <c r="B2425"/>
      <c r="C2425"/>
      <c r="D2425"/>
      <c r="E2425"/>
      <c r="F2425"/>
    </row>
    <row r="2426" ht="17.1" customHeight="1" spans="1:6">
      <c r="A2426"/>
      <c r="B2426"/>
      <c r="C2426"/>
      <c r="D2426"/>
      <c r="E2426"/>
      <c r="F2426"/>
    </row>
    <row r="2427" ht="17.1" customHeight="1" spans="1:6">
      <c r="A2427"/>
      <c r="B2427"/>
      <c r="C2427"/>
      <c r="D2427"/>
      <c r="E2427"/>
      <c r="F2427"/>
    </row>
    <row r="2428" s="310" customFormat="1" ht="17.1" customHeight="1" spans="1:6">
      <c r="A2428"/>
      <c r="B2428"/>
      <c r="C2428"/>
      <c r="D2428"/>
      <c r="E2428"/>
      <c r="F2428"/>
    </row>
    <row r="2429" ht="17.1" customHeight="1" spans="1:6">
      <c r="A2429"/>
      <c r="B2429"/>
      <c r="C2429"/>
      <c r="D2429"/>
      <c r="E2429"/>
      <c r="F2429"/>
    </row>
    <row r="2430" ht="17.1" customHeight="1" spans="1:6">
      <c r="A2430"/>
      <c r="B2430"/>
      <c r="C2430"/>
      <c r="D2430"/>
      <c r="E2430"/>
      <c r="F2430"/>
    </row>
    <row r="2431" ht="17.1" customHeight="1" spans="1:6">
      <c r="A2431"/>
      <c r="B2431"/>
      <c r="C2431"/>
      <c r="D2431"/>
      <c r="E2431"/>
      <c r="F2431"/>
    </row>
    <row r="2432" ht="17.1" customHeight="1" spans="1:6">
      <c r="A2432"/>
      <c r="B2432"/>
      <c r="C2432"/>
      <c r="D2432"/>
      <c r="E2432"/>
      <c r="F2432"/>
    </row>
    <row r="2433" ht="17.1" customHeight="1" spans="1:6">
      <c r="A2433"/>
      <c r="B2433"/>
      <c r="C2433"/>
      <c r="D2433"/>
      <c r="E2433"/>
      <c r="F2433"/>
    </row>
    <row r="2434" ht="17.1" customHeight="1" spans="1:6">
      <c r="A2434"/>
      <c r="B2434"/>
      <c r="C2434"/>
      <c r="D2434"/>
      <c r="E2434"/>
      <c r="F2434"/>
    </row>
    <row r="2435" ht="17.1" customHeight="1" spans="1:6">
      <c r="A2435"/>
      <c r="B2435"/>
      <c r="C2435"/>
      <c r="D2435"/>
      <c r="E2435"/>
      <c r="F2435"/>
    </row>
    <row r="2436" ht="17.1" customHeight="1" spans="1:6">
      <c r="A2436"/>
      <c r="B2436"/>
      <c r="C2436"/>
      <c r="D2436"/>
      <c r="E2436"/>
      <c r="F2436"/>
    </row>
    <row r="2437" ht="17.1" customHeight="1" spans="1:6">
      <c r="A2437"/>
      <c r="B2437"/>
      <c r="C2437"/>
      <c r="D2437"/>
      <c r="E2437"/>
      <c r="F2437"/>
    </row>
    <row r="2438" ht="17.1" customHeight="1" spans="1:6">
      <c r="A2438"/>
      <c r="B2438"/>
      <c r="C2438"/>
      <c r="D2438"/>
      <c r="E2438"/>
      <c r="F2438"/>
    </row>
    <row r="2439" ht="17.1" customHeight="1" spans="1:6">
      <c r="A2439"/>
      <c r="B2439"/>
      <c r="C2439"/>
      <c r="D2439"/>
      <c r="E2439"/>
      <c r="F2439"/>
    </row>
    <row r="2440" customHeight="1" spans="1:6">
      <c r="A2440" s="311" t="s">
        <v>1155</v>
      </c>
      <c r="B2440" s="175"/>
      <c r="C2440" s="175"/>
      <c r="D2440" s="175"/>
      <c r="E2440" s="175"/>
      <c r="F2440" s="175"/>
    </row>
    <row r="2441" customHeight="1" spans="1:6">
      <c r="A2441" s="256" t="s">
        <v>1388</v>
      </c>
      <c r="B2441" s="256"/>
      <c r="C2441" s="256"/>
      <c r="D2441" s="256"/>
      <c r="E2441" s="256"/>
      <c r="F2441" s="256"/>
    </row>
    <row r="2442" customHeight="1" spans="1:6">
      <c r="A2442" s="190" t="s">
        <v>1377</v>
      </c>
      <c r="B2442" s="191"/>
      <c r="C2442" s="243"/>
      <c r="D2442" s="243"/>
      <c r="E2442" s="191" t="s">
        <v>1159</v>
      </c>
      <c r="F2442" s="191"/>
    </row>
    <row r="2443" customHeight="1" spans="1:6">
      <c r="A2443" s="117" t="s">
        <v>1218</v>
      </c>
      <c r="B2443" s="192"/>
      <c r="C2443" s="192"/>
      <c r="D2443" s="192"/>
      <c r="E2443" s="192"/>
      <c r="F2443" s="118"/>
    </row>
    <row r="2444" customHeight="1" spans="1:6">
      <c r="A2444" s="57" t="s">
        <v>354</v>
      </c>
      <c r="B2444" s="57" t="s">
        <v>956</v>
      </c>
      <c r="C2444" s="57" t="s">
        <v>52</v>
      </c>
      <c r="D2444" s="57" t="s">
        <v>855</v>
      </c>
      <c r="E2444" s="57" t="s">
        <v>53</v>
      </c>
      <c r="F2444" s="57" t="s">
        <v>306</v>
      </c>
    </row>
    <row r="2445" customHeight="1" spans="1:6">
      <c r="A2445" s="57" t="s">
        <v>959</v>
      </c>
      <c r="B2445" s="57" t="s">
        <v>964</v>
      </c>
      <c r="C2445" s="57" t="s">
        <v>965</v>
      </c>
      <c r="D2445" s="257"/>
      <c r="E2445" s="92">
        <f>SUM(E2446:E2447)</f>
        <v>2246.3</v>
      </c>
      <c r="F2445" s="113">
        <f>SUM(F2446:F2447)</f>
        <v>16572.418</v>
      </c>
    </row>
    <row r="2446" s="307" customFormat="1" customHeight="1" spans="1:6">
      <c r="A2446" s="57"/>
      <c r="B2446" s="57" t="s">
        <v>966</v>
      </c>
      <c r="C2446" s="57" t="s">
        <v>965</v>
      </c>
      <c r="D2446" s="113">
        <f>建筑工程单价分析表!D530</f>
        <v>8.1</v>
      </c>
      <c r="E2446" s="92">
        <v>1549.9</v>
      </c>
      <c r="F2446" s="113">
        <f t="shared" ref="F2446:F2452" si="291">D2446*E2446</f>
        <v>12554.19</v>
      </c>
    </row>
    <row r="2447" s="307" customFormat="1" customHeight="1" spans="1:6">
      <c r="A2447" s="57"/>
      <c r="B2447" s="57" t="s">
        <v>968</v>
      </c>
      <c r="C2447" s="57" t="s">
        <v>965</v>
      </c>
      <c r="D2447" s="113">
        <f>建筑工程单价分析表!D531</f>
        <v>5.77</v>
      </c>
      <c r="E2447" s="92">
        <v>696.4</v>
      </c>
      <c r="F2447" s="113">
        <f t="shared" si="291"/>
        <v>4018.228</v>
      </c>
    </row>
    <row r="2448" customHeight="1" spans="1:6">
      <c r="A2448" s="57" t="s">
        <v>1372</v>
      </c>
      <c r="B2448" s="57" t="s">
        <v>1219</v>
      </c>
      <c r="C2448" s="57"/>
      <c r="D2448" s="84"/>
      <c r="E2448" s="84"/>
      <c r="F2448" s="84">
        <f>SUM(F2449:F2453)</f>
        <v>25531.38535512</v>
      </c>
    </row>
    <row r="2449" customHeight="1" spans="1:6">
      <c r="A2449" s="57"/>
      <c r="B2449" s="244" t="s">
        <v>1272</v>
      </c>
      <c r="C2449" s="244" t="s">
        <v>1188</v>
      </c>
      <c r="D2449" s="84">
        <f>建筑工程单价分析表!D533</f>
        <v>2232.665025</v>
      </c>
      <c r="E2449" s="84">
        <v>2.76</v>
      </c>
      <c r="F2449" s="246">
        <f t="shared" si="291"/>
        <v>6162.155469</v>
      </c>
    </row>
    <row r="2450" customHeight="1" spans="1:6">
      <c r="A2450" s="57"/>
      <c r="B2450" s="244" t="s">
        <v>1378</v>
      </c>
      <c r="C2450" s="244" t="s">
        <v>184</v>
      </c>
      <c r="D2450" s="84">
        <v>7.99</v>
      </c>
      <c r="E2450" s="258">
        <v>10</v>
      </c>
      <c r="F2450" s="246">
        <f t="shared" si="291"/>
        <v>79.9</v>
      </c>
    </row>
    <row r="2451" customHeight="1" spans="1:6">
      <c r="A2451" s="57"/>
      <c r="B2451" s="57" t="s">
        <v>1279</v>
      </c>
      <c r="C2451" s="57" t="s">
        <v>1188</v>
      </c>
      <c r="D2451" s="84">
        <f>配合比!M8</f>
        <v>176.4913185</v>
      </c>
      <c r="E2451" s="258">
        <v>102</v>
      </c>
      <c r="F2451" s="246">
        <f t="shared" si="291"/>
        <v>18002.114487</v>
      </c>
    </row>
    <row r="2452" customHeight="1" spans="1:6">
      <c r="A2452" s="57"/>
      <c r="B2452" s="57" t="s">
        <v>1022</v>
      </c>
      <c r="C2452" s="57" t="s">
        <v>1188</v>
      </c>
      <c r="D2452" s="113">
        <f>材料预算价!K14</f>
        <v>4.37</v>
      </c>
      <c r="E2452" s="84">
        <v>180</v>
      </c>
      <c r="F2452" s="246">
        <f t="shared" si="291"/>
        <v>786.6</v>
      </c>
    </row>
    <row r="2453" customHeight="1" spans="1:6">
      <c r="A2453" s="57"/>
      <c r="B2453" s="57" t="s">
        <v>1163</v>
      </c>
      <c r="C2453" s="59" t="s">
        <v>423</v>
      </c>
      <c r="D2453" s="252">
        <f>SUM(F2449:F2452)</f>
        <v>25030.769956</v>
      </c>
      <c r="E2453" s="84">
        <v>2</v>
      </c>
      <c r="F2453" s="246">
        <f>D2453*E2453/100</f>
        <v>500.61539912</v>
      </c>
    </row>
    <row r="2454" customHeight="1" spans="1:6">
      <c r="A2454" s="57" t="s">
        <v>1373</v>
      </c>
      <c r="B2454" s="57" t="s">
        <v>1171</v>
      </c>
      <c r="C2454" s="57"/>
      <c r="D2454" s="84"/>
      <c r="E2454" s="84"/>
      <c r="F2454" s="252">
        <f>SUM(F2455:F2459)</f>
        <v>2614.83615643119</v>
      </c>
    </row>
    <row r="2455" customHeight="1" spans="1:6">
      <c r="A2455" s="57"/>
      <c r="B2455" s="57" t="s">
        <v>1280</v>
      </c>
      <c r="C2455" s="57" t="s">
        <v>988</v>
      </c>
      <c r="D2455" s="84">
        <f>台时!H42</f>
        <v>49.389824491424</v>
      </c>
      <c r="E2455" s="84">
        <v>1.5</v>
      </c>
      <c r="F2455" s="84">
        <f t="shared" ref="F2455:F2458" si="292">D2455*E2455</f>
        <v>74.084736737136</v>
      </c>
    </row>
    <row r="2456" customHeight="1" spans="1:6">
      <c r="A2456" s="57"/>
      <c r="B2456" s="57" t="s">
        <v>1380</v>
      </c>
      <c r="C2456" s="57" t="s">
        <v>988</v>
      </c>
      <c r="D2456" s="84">
        <f>台时!D42</f>
        <v>23.7459521340247</v>
      </c>
      <c r="E2456" s="84">
        <v>18.36</v>
      </c>
      <c r="F2456" s="84">
        <f t="shared" si="292"/>
        <v>435.975681180694</v>
      </c>
    </row>
    <row r="2457" customHeight="1" spans="1:6">
      <c r="A2457" s="57"/>
      <c r="B2457" s="57" t="s">
        <v>1284</v>
      </c>
      <c r="C2457" s="57" t="s">
        <v>988</v>
      </c>
      <c r="D2457" s="84">
        <f>台时!F42</f>
        <v>1.80552692461109</v>
      </c>
      <c r="E2457" s="84">
        <v>44</v>
      </c>
      <c r="F2457" s="84">
        <f t="shared" si="292"/>
        <v>79.443184682888</v>
      </c>
    </row>
    <row r="2458" customHeight="1" spans="1:6">
      <c r="A2458" s="57"/>
      <c r="B2458" s="57" t="s">
        <v>1381</v>
      </c>
      <c r="C2458" s="57" t="s">
        <v>988</v>
      </c>
      <c r="D2458" s="84">
        <f>台时!F63</f>
        <v>95.156325887515</v>
      </c>
      <c r="E2458" s="84">
        <v>17.7</v>
      </c>
      <c r="F2458" s="84">
        <f t="shared" si="292"/>
        <v>1684.26696820902</v>
      </c>
    </row>
    <row r="2459" customHeight="1" spans="1:6">
      <c r="A2459" s="57"/>
      <c r="B2459" s="57" t="s">
        <v>1223</v>
      </c>
      <c r="C2459" s="59" t="s">
        <v>423</v>
      </c>
      <c r="D2459" s="252">
        <f>SUM(F2455:F2458)</f>
        <v>2273.77057080973</v>
      </c>
      <c r="E2459" s="84">
        <v>15</v>
      </c>
      <c r="F2459" s="84">
        <f>D2459*E2459/100</f>
        <v>341.06558562146</v>
      </c>
    </row>
    <row r="2460" s="309" customFormat="1" customHeight="1" spans="1:6">
      <c r="A2460" s="55" t="s">
        <v>214</v>
      </c>
      <c r="B2460" s="55" t="s">
        <v>1285</v>
      </c>
      <c r="C2460" s="253"/>
      <c r="D2460" s="254"/>
      <c r="E2460" s="254"/>
      <c r="F2460" s="254">
        <f>SUM(F2461:F2462)</f>
        <v>1967.12587289919</v>
      </c>
    </row>
    <row r="2461" s="307" customFormat="1" customHeight="1" spans="1:6">
      <c r="A2461" s="57"/>
      <c r="B2461" s="245" t="s">
        <v>1286</v>
      </c>
      <c r="C2461" s="245" t="s">
        <v>1188</v>
      </c>
      <c r="D2461" s="246">
        <f>$F$2253/100</f>
        <v>5.03319379720782</v>
      </c>
      <c r="E2461" s="246">
        <v>102</v>
      </c>
      <c r="F2461" s="84">
        <f>D2461*E2461</f>
        <v>513.385767315197</v>
      </c>
    </row>
    <row r="2462" s="307" customFormat="1" customHeight="1" spans="1:6">
      <c r="A2462" s="57"/>
      <c r="B2462" s="245" t="s">
        <v>1287</v>
      </c>
      <c r="C2462" s="245" t="s">
        <v>1188</v>
      </c>
      <c r="D2462" s="246">
        <f>$F$2271/100</f>
        <v>14.2523539763136</v>
      </c>
      <c r="E2462" s="246">
        <v>102</v>
      </c>
      <c r="F2462" s="84">
        <f>D2462*E2462</f>
        <v>1453.74010558399</v>
      </c>
    </row>
    <row r="2463" customHeight="1" spans="1:6">
      <c r="A2463" s="57"/>
      <c r="B2463" s="57" t="s">
        <v>1382</v>
      </c>
      <c r="C2463" s="57"/>
      <c r="D2463" s="84"/>
      <c r="E2463" s="84"/>
      <c r="F2463" s="84">
        <f>F2445+F2448+F2454+F2460</f>
        <v>46685.7653844504</v>
      </c>
    </row>
    <row r="2464" customHeight="1" spans="1:6">
      <c r="A2464" s="57"/>
      <c r="B2464" s="57"/>
      <c r="C2464" s="57"/>
      <c r="D2464" s="84"/>
      <c r="E2464" s="84"/>
      <c r="F2464" s="84"/>
    </row>
    <row r="2465" customHeight="1" spans="1:6">
      <c r="A2465" s="57"/>
      <c r="B2465" s="57"/>
      <c r="C2465" s="57"/>
      <c r="D2465" s="84"/>
      <c r="E2465" s="84"/>
      <c r="F2465" s="84"/>
    </row>
    <row r="2466" customHeight="1" spans="1:6">
      <c r="A2466" s="57"/>
      <c r="B2466" s="57"/>
      <c r="C2466" s="57"/>
      <c r="D2466" s="84"/>
      <c r="E2466" s="84"/>
      <c r="F2466" s="84"/>
    </row>
    <row r="2467" customHeight="1" spans="1:6">
      <c r="A2467" s="57"/>
      <c r="B2467" s="57"/>
      <c r="C2467" s="57"/>
      <c r="D2467" s="84"/>
      <c r="E2467" s="84"/>
      <c r="F2467" s="84"/>
    </row>
    <row r="2468" customHeight="1" spans="1:6">
      <c r="A2468" s="57"/>
      <c r="B2468" s="57"/>
      <c r="C2468" s="57"/>
      <c r="D2468" s="84"/>
      <c r="E2468" s="84"/>
      <c r="F2468" s="84"/>
    </row>
    <row r="2469" customHeight="1" spans="1:6">
      <c r="A2469" s="57"/>
      <c r="B2469" s="57"/>
      <c r="C2469" s="57"/>
      <c r="D2469" s="84"/>
      <c r="E2469" s="84"/>
      <c r="F2469" s="84"/>
    </row>
    <row r="2470" customHeight="1" spans="1:6">
      <c r="A2470" s="57"/>
      <c r="B2470" s="57"/>
      <c r="C2470" s="57"/>
      <c r="D2470" s="84"/>
      <c r="E2470" s="84"/>
      <c r="F2470" s="84"/>
    </row>
    <row r="2471" customHeight="1" spans="1:6">
      <c r="A2471" s="57"/>
      <c r="B2471" s="57"/>
      <c r="C2471" s="57"/>
      <c r="D2471" s="84"/>
      <c r="E2471" s="84"/>
      <c r="F2471" s="84"/>
    </row>
    <row r="2472" customHeight="1" spans="1:6">
      <c r="A2472" s="57"/>
      <c r="B2472" s="57"/>
      <c r="C2472" s="57"/>
      <c r="D2472" s="84"/>
      <c r="E2472" s="84"/>
      <c r="F2472" s="84"/>
    </row>
    <row r="2473" customHeight="1" spans="1:6">
      <c r="A2473" s="57"/>
      <c r="B2473" s="57"/>
      <c r="C2473" s="57"/>
      <c r="D2473" s="84"/>
      <c r="E2473" s="84"/>
      <c r="F2473" s="84"/>
    </row>
    <row r="2474" customHeight="1" spans="1:6">
      <c r="A2474" s="57"/>
      <c r="B2474" s="57"/>
      <c r="C2474" s="57"/>
      <c r="D2474" s="84"/>
      <c r="E2474" s="84"/>
      <c r="F2474" s="84"/>
    </row>
    <row r="2475" customHeight="1" spans="1:6">
      <c r="A2475" s="57"/>
      <c r="B2475" s="57"/>
      <c r="C2475" s="57"/>
      <c r="D2475" s="84"/>
      <c r="E2475" s="84"/>
      <c r="F2475" s="84"/>
    </row>
    <row r="2476" customHeight="1" spans="1:6">
      <c r="A2476" s="57"/>
      <c r="B2476" s="57"/>
      <c r="C2476" s="57"/>
      <c r="D2476" s="84"/>
      <c r="E2476" s="84"/>
      <c r="F2476" s="84"/>
    </row>
    <row r="2477" customHeight="1" spans="1:6">
      <c r="A2477" s="57"/>
      <c r="B2477" s="57"/>
      <c r="C2477" s="57"/>
      <c r="D2477" s="84"/>
      <c r="E2477" s="84"/>
      <c r="F2477" s="84"/>
    </row>
    <row r="2478" ht="17.1" customHeight="1" spans="1:6">
      <c r="A2478" s="311" t="s">
        <v>1155</v>
      </c>
      <c r="B2478" s="175"/>
      <c r="C2478" s="175"/>
      <c r="D2478" s="175"/>
      <c r="E2478" s="175"/>
      <c r="F2478" s="175"/>
    </row>
    <row r="2479" ht="17.1" customHeight="1" spans="1:6">
      <c r="A2479" s="256" t="s">
        <v>1389</v>
      </c>
      <c r="B2479" s="256"/>
      <c r="C2479" s="256"/>
      <c r="D2479" s="256"/>
      <c r="E2479" s="256"/>
      <c r="F2479" s="256"/>
    </row>
    <row r="2480" ht="17.1" customHeight="1" spans="1:6">
      <c r="A2480" s="190" t="s">
        <v>1384</v>
      </c>
      <c r="B2480" s="191"/>
      <c r="C2480" s="243"/>
      <c r="D2480" s="243"/>
      <c r="E2480" s="191" t="s">
        <v>1159</v>
      </c>
      <c r="F2480" s="191"/>
    </row>
    <row r="2481" ht="17.1" customHeight="1" spans="1:6">
      <c r="A2481" s="117" t="s">
        <v>1218</v>
      </c>
      <c r="B2481" s="192"/>
      <c r="C2481" s="192"/>
      <c r="D2481" s="192"/>
      <c r="E2481" s="192"/>
      <c r="F2481" s="118"/>
    </row>
    <row r="2482" ht="17.1" customHeight="1" spans="1:6">
      <c r="A2482" s="57" t="s">
        <v>354</v>
      </c>
      <c r="B2482" s="57" t="s">
        <v>956</v>
      </c>
      <c r="C2482" s="57" t="s">
        <v>52</v>
      </c>
      <c r="D2482" s="57" t="s">
        <v>855</v>
      </c>
      <c r="E2482" s="57" t="s">
        <v>53</v>
      </c>
      <c r="F2482" s="57" t="s">
        <v>306</v>
      </c>
    </row>
    <row r="2483" ht="17.1" customHeight="1" spans="1:6">
      <c r="A2483" s="57" t="s">
        <v>959</v>
      </c>
      <c r="B2483" s="57" t="s">
        <v>960</v>
      </c>
      <c r="C2483" s="57"/>
      <c r="D2483" s="57"/>
      <c r="E2483" s="57"/>
      <c r="F2483" s="84">
        <f>F2484+F2502+F2503</f>
        <v>61323.6770603789</v>
      </c>
    </row>
    <row r="2484" ht="17.1" customHeight="1" spans="1:6">
      <c r="A2484" s="57" t="s">
        <v>59</v>
      </c>
      <c r="B2484" s="57" t="s">
        <v>957</v>
      </c>
      <c r="C2484" s="57"/>
      <c r="D2484" s="57"/>
      <c r="E2484" s="57"/>
      <c r="F2484" s="84">
        <f>F2485+F2488+F2495+F2500</f>
        <v>58514.9590270791</v>
      </c>
    </row>
    <row r="2485" ht="17.1" customHeight="1" spans="1:6">
      <c r="A2485" s="57">
        <v>1</v>
      </c>
      <c r="B2485" s="57" t="s">
        <v>964</v>
      </c>
      <c r="C2485" s="57" t="s">
        <v>965</v>
      </c>
      <c r="D2485" s="84"/>
      <c r="E2485" s="92">
        <f>SUM(E2486:E2487)</f>
        <v>574.6</v>
      </c>
      <c r="F2485" s="113">
        <f>SUM(F2486:F2487)</f>
        <v>4654.26</v>
      </c>
    </row>
    <row r="2486" s="307" customFormat="1" ht="17.1" customHeight="1" spans="1:6">
      <c r="A2486" s="57"/>
      <c r="B2486" s="57" t="s">
        <v>966</v>
      </c>
      <c r="C2486" s="57" t="s">
        <v>965</v>
      </c>
      <c r="D2486" s="113">
        <f t="shared" ref="D2486:D2489" si="293">D2446</f>
        <v>8.1</v>
      </c>
      <c r="E2486" s="92">
        <v>574.6</v>
      </c>
      <c r="F2486" s="113">
        <f t="shared" ref="F2486:F2493" si="294">D2486*E2486</f>
        <v>4654.26</v>
      </c>
    </row>
    <row r="2487" s="307" customFormat="1" ht="17.1" customHeight="1" spans="1:6">
      <c r="A2487" s="57"/>
      <c r="B2487" s="57" t="s">
        <v>968</v>
      </c>
      <c r="C2487" s="57" t="s">
        <v>965</v>
      </c>
      <c r="D2487" s="113">
        <f t="shared" si="293"/>
        <v>5.77</v>
      </c>
      <c r="E2487" s="92">
        <v>0</v>
      </c>
      <c r="F2487" s="113">
        <f t="shared" si="294"/>
        <v>0</v>
      </c>
    </row>
    <row r="2488" ht="17.1" customHeight="1" spans="1:6">
      <c r="A2488" s="57">
        <v>2</v>
      </c>
      <c r="B2488" s="57" t="s">
        <v>1219</v>
      </c>
      <c r="C2488" s="57"/>
      <c r="D2488" s="84"/>
      <c r="E2488" s="84"/>
      <c r="F2488" s="252">
        <f>SUM(F2489:F2494)</f>
        <v>51392.9784926126</v>
      </c>
    </row>
    <row r="2489" ht="17.1" customHeight="1" spans="1:6">
      <c r="A2489" s="57"/>
      <c r="B2489" s="244" t="s">
        <v>1272</v>
      </c>
      <c r="C2489" s="244" t="s">
        <v>1188</v>
      </c>
      <c r="D2489" s="84">
        <f t="shared" si="293"/>
        <v>2232.665025</v>
      </c>
      <c r="E2489" s="84">
        <v>0.19</v>
      </c>
      <c r="F2489" s="84">
        <f t="shared" si="294"/>
        <v>424.20635475</v>
      </c>
    </row>
    <row r="2490" ht="17.1" customHeight="1" spans="1:6">
      <c r="A2490" s="57"/>
      <c r="B2490" s="244" t="s">
        <v>1385</v>
      </c>
      <c r="C2490" s="244" t="s">
        <v>1188</v>
      </c>
      <c r="D2490" s="84">
        <f>D2489</f>
        <v>2232.665025</v>
      </c>
      <c r="E2490" s="84">
        <v>0.62</v>
      </c>
      <c r="F2490" s="84">
        <f t="shared" si="294"/>
        <v>1384.2523155</v>
      </c>
    </row>
    <row r="2491" ht="17.1" customHeight="1" spans="1:6">
      <c r="A2491" s="57"/>
      <c r="B2491" s="57" t="s">
        <v>1255</v>
      </c>
      <c r="C2491" s="244" t="s">
        <v>1188</v>
      </c>
      <c r="D2491" s="113">
        <f>配合比!M15</f>
        <v>144.68621</v>
      </c>
      <c r="E2491" s="84">
        <v>1.8</v>
      </c>
      <c r="F2491" s="84">
        <f t="shared" si="294"/>
        <v>260.435178</v>
      </c>
    </row>
    <row r="2492" ht="17.1" customHeight="1" spans="1:6">
      <c r="A2492" s="57"/>
      <c r="B2492" s="57" t="s">
        <v>1386</v>
      </c>
      <c r="C2492" s="244" t="s">
        <v>1188</v>
      </c>
      <c r="D2492" s="84">
        <f>F2463/100</f>
        <v>466.857653844504</v>
      </c>
      <c r="E2492" s="84">
        <v>100</v>
      </c>
      <c r="F2492" s="84">
        <f t="shared" si="294"/>
        <v>46685.7653844504</v>
      </c>
    </row>
    <row r="2493" ht="17.1" customHeight="1" spans="1:6">
      <c r="A2493" s="57"/>
      <c r="B2493" s="57" t="s">
        <v>1279</v>
      </c>
      <c r="C2493" s="244" t="s">
        <v>1188</v>
      </c>
      <c r="D2493" s="84">
        <f>配合比!M8</f>
        <v>176.4913185</v>
      </c>
      <c r="E2493" s="84">
        <v>13.5</v>
      </c>
      <c r="F2493" s="84">
        <f t="shared" si="294"/>
        <v>2382.63279975</v>
      </c>
    </row>
    <row r="2494" ht="17.1" customHeight="1" spans="1:6">
      <c r="A2494" s="57"/>
      <c r="B2494" s="57" t="s">
        <v>1163</v>
      </c>
      <c r="C2494" s="260" t="s">
        <v>423</v>
      </c>
      <c r="D2494" s="252">
        <f>SUM(F2489:F2493)</f>
        <v>51137.2920324504</v>
      </c>
      <c r="E2494" s="84">
        <v>0.5</v>
      </c>
      <c r="F2494" s="84">
        <f>D2494*E2494/100</f>
        <v>255.686460162252</v>
      </c>
    </row>
    <row r="2495" ht="17.1" customHeight="1" spans="1:6">
      <c r="A2495" s="57">
        <v>3</v>
      </c>
      <c r="B2495" s="57" t="s">
        <v>1171</v>
      </c>
      <c r="C2495" s="57"/>
      <c r="D2495" s="84"/>
      <c r="E2495" s="84"/>
      <c r="F2495" s="252">
        <f>SUM(F2496:F2499)</f>
        <v>2399.77241820413</v>
      </c>
    </row>
    <row r="2496" ht="17.1" customHeight="1" spans="1:6">
      <c r="A2496" s="57"/>
      <c r="B2496" s="57" t="s">
        <v>1387</v>
      </c>
      <c r="C2496" s="57" t="s">
        <v>988</v>
      </c>
      <c r="D2496" s="84">
        <f>台时!F84</f>
        <v>62.3342780215397</v>
      </c>
      <c r="E2496" s="84">
        <v>37</v>
      </c>
      <c r="F2496" s="84">
        <f t="shared" ref="F2496:F2498" si="295">D2496*E2496</f>
        <v>2306.36828679697</v>
      </c>
    </row>
    <row r="2497" ht="17.1" customHeight="1" spans="1:6">
      <c r="A2497" s="57"/>
      <c r="B2497" s="57" t="s">
        <v>1380</v>
      </c>
      <c r="C2497" s="57" t="s">
        <v>988</v>
      </c>
      <c r="D2497" s="84">
        <f>台时!D42</f>
        <v>23.7459521340247</v>
      </c>
      <c r="E2497" s="84">
        <v>2.5029</v>
      </c>
      <c r="F2497" s="84">
        <f t="shared" si="295"/>
        <v>59.4337435962505</v>
      </c>
    </row>
    <row r="2498" ht="17.1" customHeight="1" spans="1:6">
      <c r="A2498" s="57"/>
      <c r="B2498" s="57" t="s">
        <v>1190</v>
      </c>
      <c r="C2498" s="57" t="s">
        <v>988</v>
      </c>
      <c r="D2498" s="113">
        <f>台时!C42</f>
        <v>0.813242919824491</v>
      </c>
      <c r="E2498" s="204">
        <v>12.555</v>
      </c>
      <c r="F2498" s="84">
        <f t="shared" si="295"/>
        <v>10.2102648583965</v>
      </c>
    </row>
    <row r="2499" ht="17.1" customHeight="1" spans="1:6">
      <c r="A2499" s="57"/>
      <c r="B2499" s="57" t="s">
        <v>1223</v>
      </c>
      <c r="C2499" s="59" t="s">
        <v>423</v>
      </c>
      <c r="D2499" s="252">
        <f>SUM(F2496:F2498)</f>
        <v>2376.01229525162</v>
      </c>
      <c r="E2499" s="84">
        <v>1</v>
      </c>
      <c r="F2499" s="84">
        <f>D2499*E2499/100</f>
        <v>23.7601229525162</v>
      </c>
    </row>
    <row r="2500" ht="17.1" customHeight="1" spans="1:6">
      <c r="A2500" s="57">
        <v>4</v>
      </c>
      <c r="B2500" s="57" t="s">
        <v>1285</v>
      </c>
      <c r="C2500" s="253"/>
      <c r="D2500" s="252"/>
      <c r="E2500" s="84"/>
      <c r="F2500" s="84">
        <f>F2501</f>
        <v>67.9481162623055</v>
      </c>
    </row>
    <row r="2501" ht="17.1" customHeight="1" spans="1:6">
      <c r="A2501" s="57"/>
      <c r="B2501" s="245" t="s">
        <v>1286</v>
      </c>
      <c r="C2501" s="245" t="s">
        <v>1188</v>
      </c>
      <c r="D2501" s="252">
        <f>D2461</f>
        <v>5.03319379720782</v>
      </c>
      <c r="E2501" s="84">
        <v>13.5</v>
      </c>
      <c r="F2501" s="84">
        <f>D2501*E2501</f>
        <v>67.9481162623055</v>
      </c>
    </row>
    <row r="2502" ht="17.1" customHeight="1" spans="1:6">
      <c r="A2502" s="57" t="s">
        <v>70</v>
      </c>
      <c r="B2502" s="57" t="s">
        <v>977</v>
      </c>
      <c r="C2502" s="194">
        <f>取费表!$C$7</f>
        <v>0.048</v>
      </c>
      <c r="D2502" s="252"/>
      <c r="E2502" s="84">
        <f>F2484</f>
        <v>58514.9590270791</v>
      </c>
      <c r="F2502" s="84">
        <f t="shared" ref="F2502:F2505" si="296">E2502*C2502</f>
        <v>2808.7180332998</v>
      </c>
    </row>
    <row r="2503" ht="17.1" customHeight="1" spans="1:6">
      <c r="A2503" s="57"/>
      <c r="B2503" s="57"/>
      <c r="C2503" s="194"/>
      <c r="D2503" s="252"/>
      <c r="E2503" s="84"/>
      <c r="F2503" s="84"/>
    </row>
    <row r="2504" ht="17.1" customHeight="1" spans="1:6">
      <c r="A2504" s="57" t="s">
        <v>979</v>
      </c>
      <c r="B2504" s="57" t="s">
        <v>973</v>
      </c>
      <c r="C2504" s="194">
        <f>取费表!$E$7</f>
        <v>0.07</v>
      </c>
      <c r="D2504" s="252"/>
      <c r="E2504" s="84">
        <f>F2483</f>
        <v>61323.6770603789</v>
      </c>
      <c r="F2504" s="84">
        <f t="shared" si="296"/>
        <v>4292.65739422652</v>
      </c>
    </row>
    <row r="2505" ht="17.1" customHeight="1" spans="1:6">
      <c r="A2505" s="57" t="s">
        <v>162</v>
      </c>
      <c r="B2505" s="57" t="s">
        <v>980</v>
      </c>
      <c r="C2505" s="194">
        <f>取费表!$F$7</f>
        <v>0.07</v>
      </c>
      <c r="D2505" s="252"/>
      <c r="E2505" s="84">
        <f>F2504+F2483</f>
        <v>65616.3344546054</v>
      </c>
      <c r="F2505" s="84">
        <f t="shared" si="296"/>
        <v>4593.14341182238</v>
      </c>
    </row>
    <row r="2506" s="310" customFormat="1" ht="17.1" customHeight="1" spans="1:6">
      <c r="A2506" s="55" t="s">
        <v>214</v>
      </c>
      <c r="B2506" s="55" t="s">
        <v>1173</v>
      </c>
      <c r="C2506" s="253"/>
      <c r="D2506" s="254"/>
      <c r="E2506" s="55"/>
      <c r="F2506" s="255">
        <f>F2507+F2512</f>
        <v>11809.790959963</v>
      </c>
    </row>
    <row r="2507" ht="17.1" customHeight="1" spans="1:6">
      <c r="A2507" s="57">
        <v>1</v>
      </c>
      <c r="B2507" s="57" t="s">
        <v>1288</v>
      </c>
      <c r="C2507" s="59"/>
      <c r="D2507" s="84"/>
      <c r="E2507" s="57"/>
      <c r="F2507" s="113">
        <f>SUM(F2508:F2511)</f>
        <v>10406.675959963</v>
      </c>
    </row>
    <row r="2508" ht="17.1" customHeight="1" spans="1:6">
      <c r="A2508" s="57"/>
      <c r="B2508" s="57"/>
      <c r="C2508" s="57"/>
      <c r="D2508" s="84"/>
      <c r="E2508" s="84"/>
      <c r="F2508" s="113"/>
    </row>
    <row r="2509" ht="17.1" customHeight="1" spans="1:6">
      <c r="A2509" s="57"/>
      <c r="B2509" s="57" t="s">
        <v>1141</v>
      </c>
      <c r="C2509" s="57" t="s">
        <v>69</v>
      </c>
      <c r="D2509" s="84">
        <f>材料预算价!K5-材料预算价!L5</f>
        <v>156.64017</v>
      </c>
      <c r="E2509" s="84">
        <f>E2493*配合比!E8+新定额单价!E2492*0.01*新定额单价!E2451*配合比!E8</f>
        <v>35.4812535</v>
      </c>
      <c r="F2509" s="113">
        <f t="shared" ref="F2509:F2511" si="297">D2509*E2509</f>
        <v>5557.7895800531</v>
      </c>
    </row>
    <row r="2510" ht="17.1" customHeight="1" spans="1:6">
      <c r="A2510" s="57"/>
      <c r="B2510" s="57" t="s">
        <v>1142</v>
      </c>
      <c r="C2510" s="57" t="s">
        <v>1188</v>
      </c>
      <c r="D2510" s="84">
        <f>建筑工程单价分析表!D554</f>
        <v>44.826214</v>
      </c>
      <c r="E2510" s="84">
        <f>E2493*配合比!G8+新定额单价!E2492*0.01*新定额单价!E2451*配合比!G8</f>
        <v>63.49959</v>
      </c>
      <c r="F2510" s="113">
        <f t="shared" si="297"/>
        <v>2846.44621025226</v>
      </c>
    </row>
    <row r="2511" ht="17.1" customHeight="1" spans="1:6">
      <c r="A2511" s="57"/>
      <c r="B2511" s="57" t="s">
        <v>1110</v>
      </c>
      <c r="C2511" s="57" t="s">
        <v>1188</v>
      </c>
      <c r="D2511" s="84">
        <f>材料预算价!K8-材料预算价!L8</f>
        <v>20.60443</v>
      </c>
      <c r="E2511" s="84">
        <f>E2493*配合比!I8+新定额单价!E2492*0.01*配合比!I8*E2451</f>
        <v>97.184934</v>
      </c>
      <c r="F2511" s="113">
        <f t="shared" si="297"/>
        <v>2002.44016965762</v>
      </c>
    </row>
    <row r="2512" ht="17.1" customHeight="1" spans="1:6">
      <c r="A2512" s="57">
        <v>2</v>
      </c>
      <c r="B2512" s="57" t="s">
        <v>1289</v>
      </c>
      <c r="C2512" s="57"/>
      <c r="D2512" s="84"/>
      <c r="E2512" s="88"/>
      <c r="F2512" s="113">
        <f>SUM(F2513:F2514)</f>
        <v>1403.115</v>
      </c>
    </row>
    <row r="2513" ht="17.1" customHeight="1" spans="1:6">
      <c r="A2513" s="57"/>
      <c r="B2513" s="57" t="s">
        <v>1290</v>
      </c>
      <c r="C2513" s="57" t="s">
        <v>184</v>
      </c>
      <c r="D2513" s="84">
        <f>建筑工程单价分析表!D557</f>
        <v>6.225</v>
      </c>
      <c r="E2513" s="88">
        <f>(E2455*7.2+E2496*5.8)</f>
        <v>225.4</v>
      </c>
      <c r="F2513" s="113">
        <f>D2513*E2513</f>
        <v>1403.115</v>
      </c>
    </row>
    <row r="2514" ht="17.1" customHeight="1" spans="1:6">
      <c r="A2514" s="57"/>
      <c r="B2514" s="57" t="s">
        <v>1174</v>
      </c>
      <c r="C2514" s="59" t="s">
        <v>184</v>
      </c>
      <c r="D2514" s="84">
        <f>建筑工程单价分析表!D558</f>
        <v>4.86</v>
      </c>
      <c r="E2514" s="88">
        <v>0</v>
      </c>
      <c r="F2514" s="113">
        <f>D2514*E2514</f>
        <v>0</v>
      </c>
    </row>
    <row r="2515" ht="17.1" customHeight="1" spans="1:6">
      <c r="A2515" s="57" t="s">
        <v>327</v>
      </c>
      <c r="B2515" s="57" t="s">
        <v>976</v>
      </c>
      <c r="C2515" s="195">
        <f>建筑工程单价分析表!C559</f>
        <v>0.09</v>
      </c>
      <c r="D2515" s="84"/>
      <c r="E2515" s="84">
        <f>F2506+F2505+F2504+F2483</f>
        <v>82019.2688263907</v>
      </c>
      <c r="F2515" s="84">
        <f>E2515*C2515</f>
        <v>7381.73419437517</v>
      </c>
    </row>
    <row r="2516" ht="17.1" customHeight="1" spans="1:6">
      <c r="A2516" s="57"/>
      <c r="B2516" s="57" t="s">
        <v>984</v>
      </c>
      <c r="C2516" s="195"/>
      <c r="D2516" s="84"/>
      <c r="E2516" s="84"/>
      <c r="F2516" s="84">
        <f>(F2483+F2504+F2505+F2506+F2515)*取费表!H4</f>
        <v>2682.03009062298</v>
      </c>
    </row>
    <row r="2517" ht="17.1" customHeight="1" spans="1:6">
      <c r="A2517" s="57"/>
      <c r="B2517" s="57" t="s">
        <v>278</v>
      </c>
      <c r="C2517" s="57"/>
      <c r="D2517" s="84"/>
      <c r="E2517" s="84"/>
      <c r="F2517" s="84">
        <f>F2515+E2515+F2516</f>
        <v>92083.0331113889</v>
      </c>
    </row>
    <row r="2518" ht="17.45" customHeight="1" spans="1:6">
      <c r="A2518"/>
      <c r="B2518"/>
      <c r="C2518"/>
      <c r="D2518"/>
      <c r="E2518"/>
      <c r="F2518"/>
    </row>
    <row r="2519" ht="17.45" customHeight="1" spans="1:6">
      <c r="A2519"/>
      <c r="B2519"/>
      <c r="C2519"/>
      <c r="D2519"/>
      <c r="E2519"/>
      <c r="F2519"/>
    </row>
    <row r="2520" ht="17.45" customHeight="1" spans="1:6">
      <c r="A2520"/>
      <c r="B2520"/>
      <c r="C2520"/>
      <c r="D2520"/>
      <c r="E2520"/>
      <c r="F2520"/>
    </row>
    <row r="2521" ht="17.45" customHeight="1" spans="1:6">
      <c r="A2521"/>
      <c r="B2521"/>
      <c r="C2521"/>
      <c r="D2521"/>
      <c r="E2521"/>
      <c r="F2521"/>
    </row>
    <row r="2522" ht="17.45" customHeight="1" spans="1:6">
      <c r="A2522"/>
      <c r="B2522"/>
      <c r="C2522"/>
      <c r="D2522"/>
      <c r="E2522"/>
      <c r="F2522"/>
    </row>
    <row r="2523" ht="17.45" customHeight="1" spans="1:6">
      <c r="A2523"/>
      <c r="B2523"/>
      <c r="C2523"/>
      <c r="D2523"/>
      <c r="E2523"/>
      <c r="F2523"/>
    </row>
    <row r="2524" ht="17.45" customHeight="1" spans="1:6">
      <c r="A2524"/>
      <c r="B2524"/>
      <c r="C2524"/>
      <c r="D2524"/>
      <c r="E2524"/>
      <c r="F2524"/>
    </row>
    <row r="2525" ht="17.45" customHeight="1" spans="1:6">
      <c r="A2525"/>
      <c r="B2525"/>
      <c r="C2525"/>
      <c r="D2525"/>
      <c r="E2525"/>
      <c r="F2525"/>
    </row>
    <row r="2526" s="307" customFormat="1" ht="17.45" customHeight="1" spans="1:6">
      <c r="A2526"/>
      <c r="B2526"/>
      <c r="C2526"/>
      <c r="D2526"/>
      <c r="E2526"/>
      <c r="F2526"/>
    </row>
    <row r="2527" s="307" customFormat="1" ht="17.45" customHeight="1" spans="1:6">
      <c r="A2527"/>
      <c r="B2527"/>
      <c r="C2527"/>
      <c r="D2527"/>
      <c r="E2527"/>
      <c r="F2527"/>
    </row>
    <row r="2528" ht="17.45" customHeight="1" spans="1:6">
      <c r="A2528"/>
      <c r="B2528"/>
      <c r="C2528"/>
      <c r="D2528"/>
      <c r="E2528"/>
      <c r="F2528"/>
    </row>
    <row r="2529" ht="17.45" customHeight="1" spans="1:6">
      <c r="A2529"/>
      <c r="B2529"/>
      <c r="C2529"/>
      <c r="D2529"/>
      <c r="E2529"/>
      <c r="F2529"/>
    </row>
    <row r="2530" ht="17.45" customHeight="1" spans="1:6">
      <c r="A2530"/>
      <c r="B2530"/>
      <c r="C2530"/>
      <c r="D2530"/>
      <c r="E2530"/>
      <c r="F2530"/>
    </row>
    <row r="2531" ht="17.45" customHeight="1" spans="1:6">
      <c r="A2531"/>
      <c r="B2531"/>
      <c r="C2531"/>
      <c r="D2531"/>
      <c r="E2531"/>
      <c r="F2531"/>
    </row>
    <row r="2532" ht="17.45" customHeight="1" spans="1:6">
      <c r="A2532"/>
      <c r="B2532"/>
      <c r="C2532"/>
      <c r="D2532"/>
      <c r="E2532"/>
      <c r="F2532"/>
    </row>
    <row r="2533" ht="17.45" customHeight="1" spans="1:6">
      <c r="A2533"/>
      <c r="B2533"/>
      <c r="C2533"/>
      <c r="D2533"/>
      <c r="E2533"/>
      <c r="F2533"/>
    </row>
    <row r="2534" ht="17.45" customHeight="1" spans="1:6">
      <c r="A2534"/>
      <c r="B2534"/>
      <c r="C2534"/>
      <c r="D2534"/>
      <c r="E2534"/>
      <c r="F2534"/>
    </row>
    <row r="2535" ht="17.45" customHeight="1" spans="1:6">
      <c r="A2535"/>
      <c r="B2535"/>
      <c r="C2535"/>
      <c r="D2535"/>
      <c r="E2535"/>
      <c r="F2535"/>
    </row>
    <row r="2536" ht="17.45" customHeight="1" spans="1:6">
      <c r="A2536"/>
      <c r="B2536"/>
      <c r="C2536"/>
      <c r="D2536"/>
      <c r="E2536"/>
      <c r="F2536"/>
    </row>
    <row r="2537" ht="17.45" customHeight="1" spans="1:6">
      <c r="A2537"/>
      <c r="B2537"/>
      <c r="C2537"/>
      <c r="D2537"/>
      <c r="E2537"/>
      <c r="F2537"/>
    </row>
    <row r="2538" ht="17.45" customHeight="1" spans="1:6">
      <c r="A2538"/>
      <c r="B2538"/>
      <c r="C2538"/>
      <c r="D2538"/>
      <c r="E2538"/>
      <c r="F2538"/>
    </row>
    <row r="2539" ht="17.45" customHeight="1" spans="1:6">
      <c r="A2539"/>
      <c r="B2539"/>
      <c r="C2539"/>
      <c r="D2539"/>
      <c r="E2539"/>
      <c r="F2539"/>
    </row>
    <row r="2540" ht="17.45" customHeight="1" spans="1:6">
      <c r="A2540"/>
      <c r="B2540"/>
      <c r="C2540"/>
      <c r="D2540"/>
      <c r="E2540"/>
      <c r="F2540"/>
    </row>
    <row r="2541" ht="17.45" customHeight="1" spans="1:6">
      <c r="A2541"/>
      <c r="B2541"/>
      <c r="C2541"/>
      <c r="D2541"/>
      <c r="E2541"/>
      <c r="F2541"/>
    </row>
    <row r="2542" ht="17.45" customHeight="1" spans="1:6">
      <c r="A2542"/>
      <c r="B2542"/>
      <c r="C2542"/>
      <c r="D2542"/>
      <c r="E2542"/>
      <c r="F2542"/>
    </row>
    <row r="2543" ht="17.45" customHeight="1" spans="1:6">
      <c r="A2543"/>
      <c r="B2543"/>
      <c r="C2543"/>
      <c r="D2543"/>
      <c r="E2543"/>
      <c r="F2543"/>
    </row>
    <row r="2544" ht="17.45" customHeight="1" spans="1:6">
      <c r="A2544"/>
      <c r="B2544"/>
      <c r="C2544"/>
      <c r="D2544"/>
      <c r="E2544"/>
      <c r="F2544"/>
    </row>
    <row r="2545" ht="17.45" customHeight="1" spans="1:6">
      <c r="A2545"/>
      <c r="B2545"/>
      <c r="C2545"/>
      <c r="D2545"/>
      <c r="E2545"/>
      <c r="F2545"/>
    </row>
    <row r="2546" ht="17.45" customHeight="1" spans="1:6">
      <c r="A2546"/>
      <c r="B2546"/>
      <c r="C2546"/>
      <c r="D2546"/>
      <c r="E2546"/>
      <c r="F2546"/>
    </row>
    <row r="2547" ht="17.45" customHeight="1" spans="1:6">
      <c r="A2547"/>
      <c r="B2547"/>
      <c r="C2547"/>
      <c r="D2547"/>
      <c r="E2547"/>
      <c r="F2547"/>
    </row>
    <row r="2548" s="310" customFormat="1" ht="17.45" customHeight="1" spans="1:6">
      <c r="A2548"/>
      <c r="B2548"/>
      <c r="C2548"/>
      <c r="D2548"/>
      <c r="E2548"/>
      <c r="F2548"/>
    </row>
    <row r="2549" ht="17.45" customHeight="1" spans="1:6">
      <c r="A2549"/>
      <c r="B2549"/>
      <c r="C2549"/>
      <c r="D2549"/>
      <c r="E2549"/>
      <c r="F2549"/>
    </row>
    <row r="2550" ht="17.45" customHeight="1" spans="1:6">
      <c r="A2550"/>
      <c r="B2550"/>
      <c r="C2550"/>
      <c r="D2550"/>
      <c r="E2550"/>
      <c r="F2550"/>
    </row>
    <row r="2551" ht="17.45" customHeight="1" spans="1:6">
      <c r="A2551"/>
      <c r="B2551"/>
      <c r="C2551"/>
      <c r="D2551"/>
      <c r="E2551"/>
      <c r="F2551"/>
    </row>
    <row r="2552" ht="17.45" customHeight="1" spans="1:6">
      <c r="A2552"/>
      <c r="B2552"/>
      <c r="C2552"/>
      <c r="D2552"/>
      <c r="E2552"/>
      <c r="F2552"/>
    </row>
    <row r="2553" ht="17.45" customHeight="1" spans="1:6">
      <c r="A2553"/>
      <c r="B2553"/>
      <c r="C2553"/>
      <c r="D2553"/>
      <c r="E2553"/>
      <c r="F2553"/>
    </row>
    <row r="2554" ht="17.45" customHeight="1" spans="1:6">
      <c r="A2554"/>
      <c r="B2554"/>
      <c r="C2554"/>
      <c r="D2554"/>
      <c r="E2554"/>
      <c r="F2554"/>
    </row>
    <row r="2555" ht="17.45" customHeight="1" spans="1:6">
      <c r="A2555"/>
      <c r="B2555"/>
      <c r="C2555"/>
      <c r="D2555"/>
      <c r="E2555"/>
      <c r="F2555"/>
    </row>
    <row r="2556" ht="21.75" customHeight="1" spans="1:6">
      <c r="A2556"/>
      <c r="B2556"/>
      <c r="C2556"/>
      <c r="D2556"/>
      <c r="E2556"/>
      <c r="F2556"/>
    </row>
    <row r="2557" ht="15.95" customHeight="1" spans="1:6">
      <c r="A2557" s="176" t="s">
        <v>1204</v>
      </c>
      <c r="B2557" s="175"/>
      <c r="C2557" s="175"/>
      <c r="D2557" s="175"/>
      <c r="E2557" s="175"/>
      <c r="F2557" s="175"/>
    </row>
    <row r="2558" ht="15.95" customHeight="1" spans="1:6">
      <c r="A2558" s="247" t="s">
        <v>1390</v>
      </c>
      <c r="B2558" s="247"/>
      <c r="C2558" s="247"/>
      <c r="D2558" s="247"/>
      <c r="E2558" s="247"/>
      <c r="F2558" s="247"/>
    </row>
    <row r="2559" ht="15.95" customHeight="1" spans="1:6">
      <c r="A2559" s="191" t="s">
        <v>1391</v>
      </c>
      <c r="B2559" s="191"/>
      <c r="C2559" s="168"/>
      <c r="D2559" s="168"/>
      <c r="E2559" s="191" t="s">
        <v>1392</v>
      </c>
      <c r="F2559" s="191"/>
    </row>
    <row r="2560" ht="15.95" customHeight="1" spans="1:6">
      <c r="A2560" s="117" t="s">
        <v>1218</v>
      </c>
      <c r="B2560" s="192"/>
      <c r="C2560" s="192"/>
      <c r="D2560" s="192"/>
      <c r="E2560" s="192"/>
      <c r="F2560" s="118"/>
    </row>
    <row r="2561" ht="15.95" customHeight="1" spans="1:6">
      <c r="A2561" s="57" t="s">
        <v>354</v>
      </c>
      <c r="B2561" s="57" t="s">
        <v>956</v>
      </c>
      <c r="C2561" s="57" t="s">
        <v>52</v>
      </c>
      <c r="D2561" s="57" t="s">
        <v>855</v>
      </c>
      <c r="E2561" s="57" t="s">
        <v>53</v>
      </c>
      <c r="F2561" s="57" t="s">
        <v>306</v>
      </c>
    </row>
    <row r="2562" ht="15.95" customHeight="1" spans="1:6">
      <c r="A2562" s="57" t="s">
        <v>959</v>
      </c>
      <c r="B2562" s="57" t="s">
        <v>960</v>
      </c>
      <c r="C2562" s="57"/>
      <c r="D2562" s="57"/>
      <c r="E2562" s="57"/>
      <c r="F2562" s="84">
        <f>F2563+F2571+F2572</f>
        <v>11466.750992547</v>
      </c>
    </row>
    <row r="2563" ht="15.95" customHeight="1" spans="1:6">
      <c r="A2563" s="57" t="s">
        <v>59</v>
      </c>
      <c r="B2563" s="57" t="s">
        <v>957</v>
      </c>
      <c r="C2563" s="57"/>
      <c r="D2563" s="57"/>
      <c r="E2563" s="57"/>
      <c r="F2563" s="196">
        <f>F2564+F2567</f>
        <v>10941.5562905983</v>
      </c>
    </row>
    <row r="2564" ht="15.95" customHeight="1" spans="1:6">
      <c r="A2564" s="57">
        <v>1</v>
      </c>
      <c r="B2564" s="57" t="s">
        <v>964</v>
      </c>
      <c r="C2564" s="57" t="s">
        <v>965</v>
      </c>
      <c r="D2564" s="84"/>
      <c r="E2564" s="92">
        <f>SUM(E2565:E2566)</f>
        <v>156.1</v>
      </c>
      <c r="F2564" s="113">
        <f>SUM(F2565:F2566)</f>
        <v>1160.958</v>
      </c>
    </row>
    <row r="2565" ht="15.95" customHeight="1" spans="1:6">
      <c r="A2565" s="57"/>
      <c r="B2565" s="57" t="s">
        <v>966</v>
      </c>
      <c r="C2565" s="57" t="s">
        <v>965</v>
      </c>
      <c r="D2565" s="113">
        <f>建筑工程单价分析表!D577</f>
        <v>8.1</v>
      </c>
      <c r="E2565" s="92">
        <v>111.7</v>
      </c>
      <c r="F2565" s="113">
        <f t="shared" ref="F2565:F2569" si="298">D2565*E2565</f>
        <v>904.77</v>
      </c>
    </row>
    <row r="2566" ht="15.95" customHeight="1" spans="1:6">
      <c r="A2566" s="57"/>
      <c r="B2566" s="57" t="s">
        <v>968</v>
      </c>
      <c r="C2566" s="57" t="s">
        <v>965</v>
      </c>
      <c r="D2566" s="113">
        <f>建筑工程单价分析表!D578</f>
        <v>5.77</v>
      </c>
      <c r="E2566" s="92">
        <v>44.4</v>
      </c>
      <c r="F2566" s="113">
        <f t="shared" si="298"/>
        <v>256.188</v>
      </c>
    </row>
    <row r="2567" ht="15.95" customHeight="1" spans="1:6">
      <c r="A2567" s="57">
        <v>2</v>
      </c>
      <c r="B2567" s="57" t="s">
        <v>1219</v>
      </c>
      <c r="C2567" s="59"/>
      <c r="D2567" s="84"/>
      <c r="E2567" s="84"/>
      <c r="F2567" s="84">
        <f>SUM(F2568:F2569)</f>
        <v>9780.59829059829</v>
      </c>
    </row>
    <row r="2568" ht="15.95" customHeight="1" spans="1:6">
      <c r="A2568" s="57"/>
      <c r="B2568" s="260" t="s">
        <v>1393</v>
      </c>
      <c r="C2568" s="59" t="s">
        <v>90</v>
      </c>
      <c r="D2568" s="84">
        <f>110/(1+17%)</f>
        <v>94.017094017094</v>
      </c>
      <c r="E2568" s="84">
        <v>103</v>
      </c>
      <c r="F2568" s="84">
        <f t="shared" si="298"/>
        <v>9683.76068376068</v>
      </c>
    </row>
    <row r="2569" ht="15.95" customHeight="1" spans="1:6">
      <c r="A2569" s="57"/>
      <c r="B2569" s="57" t="s">
        <v>1163</v>
      </c>
      <c r="C2569" s="59" t="s">
        <v>423</v>
      </c>
      <c r="D2569" s="252">
        <f>SUM(F2568:F2568)</f>
        <v>9683.76068376068</v>
      </c>
      <c r="E2569" s="100">
        <v>0.01</v>
      </c>
      <c r="F2569" s="84">
        <f t="shared" si="298"/>
        <v>96.8376068376068</v>
      </c>
    </row>
    <row r="2570" ht="15.95" customHeight="1" spans="1:6">
      <c r="A2570" s="57">
        <v>3</v>
      </c>
      <c r="B2570" s="57" t="s">
        <v>1171</v>
      </c>
      <c r="C2570" s="59"/>
      <c r="D2570" s="84"/>
      <c r="E2570" s="84"/>
      <c r="F2570" s="84">
        <v>0</v>
      </c>
    </row>
    <row r="2571" ht="15.95" customHeight="1" spans="1:6">
      <c r="A2571" s="57" t="s">
        <v>70</v>
      </c>
      <c r="B2571" s="57" t="s">
        <v>977</v>
      </c>
      <c r="C2571" s="194">
        <f t="shared" ref="C2571:C2575" si="299">C2592</f>
        <v>0.048</v>
      </c>
      <c r="D2571" s="84"/>
      <c r="E2571" s="84">
        <f>F2563</f>
        <v>10941.5562905983</v>
      </c>
      <c r="F2571" s="84">
        <f t="shared" ref="F2571:F2575" si="300">E2571*C2571</f>
        <v>525.194701948718</v>
      </c>
    </row>
    <row r="2572" ht="15.95" customHeight="1" spans="1:6">
      <c r="A2572" s="57"/>
      <c r="B2572" s="57"/>
      <c r="C2572" s="194"/>
      <c r="D2572" s="84"/>
      <c r="E2572" s="84"/>
      <c r="F2572" s="84"/>
    </row>
    <row r="2573" ht="15.95" customHeight="1" spans="1:6">
      <c r="A2573" s="57" t="s">
        <v>979</v>
      </c>
      <c r="B2573" s="57" t="s">
        <v>973</v>
      </c>
      <c r="C2573" s="194">
        <f t="shared" si="299"/>
        <v>0.07</v>
      </c>
      <c r="D2573" s="84"/>
      <c r="E2573" s="84">
        <f>F2562</f>
        <v>11466.750992547</v>
      </c>
      <c r="F2573" s="84">
        <f t="shared" si="300"/>
        <v>802.672569478291</v>
      </c>
    </row>
    <row r="2574" ht="15.95" customHeight="1" spans="1:6">
      <c r="A2574" s="57" t="s">
        <v>162</v>
      </c>
      <c r="B2574" s="57" t="s">
        <v>980</v>
      </c>
      <c r="C2574" s="194">
        <f t="shared" si="299"/>
        <v>0.07</v>
      </c>
      <c r="D2574" s="84"/>
      <c r="E2574" s="84">
        <f>F2573+F2562</f>
        <v>12269.4235620253</v>
      </c>
      <c r="F2574" s="84">
        <f t="shared" si="300"/>
        <v>858.859649341771</v>
      </c>
    </row>
    <row r="2575" ht="15.95" customHeight="1" spans="1:6">
      <c r="A2575" s="57" t="s">
        <v>214</v>
      </c>
      <c r="B2575" s="57" t="s">
        <v>976</v>
      </c>
      <c r="C2575" s="194">
        <f t="shared" si="299"/>
        <v>0.09</v>
      </c>
      <c r="D2575" s="84"/>
      <c r="E2575" s="84">
        <f>F2574+F2573+F2562</f>
        <v>13128.2832113671</v>
      </c>
      <c r="F2575" s="84">
        <f t="shared" si="300"/>
        <v>1181.54548902304</v>
      </c>
    </row>
    <row r="2576" ht="15.95" customHeight="1" spans="1:6">
      <c r="A2576" s="57"/>
      <c r="B2576" s="57" t="s">
        <v>984</v>
      </c>
      <c r="C2576" s="195"/>
      <c r="D2576" s="84"/>
      <c r="E2576" s="84"/>
      <c r="F2576" s="84">
        <f>(F2562+F2573+F2574+F2575)*取费表!H12</f>
        <v>429.294861011703</v>
      </c>
    </row>
    <row r="2577" ht="15.95" customHeight="1" spans="1:6">
      <c r="A2577" s="57"/>
      <c r="B2577" s="57" t="s">
        <v>278</v>
      </c>
      <c r="C2577" s="57"/>
      <c r="D2577" s="84"/>
      <c r="E2577" s="84"/>
      <c r="F2577" s="84">
        <f>F2575+E2575+F2576</f>
        <v>14739.1235614018</v>
      </c>
    </row>
    <row r="2578" ht="15.95" customHeight="1" spans="1:6">
      <c r="A2578" s="176" t="s">
        <v>1204</v>
      </c>
      <c r="B2578" s="175"/>
      <c r="C2578" s="175"/>
      <c r="D2578" s="175"/>
      <c r="E2578" s="175"/>
      <c r="F2578" s="175"/>
    </row>
    <row r="2579" ht="15.95" customHeight="1" spans="1:6">
      <c r="A2579" s="247" t="s">
        <v>1394</v>
      </c>
      <c r="B2579" s="247"/>
      <c r="C2579" s="247"/>
      <c r="D2579" s="247"/>
      <c r="E2579" s="247"/>
      <c r="F2579" s="247"/>
    </row>
    <row r="2580" ht="15.95" customHeight="1" spans="1:6">
      <c r="A2580" s="334" t="s">
        <v>1391</v>
      </c>
      <c r="B2580" s="191"/>
      <c r="C2580" s="168"/>
      <c r="D2580" s="168"/>
      <c r="E2580" s="191" t="s">
        <v>1392</v>
      </c>
      <c r="F2580" s="191"/>
    </row>
    <row r="2581" ht="15.95" customHeight="1" spans="1:6">
      <c r="A2581" s="117" t="s">
        <v>1218</v>
      </c>
      <c r="B2581" s="192"/>
      <c r="C2581" s="192"/>
      <c r="D2581" s="192"/>
      <c r="E2581" s="192"/>
      <c r="F2581" s="118"/>
    </row>
    <row r="2582" ht="15.95" customHeight="1" spans="1:6">
      <c r="A2582" s="57" t="s">
        <v>354</v>
      </c>
      <c r="B2582" s="57" t="s">
        <v>956</v>
      </c>
      <c r="C2582" s="57" t="s">
        <v>52</v>
      </c>
      <c r="D2582" s="57" t="s">
        <v>855</v>
      </c>
      <c r="E2582" s="57" t="s">
        <v>53</v>
      </c>
      <c r="F2582" s="57" t="s">
        <v>306</v>
      </c>
    </row>
    <row r="2583" ht="15.95" customHeight="1" spans="1:6">
      <c r="A2583" s="57" t="s">
        <v>959</v>
      </c>
      <c r="B2583" s="57" t="s">
        <v>960</v>
      </c>
      <c r="C2583" s="57"/>
      <c r="D2583" s="57"/>
      <c r="E2583" s="57"/>
      <c r="F2583" s="84">
        <f>F2584+F2592+F2593</f>
        <v>12793.8830776</v>
      </c>
    </row>
    <row r="2584" ht="15.95" customHeight="1" spans="1:6">
      <c r="A2584" s="57" t="s">
        <v>59</v>
      </c>
      <c r="B2584" s="57" t="s">
        <v>957</v>
      </c>
      <c r="C2584" s="57"/>
      <c r="D2584" s="57"/>
      <c r="E2584" s="57"/>
      <c r="F2584" s="196">
        <f>F2585+F2588</f>
        <v>12207.9037</v>
      </c>
    </row>
    <row r="2585" ht="15.95" customHeight="1" spans="1:6">
      <c r="A2585" s="57">
        <v>1</v>
      </c>
      <c r="B2585" s="57" t="s">
        <v>964</v>
      </c>
      <c r="C2585" s="57" t="s">
        <v>965</v>
      </c>
      <c r="D2585" s="84"/>
      <c r="E2585" s="92">
        <f>SUM(E2586:E2587)</f>
        <v>156.1</v>
      </c>
      <c r="F2585" s="113">
        <f>SUM(F2586:F2587)</f>
        <v>1160.958</v>
      </c>
    </row>
    <row r="2586" s="307" customFormat="1" ht="15.95" customHeight="1" spans="1:6">
      <c r="A2586" s="57"/>
      <c r="B2586" s="57" t="s">
        <v>966</v>
      </c>
      <c r="C2586" s="57" t="s">
        <v>965</v>
      </c>
      <c r="D2586" s="113">
        <f>建筑工程单价分析表!D577</f>
        <v>8.1</v>
      </c>
      <c r="E2586" s="92">
        <v>111.7</v>
      </c>
      <c r="F2586" s="113">
        <f t="shared" ref="F2586:F2590" si="301">D2586*E2586</f>
        <v>904.77</v>
      </c>
    </row>
    <row r="2587" s="307" customFormat="1" ht="15.95" customHeight="1" spans="1:6">
      <c r="A2587" s="57"/>
      <c r="B2587" s="57" t="s">
        <v>968</v>
      </c>
      <c r="C2587" s="57" t="s">
        <v>965</v>
      </c>
      <c r="D2587" s="113">
        <f>建筑工程单价分析表!D578</f>
        <v>5.77</v>
      </c>
      <c r="E2587" s="92">
        <v>44.4</v>
      </c>
      <c r="F2587" s="113">
        <f t="shared" si="301"/>
        <v>256.188</v>
      </c>
    </row>
    <row r="2588" ht="15.95" customHeight="1" spans="1:6">
      <c r="A2588" s="57">
        <v>2</v>
      </c>
      <c r="B2588" s="57" t="s">
        <v>1219</v>
      </c>
      <c r="C2588" s="59"/>
      <c r="D2588" s="84"/>
      <c r="E2588" s="84"/>
      <c r="F2588" s="84">
        <f>SUM(F2589:F2590)</f>
        <v>11046.9457</v>
      </c>
    </row>
    <row r="2589" ht="15.95" customHeight="1" spans="1:6">
      <c r="A2589" s="57"/>
      <c r="B2589" s="244" t="s">
        <v>1395</v>
      </c>
      <c r="C2589" s="59" t="s">
        <v>90</v>
      </c>
      <c r="D2589" s="84">
        <v>106.19</v>
      </c>
      <c r="E2589" s="84">
        <v>103</v>
      </c>
      <c r="F2589" s="84">
        <f t="shared" si="301"/>
        <v>10937.57</v>
      </c>
    </row>
    <row r="2590" ht="15.95" customHeight="1" spans="1:6">
      <c r="A2590" s="57"/>
      <c r="B2590" s="57" t="s">
        <v>1163</v>
      </c>
      <c r="C2590" s="59" t="s">
        <v>423</v>
      </c>
      <c r="D2590" s="252">
        <f>SUM(F2589:F2589)</f>
        <v>10937.57</v>
      </c>
      <c r="E2590" s="100">
        <v>0.01</v>
      </c>
      <c r="F2590" s="84">
        <f t="shared" si="301"/>
        <v>109.3757</v>
      </c>
    </row>
    <row r="2591" ht="15.95" customHeight="1" spans="1:6">
      <c r="A2591" s="57">
        <v>3</v>
      </c>
      <c r="B2591" s="57" t="s">
        <v>1171</v>
      </c>
      <c r="C2591" s="59"/>
      <c r="D2591" s="84"/>
      <c r="E2591" s="84"/>
      <c r="F2591" s="84">
        <v>0</v>
      </c>
    </row>
    <row r="2592" ht="15.95" customHeight="1" spans="1:6">
      <c r="A2592" s="57" t="s">
        <v>70</v>
      </c>
      <c r="B2592" s="57" t="s">
        <v>977</v>
      </c>
      <c r="C2592" s="194">
        <f>取费表!$C$7</f>
        <v>0.048</v>
      </c>
      <c r="D2592" s="84"/>
      <c r="E2592" s="84">
        <f>F2584</f>
        <v>12207.9037</v>
      </c>
      <c r="F2592" s="84">
        <f t="shared" ref="F2592:F2596" si="302">E2592*C2592</f>
        <v>585.9793776</v>
      </c>
    </row>
    <row r="2593" ht="15.95" customHeight="1" spans="1:6">
      <c r="A2593" s="57"/>
      <c r="B2593" s="57"/>
      <c r="C2593" s="194"/>
      <c r="D2593" s="84"/>
      <c r="E2593" s="84"/>
      <c r="F2593" s="84"/>
    </row>
    <row r="2594" ht="15.95" customHeight="1" spans="1:6">
      <c r="A2594" s="57" t="s">
        <v>979</v>
      </c>
      <c r="B2594" s="57" t="s">
        <v>973</v>
      </c>
      <c r="C2594" s="194">
        <f>取费表!$E$7</f>
        <v>0.07</v>
      </c>
      <c r="D2594" s="84"/>
      <c r="E2594" s="84">
        <f>F2583</f>
        <v>12793.8830776</v>
      </c>
      <c r="F2594" s="84">
        <f t="shared" si="302"/>
        <v>895.571815432</v>
      </c>
    </row>
    <row r="2595" ht="15.95" customHeight="1" spans="1:6">
      <c r="A2595" s="57" t="s">
        <v>162</v>
      </c>
      <c r="B2595" s="57" t="s">
        <v>980</v>
      </c>
      <c r="C2595" s="194">
        <f>取费表!$F$7</f>
        <v>0.07</v>
      </c>
      <c r="D2595" s="84"/>
      <c r="E2595" s="84">
        <f>F2594+F2583</f>
        <v>13689.454893032</v>
      </c>
      <c r="F2595" s="84">
        <f t="shared" si="302"/>
        <v>958.26184251224</v>
      </c>
    </row>
    <row r="2596" ht="15.95" customHeight="1" spans="1:6">
      <c r="A2596" s="57" t="s">
        <v>214</v>
      </c>
      <c r="B2596" s="57" t="s">
        <v>976</v>
      </c>
      <c r="C2596" s="195">
        <f>建筑工程单价分析表!C605</f>
        <v>0.09</v>
      </c>
      <c r="D2596" s="84"/>
      <c r="E2596" s="84">
        <f>F2595+F2594+F2583</f>
        <v>14647.7167355442</v>
      </c>
      <c r="F2596" s="84">
        <f t="shared" si="302"/>
        <v>1318.29450619898</v>
      </c>
    </row>
    <row r="2597" ht="15.95" customHeight="1" spans="1:6">
      <c r="A2597" s="57"/>
      <c r="B2597" s="57" t="s">
        <v>984</v>
      </c>
      <c r="C2597" s="195"/>
      <c r="D2597" s="84"/>
      <c r="E2597" s="84"/>
      <c r="F2597" s="84">
        <f>(F2583+F2594+F2595+F2596)*取费表!H4</f>
        <v>478.980337252297</v>
      </c>
    </row>
    <row r="2598" ht="15.95" customHeight="1" spans="1:6">
      <c r="A2598" s="57"/>
      <c r="B2598" s="57" t="s">
        <v>278</v>
      </c>
      <c r="C2598" s="57"/>
      <c r="D2598" s="84"/>
      <c r="E2598" s="84"/>
      <c r="F2598" s="84">
        <f>F2596+E2596+F2597</f>
        <v>16444.9915789955</v>
      </c>
    </row>
    <row r="2599" ht="15.95" customHeight="1" spans="1:6">
      <c r="A2599" s="168"/>
      <c r="B2599" s="168"/>
      <c r="C2599" s="168"/>
      <c r="D2599" s="327"/>
      <c r="E2599" s="327"/>
      <c r="F2599" s="327"/>
    </row>
    <row r="2600" ht="13.7" customHeight="1" spans="1:6">
      <c r="A2600" s="176" t="s">
        <v>1204</v>
      </c>
      <c r="B2600" s="175"/>
      <c r="C2600" s="175"/>
      <c r="D2600" s="175"/>
      <c r="E2600" s="175"/>
      <c r="F2600" s="175"/>
    </row>
    <row r="2601" ht="13.7" customHeight="1" spans="1:6">
      <c r="A2601" s="323" t="s">
        <v>1396</v>
      </c>
      <c r="B2601" s="168"/>
      <c r="C2601" s="168"/>
      <c r="D2601" s="168"/>
      <c r="E2601" s="168"/>
      <c r="F2601" s="168"/>
    </row>
    <row r="2602" ht="13.7" customHeight="1" spans="1:6">
      <c r="A2602" s="191" t="s">
        <v>1397</v>
      </c>
      <c r="B2602" s="191"/>
      <c r="C2602" s="168"/>
      <c r="D2602" s="168"/>
      <c r="E2602" s="191" t="s">
        <v>1398</v>
      </c>
      <c r="F2602" s="191"/>
    </row>
    <row r="2603" ht="13.7" customHeight="1" spans="1:6">
      <c r="A2603" s="117" t="s">
        <v>1399</v>
      </c>
      <c r="B2603" s="192"/>
      <c r="C2603" s="192"/>
      <c r="D2603" s="192"/>
      <c r="E2603" s="192"/>
      <c r="F2603" s="118"/>
    </row>
    <row r="2604" ht="13.7" customHeight="1" spans="1:6">
      <c r="A2604" s="57" t="s">
        <v>354</v>
      </c>
      <c r="B2604" s="57" t="s">
        <v>956</v>
      </c>
      <c r="C2604" s="57" t="s">
        <v>52</v>
      </c>
      <c r="D2604" s="57" t="s">
        <v>855</v>
      </c>
      <c r="E2604" s="57" t="s">
        <v>53</v>
      </c>
      <c r="F2604" s="57" t="s">
        <v>306</v>
      </c>
    </row>
    <row r="2605" ht="13.7" customHeight="1" spans="1:6">
      <c r="A2605" s="57" t="s">
        <v>959</v>
      </c>
      <c r="B2605" s="57" t="s">
        <v>960</v>
      </c>
      <c r="C2605" s="57"/>
      <c r="D2605" s="57"/>
      <c r="E2605" s="57"/>
      <c r="F2605" s="84">
        <f>F2606+F2616</f>
        <v>1241.20383041552</v>
      </c>
    </row>
    <row r="2606" ht="13.7" customHeight="1" spans="1:6">
      <c r="A2606" s="57" t="s">
        <v>59</v>
      </c>
      <c r="B2606" s="57" t="s">
        <v>957</v>
      </c>
      <c r="C2606" s="57"/>
      <c r="D2606" s="57"/>
      <c r="E2606" s="57"/>
      <c r="F2606" s="84">
        <f>F2607+F2610+F2614</f>
        <v>1184.35480001481</v>
      </c>
    </row>
    <row r="2607" ht="13.7" customHeight="1" spans="1:6">
      <c r="A2607" s="57">
        <v>1</v>
      </c>
      <c r="B2607" s="57" t="s">
        <v>964</v>
      </c>
      <c r="C2607" s="57" t="s">
        <v>965</v>
      </c>
      <c r="D2607" s="257"/>
      <c r="E2607" s="92">
        <f>SUM(E2608:E2609)</f>
        <v>93.8</v>
      </c>
      <c r="F2607" s="113">
        <f>SUM(F2608:F2609)</f>
        <v>697.569</v>
      </c>
    </row>
    <row r="2608" s="307" customFormat="1" ht="13.7" customHeight="1" spans="1:6">
      <c r="A2608" s="57"/>
      <c r="B2608" s="57" t="s">
        <v>966</v>
      </c>
      <c r="C2608" s="57" t="s">
        <v>965</v>
      </c>
      <c r="D2608" s="113">
        <f>D2586</f>
        <v>8.1</v>
      </c>
      <c r="E2608" s="92">
        <v>67.1</v>
      </c>
      <c r="F2608" s="113">
        <f t="shared" ref="F2608:F2612" si="303">D2608*E2608</f>
        <v>543.51</v>
      </c>
    </row>
    <row r="2609" s="307" customFormat="1" ht="13.7" customHeight="1" spans="1:6">
      <c r="A2609" s="57"/>
      <c r="B2609" s="57" t="s">
        <v>968</v>
      </c>
      <c r="C2609" s="57" t="s">
        <v>965</v>
      </c>
      <c r="D2609" s="113">
        <f>D2587</f>
        <v>5.77</v>
      </c>
      <c r="E2609" s="92">
        <v>26.7</v>
      </c>
      <c r="F2609" s="113">
        <f t="shared" si="303"/>
        <v>154.059</v>
      </c>
    </row>
    <row r="2610" ht="13.7" customHeight="1" spans="1:6">
      <c r="A2610" s="57">
        <v>2</v>
      </c>
      <c r="B2610" s="57" t="s">
        <v>1219</v>
      </c>
      <c r="C2610" s="248"/>
      <c r="D2610" s="57"/>
      <c r="E2610" s="57"/>
      <c r="F2610" s="113">
        <f>SUM(F2611:F2613)</f>
        <v>481.25574816</v>
      </c>
    </row>
    <row r="2611" ht="13.7" customHeight="1" spans="1:6">
      <c r="A2611" s="57"/>
      <c r="B2611" s="248" t="s">
        <v>1255</v>
      </c>
      <c r="C2611" s="345" t="s">
        <v>1226</v>
      </c>
      <c r="D2611" s="113">
        <f>配合比!M15</f>
        <v>144.68621</v>
      </c>
      <c r="E2611" s="57">
        <v>3.2</v>
      </c>
      <c r="F2611" s="113">
        <f t="shared" si="303"/>
        <v>462.995872</v>
      </c>
    </row>
    <row r="2612" ht="13.7" customHeight="1" spans="1:6">
      <c r="A2612" s="57"/>
      <c r="B2612" s="57" t="s">
        <v>1022</v>
      </c>
      <c r="C2612" s="57" t="s">
        <v>1188</v>
      </c>
      <c r="D2612" s="113">
        <f>材料预算价!K14</f>
        <v>4.37</v>
      </c>
      <c r="E2612" s="84">
        <v>1</v>
      </c>
      <c r="F2612" s="84">
        <f t="shared" si="303"/>
        <v>4.37</v>
      </c>
    </row>
    <row r="2613" ht="13.7" customHeight="1" spans="1:6">
      <c r="A2613" s="57"/>
      <c r="B2613" s="57" t="s">
        <v>1248</v>
      </c>
      <c r="C2613" s="59" t="s">
        <v>423</v>
      </c>
      <c r="D2613" s="113">
        <f>SUM(F2611:F2611)</f>
        <v>462.995872</v>
      </c>
      <c r="E2613" s="57">
        <v>3</v>
      </c>
      <c r="F2613" s="113">
        <f>D2613*E2613/100</f>
        <v>13.88987616</v>
      </c>
    </row>
    <row r="2614" ht="13.7" customHeight="1" spans="1:6">
      <c r="A2614" s="57">
        <v>3</v>
      </c>
      <c r="B2614" s="57" t="s">
        <v>1171</v>
      </c>
      <c r="C2614" s="57"/>
      <c r="D2614" s="57"/>
      <c r="E2614" s="57"/>
      <c r="F2614" s="113">
        <f>SUM(F2615:F2615)</f>
        <v>5.53005185480654</v>
      </c>
    </row>
    <row r="2615" ht="13.7" customHeight="1" spans="1:6">
      <c r="A2615" s="57"/>
      <c r="B2615" s="57" t="s">
        <v>1190</v>
      </c>
      <c r="C2615" s="248" t="s">
        <v>988</v>
      </c>
      <c r="D2615" s="84">
        <f>台时!C42</f>
        <v>0.813242919824491</v>
      </c>
      <c r="E2615" s="57">
        <v>6.8</v>
      </c>
      <c r="F2615" s="113">
        <f>D2615*E2615</f>
        <v>5.53005185480654</v>
      </c>
    </row>
    <row r="2616" ht="13.7" customHeight="1" spans="1:6">
      <c r="A2616" s="57" t="s">
        <v>70</v>
      </c>
      <c r="B2616" s="57" t="s">
        <v>977</v>
      </c>
      <c r="C2616" s="194">
        <f>取费表!$C$7</f>
        <v>0.048</v>
      </c>
      <c r="D2616" s="257"/>
      <c r="E2616" s="84">
        <f>F2606</f>
        <v>1184.35480001481</v>
      </c>
      <c r="F2616" s="113">
        <f t="shared" ref="F2616:F2618" si="304">E2616*C2616</f>
        <v>56.8490304007107</v>
      </c>
    </row>
    <row r="2617" ht="13.7" customHeight="1" spans="1:6">
      <c r="A2617" s="57" t="s">
        <v>979</v>
      </c>
      <c r="B2617" s="57" t="s">
        <v>973</v>
      </c>
      <c r="C2617" s="194">
        <f>取费表!$E$7</f>
        <v>0.07</v>
      </c>
      <c r="D2617" s="257"/>
      <c r="E2617" s="84">
        <f>F2605</f>
        <v>1241.20383041552</v>
      </c>
      <c r="F2617" s="113">
        <f t="shared" si="304"/>
        <v>86.8842681290862</v>
      </c>
    </row>
    <row r="2618" ht="13.7" customHeight="1" spans="1:6">
      <c r="A2618" s="57" t="s">
        <v>162</v>
      </c>
      <c r="B2618" s="57" t="s">
        <v>980</v>
      </c>
      <c r="C2618" s="194">
        <f>取费表!$F$7</f>
        <v>0.07</v>
      </c>
      <c r="D2618" s="257"/>
      <c r="E2618" s="84">
        <f>F2617+F2605</f>
        <v>1328.0880985446</v>
      </c>
      <c r="F2618" s="113">
        <f t="shared" si="304"/>
        <v>92.9661668981222</v>
      </c>
    </row>
    <row r="2619" ht="13.7" customHeight="1" spans="1:6">
      <c r="A2619" s="57" t="s">
        <v>214</v>
      </c>
      <c r="B2619" s="57" t="s">
        <v>1173</v>
      </c>
      <c r="C2619" s="59"/>
      <c r="D2619" s="57"/>
      <c r="E2619" s="57"/>
      <c r="F2619" s="113">
        <f>SUM(F2620:F2621)</f>
        <v>131.4774930912</v>
      </c>
    </row>
    <row r="2620" ht="13.7" customHeight="1" spans="1:6">
      <c r="A2620" s="57"/>
      <c r="B2620" s="57" t="s">
        <v>1141</v>
      </c>
      <c r="C2620" s="57" t="s">
        <v>1188</v>
      </c>
      <c r="D2620" s="84">
        <f>材料预算价!K5-材料预算价!L5</f>
        <v>156.64017</v>
      </c>
      <c r="E2620" s="88">
        <f>E2611*配合比!E15</f>
        <v>0.83936</v>
      </c>
      <c r="F2620" s="113">
        <f>E2620*D2620</f>
        <v>131.4774930912</v>
      </c>
    </row>
    <row r="2621" ht="13.7" customHeight="1" spans="1:6">
      <c r="A2621" s="57"/>
      <c r="B2621" s="57" t="s">
        <v>1142</v>
      </c>
      <c r="C2621" s="57" t="s">
        <v>1188</v>
      </c>
      <c r="D2621" s="84"/>
      <c r="E2621" s="57">
        <f>E2611*配合比!G15</f>
        <v>3.52</v>
      </c>
      <c r="F2621" s="113">
        <f>E2621*D2621</f>
        <v>0</v>
      </c>
    </row>
    <row r="2622" ht="13.7" customHeight="1" spans="1:6">
      <c r="A2622" s="57" t="s">
        <v>327</v>
      </c>
      <c r="B2622" s="57" t="s">
        <v>976</v>
      </c>
      <c r="C2622" s="195">
        <f>C2596</f>
        <v>0.09</v>
      </c>
      <c r="D2622" s="57"/>
      <c r="E2622" s="84">
        <f>F2619+F2618+F2617+F2605</f>
        <v>1552.53175853393</v>
      </c>
      <c r="F2622" s="113">
        <f>E2622*C2622</f>
        <v>139.727858268053</v>
      </c>
    </row>
    <row r="2623" ht="13.7" customHeight="1" spans="1:6">
      <c r="A2623" s="57"/>
      <c r="B2623" s="57" t="s">
        <v>984</v>
      </c>
      <c r="C2623" s="195"/>
      <c r="D2623" s="57"/>
      <c r="E2623" s="84"/>
      <c r="F2623" s="113">
        <f>(F2605+F2617+F2618+F2619+F2622)*取费表!H4</f>
        <v>50.7677885040594</v>
      </c>
    </row>
    <row r="2624" ht="13.7" customHeight="1" spans="1:6">
      <c r="A2624" s="57"/>
      <c r="B2624" s="57" t="s">
        <v>278</v>
      </c>
      <c r="C2624" s="57"/>
      <c r="D2624" s="57"/>
      <c r="E2624" s="57"/>
      <c r="F2624" s="113">
        <f>F2622+E2622+F2623</f>
        <v>1743.02740530604</v>
      </c>
    </row>
    <row r="2625" ht="13.7" customHeight="1" spans="1:6">
      <c r="A2625" s="242" t="s">
        <v>1400</v>
      </c>
      <c r="C2625" s="243"/>
      <c r="D2625" s="243"/>
      <c r="E2625" s="243"/>
      <c r="F2625" s="243"/>
    </row>
    <row r="2626" ht="13.7" customHeight="1" spans="1:6">
      <c r="A2626" s="334" t="s">
        <v>1401</v>
      </c>
      <c r="B2626" s="334"/>
      <c r="C2626" s="168"/>
      <c r="D2626" s="168"/>
      <c r="E2626" s="191" t="s">
        <v>1402</v>
      </c>
      <c r="F2626" s="191"/>
    </row>
    <row r="2627" ht="13.7" customHeight="1" spans="1:6">
      <c r="A2627" s="117" t="s">
        <v>1218</v>
      </c>
      <c r="B2627" s="192"/>
      <c r="C2627" s="192"/>
      <c r="D2627" s="192"/>
      <c r="E2627" s="192"/>
      <c r="F2627" s="118"/>
    </row>
    <row r="2628" ht="13.7" customHeight="1" spans="1:6">
      <c r="A2628" s="57" t="s">
        <v>354</v>
      </c>
      <c r="B2628" s="57" t="s">
        <v>956</v>
      </c>
      <c r="C2628" s="57" t="s">
        <v>52</v>
      </c>
      <c r="D2628" s="57" t="s">
        <v>855</v>
      </c>
      <c r="E2628" s="57" t="s">
        <v>53</v>
      </c>
      <c r="F2628" s="57" t="s">
        <v>306</v>
      </c>
    </row>
    <row r="2629" ht="13.7" customHeight="1" spans="1:6">
      <c r="A2629" s="57" t="s">
        <v>959</v>
      </c>
      <c r="B2629" s="57" t="s">
        <v>960</v>
      </c>
      <c r="C2629" s="57"/>
      <c r="D2629" s="57"/>
      <c r="E2629" s="57"/>
      <c r="F2629" s="84">
        <f>F2630+F2641</f>
        <v>6214.160774752</v>
      </c>
    </row>
    <row r="2630" ht="13.7" customHeight="1" spans="1:6">
      <c r="A2630" s="57" t="s">
        <v>59</v>
      </c>
      <c r="B2630" s="57" t="s">
        <v>957</v>
      </c>
      <c r="C2630" s="57"/>
      <c r="D2630" s="57"/>
      <c r="E2630" s="57"/>
      <c r="F2630" s="84">
        <f>F2631+F2634</f>
        <v>5929.542724</v>
      </c>
    </row>
    <row r="2631" ht="13.7" customHeight="1" spans="1:6">
      <c r="A2631" s="57">
        <v>1</v>
      </c>
      <c r="B2631" s="57" t="s">
        <v>964</v>
      </c>
      <c r="C2631" s="57" t="s">
        <v>965</v>
      </c>
      <c r="D2631" s="84"/>
      <c r="E2631" s="92">
        <f>SUM(E2632:E2633)</f>
        <v>304.00304</v>
      </c>
      <c r="F2631" s="113">
        <f>SUM(F2632:F2633)</f>
        <v>2264.141624</v>
      </c>
    </row>
    <row r="2632" s="307" customFormat="1" ht="13.7" customHeight="1" spans="1:6">
      <c r="A2632" s="57"/>
      <c r="B2632" s="57" t="s">
        <v>966</v>
      </c>
      <c r="C2632" s="57" t="s">
        <v>965</v>
      </c>
      <c r="D2632" s="113">
        <f>D2608</f>
        <v>8.1</v>
      </c>
      <c r="E2632" s="92">
        <v>218.90304</v>
      </c>
      <c r="F2632" s="113">
        <f t="shared" ref="F2632:F2639" si="305">D2632*E2632</f>
        <v>1773.114624</v>
      </c>
    </row>
    <row r="2633" s="307" customFormat="1" ht="13.7" customHeight="1" spans="1:6">
      <c r="A2633" s="57"/>
      <c r="B2633" s="57" t="s">
        <v>968</v>
      </c>
      <c r="C2633" s="57" t="s">
        <v>965</v>
      </c>
      <c r="D2633" s="113">
        <f>D2609</f>
        <v>5.77</v>
      </c>
      <c r="E2633" s="92">
        <v>85.1</v>
      </c>
      <c r="F2633" s="113">
        <f t="shared" si="305"/>
        <v>491.027</v>
      </c>
    </row>
    <row r="2634" ht="13.7" customHeight="1" spans="1:6">
      <c r="A2634" s="57">
        <v>2</v>
      </c>
      <c r="B2634" s="57" t="s">
        <v>1219</v>
      </c>
      <c r="C2634" s="59"/>
      <c r="D2634" s="84"/>
      <c r="E2634" s="84"/>
      <c r="F2634" s="84">
        <f>SUM(F2635:F2639)</f>
        <v>3665.4011</v>
      </c>
    </row>
    <row r="2635" ht="13.7" customHeight="1" spans="1:6">
      <c r="A2635" s="57"/>
      <c r="B2635" s="244" t="s">
        <v>1403</v>
      </c>
      <c r="C2635" s="59" t="s">
        <v>69</v>
      </c>
      <c r="D2635" s="84">
        <v>3284</v>
      </c>
      <c r="E2635" s="332">
        <v>0.79</v>
      </c>
      <c r="F2635" s="84">
        <f t="shared" si="305"/>
        <v>2594.36</v>
      </c>
    </row>
    <row r="2636" ht="13.7" customHeight="1" spans="1:6">
      <c r="A2636" s="57"/>
      <c r="B2636" s="244" t="s">
        <v>1141</v>
      </c>
      <c r="C2636" s="59" t="s">
        <v>69</v>
      </c>
      <c r="D2636" s="113">
        <f>材料预算价!L5</f>
        <v>255</v>
      </c>
      <c r="E2636" s="332">
        <v>0.85</v>
      </c>
      <c r="F2636" s="84">
        <f t="shared" si="305"/>
        <v>216.75</v>
      </c>
    </row>
    <row r="2637" ht="13.7" customHeight="1" spans="1:6">
      <c r="A2637" s="57"/>
      <c r="B2637" s="244" t="s">
        <v>1404</v>
      </c>
      <c r="C2637" s="57" t="s">
        <v>1188</v>
      </c>
      <c r="D2637" s="84">
        <v>70</v>
      </c>
      <c r="E2637" s="84">
        <v>2.9</v>
      </c>
      <c r="F2637" s="84">
        <f t="shared" si="305"/>
        <v>203</v>
      </c>
    </row>
    <row r="2638" ht="13.7" customHeight="1" spans="1:6">
      <c r="A2638" s="57"/>
      <c r="B2638" s="244" t="s">
        <v>1405</v>
      </c>
      <c r="C2638" s="57" t="s">
        <v>184</v>
      </c>
      <c r="D2638" s="84">
        <v>0.5</v>
      </c>
      <c r="E2638" s="84">
        <v>1230</v>
      </c>
      <c r="F2638" s="84">
        <f t="shared" si="305"/>
        <v>615</v>
      </c>
    </row>
    <row r="2639" ht="13.7" customHeight="1" spans="1:6">
      <c r="A2639" s="57"/>
      <c r="B2639" s="57" t="s">
        <v>1163</v>
      </c>
      <c r="C2639" s="59" t="s">
        <v>423</v>
      </c>
      <c r="D2639" s="252">
        <f>SUM(F2635:F2638)</f>
        <v>3629.11</v>
      </c>
      <c r="E2639" s="100">
        <v>0.01</v>
      </c>
      <c r="F2639" s="84">
        <f t="shared" si="305"/>
        <v>36.2911</v>
      </c>
    </row>
    <row r="2640" ht="13.7" customHeight="1" spans="1:6">
      <c r="A2640" s="57">
        <v>3</v>
      </c>
      <c r="B2640" s="57" t="s">
        <v>1171</v>
      </c>
      <c r="C2640" s="59"/>
      <c r="D2640" s="84"/>
      <c r="E2640" s="84"/>
      <c r="F2640" s="84">
        <v>0</v>
      </c>
    </row>
    <row r="2641" ht="13.7" customHeight="1" spans="1:6">
      <c r="A2641" s="57" t="s">
        <v>70</v>
      </c>
      <c r="B2641" s="57" t="s">
        <v>977</v>
      </c>
      <c r="C2641" s="194">
        <f>取费表!$C$7</f>
        <v>0.048</v>
      </c>
      <c r="D2641" s="84"/>
      <c r="E2641" s="84">
        <f>F2630</f>
        <v>5929.542724</v>
      </c>
      <c r="F2641" s="84">
        <f t="shared" ref="F2641:F2643" si="306">E2641*C2641</f>
        <v>284.618050752</v>
      </c>
    </row>
    <row r="2642" ht="13.7" customHeight="1" spans="1:6">
      <c r="A2642" s="57" t="s">
        <v>979</v>
      </c>
      <c r="B2642" s="57" t="s">
        <v>973</v>
      </c>
      <c r="C2642" s="194">
        <f>取费表!$E$7</f>
        <v>0.07</v>
      </c>
      <c r="D2642" s="84"/>
      <c r="E2642" s="84">
        <f>F2629</f>
        <v>6214.160774752</v>
      </c>
      <c r="F2642" s="84">
        <f t="shared" si="306"/>
        <v>434.99125423264</v>
      </c>
    </row>
    <row r="2643" ht="13.7" customHeight="1" spans="1:6">
      <c r="A2643" s="57" t="s">
        <v>162</v>
      </c>
      <c r="B2643" s="57" t="s">
        <v>980</v>
      </c>
      <c r="C2643" s="194">
        <f>取费表!$F$7</f>
        <v>0.07</v>
      </c>
      <c r="D2643" s="84"/>
      <c r="E2643" s="84">
        <f>F2642+F2629</f>
        <v>6649.15202898464</v>
      </c>
      <c r="F2643" s="84">
        <f t="shared" si="306"/>
        <v>465.440642028925</v>
      </c>
    </row>
    <row r="2644" ht="13.7" customHeight="1" spans="1:6">
      <c r="A2644" s="57" t="s">
        <v>214</v>
      </c>
      <c r="B2644" s="57" t="s">
        <v>1173</v>
      </c>
      <c r="C2644" s="59"/>
      <c r="D2644" s="57"/>
      <c r="E2644" s="57"/>
      <c r="F2644" s="113">
        <f>F2645+F2646</f>
        <v>263.1401651</v>
      </c>
    </row>
    <row r="2645" ht="13.7" customHeight="1" spans="1:6">
      <c r="A2645" s="57"/>
      <c r="B2645" s="57" t="s">
        <v>1141</v>
      </c>
      <c r="C2645" s="57" t="s">
        <v>1188</v>
      </c>
      <c r="D2645" s="84">
        <f>材料预算价!K5-材料预算价!L5</f>
        <v>156.64017</v>
      </c>
      <c r="E2645" s="88">
        <f>E2636</f>
        <v>0.85</v>
      </c>
      <c r="F2645" s="113">
        <f>E2645*D2645</f>
        <v>133.1441445</v>
      </c>
    </row>
    <row r="2646" ht="13.7" customHeight="1" spans="1:6">
      <c r="A2646" s="57"/>
      <c r="B2646" s="57" t="s">
        <v>1142</v>
      </c>
      <c r="C2646" s="57" t="s">
        <v>1188</v>
      </c>
      <c r="D2646" s="84">
        <f>材料预算价!K7-材料预算价!L7</f>
        <v>44.826214</v>
      </c>
      <c r="E2646" s="84">
        <f>E2637</f>
        <v>2.9</v>
      </c>
      <c r="F2646" s="113">
        <f>E2646*D2646</f>
        <v>129.9960206</v>
      </c>
    </row>
    <row r="2647" ht="13.7" customHeight="1" spans="1:6">
      <c r="A2647" s="57" t="s">
        <v>327</v>
      </c>
      <c r="B2647" s="57" t="s">
        <v>976</v>
      </c>
      <c r="C2647" s="195">
        <f>C2622</f>
        <v>0.09</v>
      </c>
      <c r="D2647" s="84"/>
      <c r="E2647" s="84">
        <f>F2643+F2642+F2629+F2644</f>
        <v>7377.73283611357</v>
      </c>
      <c r="F2647" s="84">
        <f>E2647*C2647</f>
        <v>663.995955250221</v>
      </c>
    </row>
    <row r="2648" ht="13.7" customHeight="1" spans="1:6">
      <c r="A2648" s="57"/>
      <c r="B2648" s="57" t="s">
        <v>984</v>
      </c>
      <c r="C2648" s="195"/>
      <c r="D2648" s="84"/>
      <c r="E2648" s="84"/>
      <c r="F2648" s="84">
        <f>(F2629+F2642+F2643+F2647+F2644)*取费表!H4</f>
        <v>241.251863740914</v>
      </c>
    </row>
    <row r="2649" ht="13.7" customHeight="1" spans="1:6">
      <c r="A2649" s="57"/>
      <c r="B2649" s="57" t="s">
        <v>278</v>
      </c>
      <c r="C2649" s="57"/>
      <c r="D2649" s="84"/>
      <c r="E2649" s="84"/>
      <c r="F2649" s="84">
        <f>F2647+E2647+F2648</f>
        <v>8282.9806551047</v>
      </c>
    </row>
    <row r="2650" ht="15" customHeight="1" spans="1:11">
      <c r="A2650" s="176" t="s">
        <v>1204</v>
      </c>
      <c r="B2650" s="175"/>
      <c r="C2650" s="175"/>
      <c r="D2650" s="175"/>
      <c r="E2650" s="175"/>
      <c r="F2650" s="175"/>
      <c r="G2650" s="175"/>
      <c r="H2650" s="175"/>
      <c r="I2650" s="175"/>
      <c r="J2650" s="175"/>
      <c r="K2650" s="175"/>
    </row>
    <row r="2651" ht="15" customHeight="1" spans="1:11">
      <c r="A2651" s="323" t="s">
        <v>1406</v>
      </c>
      <c r="B2651" s="168"/>
      <c r="C2651" s="168"/>
      <c r="D2651" s="168"/>
      <c r="E2651" s="168"/>
      <c r="F2651" s="168"/>
      <c r="G2651" s="168"/>
      <c r="H2651" s="168"/>
      <c r="I2651" s="168"/>
      <c r="J2651" s="168"/>
      <c r="K2651" s="168"/>
    </row>
    <row r="2652" ht="15" customHeight="1" spans="1:11">
      <c r="A2652" s="191" t="s">
        <v>1407</v>
      </c>
      <c r="B2652" s="191"/>
      <c r="C2652" s="168"/>
      <c r="D2652" s="168"/>
      <c r="E2652" s="191" t="s">
        <v>1398</v>
      </c>
      <c r="F2652" s="191"/>
      <c r="G2652" s="191"/>
      <c r="H2652" s="168"/>
      <c r="I2652" s="168"/>
      <c r="J2652" s="191" t="s">
        <v>1398</v>
      </c>
      <c r="K2652" s="191"/>
    </row>
    <row r="2653" ht="15" customHeight="1" spans="1:11">
      <c r="A2653" s="117" t="s">
        <v>1408</v>
      </c>
      <c r="B2653" s="192"/>
      <c r="C2653" s="192"/>
      <c r="D2653" s="192"/>
      <c r="E2653" s="192"/>
      <c r="F2653" s="118"/>
      <c r="G2653" s="192"/>
      <c r="H2653" s="192"/>
      <c r="I2653" s="192"/>
      <c r="J2653" s="192"/>
      <c r="K2653" s="118"/>
    </row>
    <row r="2654" ht="15" customHeight="1" spans="1:11">
      <c r="A2654" s="57" t="s">
        <v>354</v>
      </c>
      <c r="B2654" s="57" t="s">
        <v>956</v>
      </c>
      <c r="C2654" s="57" t="s">
        <v>52</v>
      </c>
      <c r="D2654" s="57" t="s">
        <v>855</v>
      </c>
      <c r="E2654" s="57" t="s">
        <v>53</v>
      </c>
      <c r="F2654" s="57" t="s">
        <v>306</v>
      </c>
      <c r="G2654" s="57" t="s">
        <v>956</v>
      </c>
      <c r="H2654" s="57" t="s">
        <v>52</v>
      </c>
      <c r="I2654" s="57" t="s">
        <v>855</v>
      </c>
      <c r="J2654" s="57" t="s">
        <v>53</v>
      </c>
      <c r="K2654" s="57" t="s">
        <v>306</v>
      </c>
    </row>
    <row r="2655" ht="15" customHeight="1" spans="1:11">
      <c r="A2655" s="57" t="s">
        <v>959</v>
      </c>
      <c r="B2655" s="57" t="s">
        <v>960</v>
      </c>
      <c r="C2655" s="57"/>
      <c r="D2655" s="57"/>
      <c r="E2655" s="57"/>
      <c r="F2655" s="84">
        <f>F2656+F2665+F2666</f>
        <v>284.51104</v>
      </c>
      <c r="G2655" s="57" t="s">
        <v>960</v>
      </c>
      <c r="H2655" s="57"/>
      <c r="I2655" s="57"/>
      <c r="J2655" s="57"/>
      <c r="K2655" s="84">
        <f>K2656+K2665+K2666</f>
        <v>284.51104</v>
      </c>
    </row>
    <row r="2656" ht="15" customHeight="1" spans="1:11">
      <c r="A2656" s="57" t="s">
        <v>59</v>
      </c>
      <c r="B2656" s="57" t="s">
        <v>957</v>
      </c>
      <c r="C2656" s="57"/>
      <c r="D2656" s="57"/>
      <c r="E2656" s="57"/>
      <c r="F2656" s="84">
        <f>F2657+F2660+F2664</f>
        <v>271.48</v>
      </c>
      <c r="G2656" s="57" t="s">
        <v>957</v>
      </c>
      <c r="H2656" s="57"/>
      <c r="I2656" s="57"/>
      <c r="J2656" s="57"/>
      <c r="K2656" s="84">
        <f>K2657+K2660+K2664</f>
        <v>271.48</v>
      </c>
    </row>
    <row r="2657" ht="15" customHeight="1" spans="1:11">
      <c r="A2657" s="57">
        <v>1</v>
      </c>
      <c r="B2657" s="57" t="s">
        <v>964</v>
      </c>
      <c r="C2657" s="57" t="s">
        <v>965</v>
      </c>
      <c r="D2657" s="113"/>
      <c r="E2657" s="113">
        <f>SUM(E2658:E2659)</f>
        <v>34</v>
      </c>
      <c r="F2657" s="113">
        <f>SUM(F2658:F2659)</f>
        <v>219.48</v>
      </c>
      <c r="G2657" s="57" t="s">
        <v>964</v>
      </c>
      <c r="H2657" s="57" t="s">
        <v>965</v>
      </c>
      <c r="I2657" s="113"/>
      <c r="J2657" s="113">
        <f>SUM(J2658:J2659)</f>
        <v>34</v>
      </c>
      <c r="K2657" s="113">
        <f>SUM(K2658:K2659)</f>
        <v>219.48</v>
      </c>
    </row>
    <row r="2658" ht="15" customHeight="1" spans="1:11">
      <c r="A2658" s="57"/>
      <c r="B2658" s="57" t="s">
        <v>966</v>
      </c>
      <c r="C2658" s="57" t="s">
        <v>965</v>
      </c>
      <c r="D2658" s="113">
        <f>D2632</f>
        <v>8.1</v>
      </c>
      <c r="E2658" s="113">
        <v>10</v>
      </c>
      <c r="F2658" s="113">
        <f t="shared" ref="F2658:F2662" si="307">D2658*E2658</f>
        <v>81</v>
      </c>
      <c r="G2658" s="57" t="s">
        <v>966</v>
      </c>
      <c r="H2658" s="57" t="s">
        <v>965</v>
      </c>
      <c r="I2658" s="113">
        <f>D2658</f>
        <v>8.1</v>
      </c>
      <c r="J2658" s="113">
        <v>10</v>
      </c>
      <c r="K2658" s="113">
        <f t="shared" ref="K2658:K2662" si="308">I2658*J2658</f>
        <v>81</v>
      </c>
    </row>
    <row r="2659" ht="15" customHeight="1" spans="1:11">
      <c r="A2659" s="57"/>
      <c r="B2659" s="57" t="s">
        <v>968</v>
      </c>
      <c r="C2659" s="57" t="s">
        <v>965</v>
      </c>
      <c r="D2659" s="113">
        <f>D2633</f>
        <v>5.77</v>
      </c>
      <c r="E2659" s="113">
        <v>24</v>
      </c>
      <c r="F2659" s="113">
        <f t="shared" si="307"/>
        <v>138.48</v>
      </c>
      <c r="G2659" s="57" t="s">
        <v>968</v>
      </c>
      <c r="H2659" s="57" t="s">
        <v>965</v>
      </c>
      <c r="I2659" s="113">
        <f>D2659</f>
        <v>5.77</v>
      </c>
      <c r="J2659" s="113">
        <v>24</v>
      </c>
      <c r="K2659" s="113">
        <f t="shared" si="308"/>
        <v>138.48</v>
      </c>
    </row>
    <row r="2660" ht="15" customHeight="1" spans="1:11">
      <c r="A2660" s="57">
        <v>2</v>
      </c>
      <c r="B2660" s="57" t="s">
        <v>1219</v>
      </c>
      <c r="C2660" s="248"/>
      <c r="D2660" s="57"/>
      <c r="E2660" s="57"/>
      <c r="F2660" s="113">
        <f>SUM(F2661:F2663)</f>
        <v>52</v>
      </c>
      <c r="G2660" s="57" t="s">
        <v>1219</v>
      </c>
      <c r="H2660" s="248"/>
      <c r="I2660" s="57"/>
      <c r="J2660" s="57"/>
      <c r="K2660" s="113">
        <f>SUM(K2661:K2663)</f>
        <v>52</v>
      </c>
    </row>
    <row r="2661" ht="15" customHeight="1" spans="1:11">
      <c r="A2661" s="57"/>
      <c r="B2661" s="57" t="s">
        <v>1409</v>
      </c>
      <c r="C2661" s="59" t="s">
        <v>1410</v>
      </c>
      <c r="D2661" s="57"/>
      <c r="E2661" s="57">
        <v>106</v>
      </c>
      <c r="F2661" s="113">
        <f t="shared" si="307"/>
        <v>0</v>
      </c>
      <c r="G2661" s="57" t="s">
        <v>1409</v>
      </c>
      <c r="H2661" s="59" t="s">
        <v>1410</v>
      </c>
      <c r="I2661" s="57"/>
      <c r="J2661" s="57">
        <v>106</v>
      </c>
      <c r="K2661" s="113">
        <f t="shared" si="308"/>
        <v>0</v>
      </c>
    </row>
    <row r="2662" ht="15" customHeight="1" spans="1:11">
      <c r="A2662" s="57"/>
      <c r="B2662" s="57" t="s">
        <v>1411</v>
      </c>
      <c r="C2662" s="59" t="s">
        <v>184</v>
      </c>
      <c r="D2662" s="57">
        <v>25</v>
      </c>
      <c r="E2662" s="57">
        <v>2</v>
      </c>
      <c r="F2662" s="113">
        <f t="shared" si="307"/>
        <v>50</v>
      </c>
      <c r="G2662" s="57" t="s">
        <v>1411</v>
      </c>
      <c r="H2662" s="59" t="s">
        <v>184</v>
      </c>
      <c r="I2662" s="57">
        <v>25</v>
      </c>
      <c r="J2662" s="57">
        <v>2</v>
      </c>
      <c r="K2662" s="113">
        <f t="shared" si="308"/>
        <v>50</v>
      </c>
    </row>
    <row r="2663" ht="15" customHeight="1" spans="1:11">
      <c r="A2663" s="57"/>
      <c r="B2663" s="57" t="s">
        <v>1248</v>
      </c>
      <c r="C2663" s="59" t="s">
        <v>423</v>
      </c>
      <c r="D2663" s="113">
        <f>SUM(F2661:F2662)</f>
        <v>50</v>
      </c>
      <c r="E2663" s="57">
        <v>4</v>
      </c>
      <c r="F2663" s="113">
        <f>D2663*E2663/100</f>
        <v>2</v>
      </c>
      <c r="G2663" s="57" t="s">
        <v>1248</v>
      </c>
      <c r="H2663" s="59" t="s">
        <v>423</v>
      </c>
      <c r="I2663" s="113">
        <f>SUM(K2661:K2662)</f>
        <v>50</v>
      </c>
      <c r="J2663" s="57">
        <v>4</v>
      </c>
      <c r="K2663" s="113">
        <f>I2663*J2663/100</f>
        <v>2</v>
      </c>
    </row>
    <row r="2664" ht="15" customHeight="1" spans="1:11">
      <c r="A2664" s="57">
        <v>3</v>
      </c>
      <c r="B2664" s="57" t="s">
        <v>974</v>
      </c>
      <c r="C2664" s="59"/>
      <c r="D2664" s="113"/>
      <c r="E2664" s="57"/>
      <c r="F2664" s="113">
        <v>0</v>
      </c>
      <c r="G2664" s="57" t="s">
        <v>974</v>
      </c>
      <c r="H2664" s="59"/>
      <c r="I2664" s="113"/>
      <c r="J2664" s="57"/>
      <c r="K2664" s="113">
        <v>0</v>
      </c>
    </row>
    <row r="2665" ht="15" customHeight="1" spans="1:11">
      <c r="A2665" s="57" t="s">
        <v>70</v>
      </c>
      <c r="B2665" s="57" t="s">
        <v>977</v>
      </c>
      <c r="C2665" s="194">
        <f>取费表!C12</f>
        <v>0.048</v>
      </c>
      <c r="D2665" s="113"/>
      <c r="E2665" s="84">
        <f>F2656</f>
        <v>271.48</v>
      </c>
      <c r="F2665" s="113">
        <f t="shared" ref="F2665:F2668" si="309">E2665*C2665</f>
        <v>13.03104</v>
      </c>
      <c r="G2665" s="57" t="s">
        <v>977</v>
      </c>
      <c r="H2665" s="194">
        <f t="shared" ref="H2665:H2668" si="310">C2665</f>
        <v>0.048</v>
      </c>
      <c r="I2665" s="113"/>
      <c r="J2665" s="84">
        <f>K2656</f>
        <v>271.48</v>
      </c>
      <c r="K2665" s="113">
        <f t="shared" ref="K2665:K2668" si="311">J2665*H2665</f>
        <v>13.03104</v>
      </c>
    </row>
    <row r="2666" ht="15" customHeight="1" spans="1:11">
      <c r="A2666" s="57"/>
      <c r="B2666" s="57"/>
      <c r="C2666" s="195"/>
      <c r="D2666" s="113"/>
      <c r="E2666" s="84"/>
      <c r="F2666" s="113"/>
      <c r="G2666" s="57"/>
      <c r="H2666" s="195"/>
      <c r="I2666" s="113"/>
      <c r="J2666" s="84"/>
      <c r="K2666" s="113"/>
    </row>
    <row r="2667" ht="15" customHeight="1" spans="1:11">
      <c r="A2667" s="57" t="s">
        <v>979</v>
      </c>
      <c r="B2667" s="57" t="s">
        <v>973</v>
      </c>
      <c r="C2667" s="195">
        <f>取费表!E12</f>
        <v>0.0725</v>
      </c>
      <c r="D2667" s="113"/>
      <c r="E2667" s="88">
        <f>F2655</f>
        <v>284.51104</v>
      </c>
      <c r="F2667" s="113">
        <f t="shared" si="309"/>
        <v>20.6270504</v>
      </c>
      <c r="G2667" s="57" t="s">
        <v>973</v>
      </c>
      <c r="H2667" s="195">
        <f t="shared" si="310"/>
        <v>0.0725</v>
      </c>
      <c r="I2667" s="113"/>
      <c r="J2667" s="88">
        <f>K2655</f>
        <v>284.51104</v>
      </c>
      <c r="K2667" s="113">
        <f t="shared" si="311"/>
        <v>20.6270504</v>
      </c>
    </row>
    <row r="2668" ht="15" customHeight="1" spans="1:11">
      <c r="A2668" s="57" t="s">
        <v>162</v>
      </c>
      <c r="B2668" s="57" t="s">
        <v>980</v>
      </c>
      <c r="C2668" s="269">
        <f>取费表!F12</f>
        <v>0.05</v>
      </c>
      <c r="D2668" s="113"/>
      <c r="E2668" s="84">
        <f>F2667+F2655</f>
        <v>305.1380904</v>
      </c>
      <c r="F2668" s="113">
        <f t="shared" si="309"/>
        <v>15.25690452</v>
      </c>
      <c r="G2668" s="57" t="s">
        <v>980</v>
      </c>
      <c r="H2668" s="269">
        <f t="shared" si="310"/>
        <v>0.05</v>
      </c>
      <c r="I2668" s="113"/>
      <c r="J2668" s="84">
        <f>K2667+K2655</f>
        <v>305.1380904</v>
      </c>
      <c r="K2668" s="113">
        <f t="shared" si="311"/>
        <v>15.25690452</v>
      </c>
    </row>
    <row r="2669" ht="15" customHeight="1" spans="1:11">
      <c r="A2669" s="57"/>
      <c r="B2669" s="57" t="s">
        <v>1409</v>
      </c>
      <c r="C2669" s="59" t="s">
        <v>1410</v>
      </c>
      <c r="D2669" s="113">
        <v>5.43</v>
      </c>
      <c r="E2669" s="57">
        <v>106</v>
      </c>
      <c r="F2669" s="113">
        <f>D2669*E2669</f>
        <v>575.58</v>
      </c>
      <c r="G2669" s="57" t="s">
        <v>1409</v>
      </c>
      <c r="H2669" s="59" t="s">
        <v>1410</v>
      </c>
      <c r="I2669" s="113">
        <v>5.86</v>
      </c>
      <c r="J2669" s="57">
        <v>106</v>
      </c>
      <c r="K2669" s="113">
        <f>I2669*J2669</f>
        <v>621.16</v>
      </c>
    </row>
    <row r="2670" ht="15" customHeight="1" spans="1:11">
      <c r="A2670" s="57" t="s">
        <v>214</v>
      </c>
      <c r="B2670" s="57" t="s">
        <v>976</v>
      </c>
      <c r="C2670" s="195">
        <f>取费表!G12</f>
        <v>0.09</v>
      </c>
      <c r="D2670" s="57"/>
      <c r="E2670" s="84">
        <f>F2655+F2667+F2668+F2669</f>
        <v>895.97499492</v>
      </c>
      <c r="F2670" s="113">
        <f>E2670*C2670</f>
        <v>80.6377495428</v>
      </c>
      <c r="G2670" s="57" t="s">
        <v>976</v>
      </c>
      <c r="H2670" s="195">
        <f>C2670</f>
        <v>0.09</v>
      </c>
      <c r="I2670" s="57"/>
      <c r="J2670" s="84">
        <f>K2655+K2667+K2668+K2669</f>
        <v>941.55499492</v>
      </c>
      <c r="K2670" s="113">
        <f>J2670*H2670</f>
        <v>84.7399495428</v>
      </c>
    </row>
    <row r="2671" ht="15" customHeight="1" spans="1:11">
      <c r="A2671" s="57"/>
      <c r="B2671" s="57" t="s">
        <v>984</v>
      </c>
      <c r="C2671" s="195"/>
      <c r="D2671" s="57"/>
      <c r="E2671" s="84"/>
      <c r="F2671" s="113">
        <f>(F2655+F2667+F2668+F2670)*取费表!H4</f>
        <v>12.030982333884</v>
      </c>
      <c r="G2671" s="57" t="s">
        <v>984</v>
      </c>
      <c r="H2671" s="195"/>
      <c r="I2671" s="57"/>
      <c r="J2671" s="84"/>
      <c r="K2671" s="113">
        <f>(K2655+K2667+K2668+K2670)*取费表!H12</f>
        <v>12.154048333884</v>
      </c>
    </row>
    <row r="2672" ht="15" customHeight="1" spans="1:11">
      <c r="A2672" s="57"/>
      <c r="B2672" s="57" t="s">
        <v>278</v>
      </c>
      <c r="C2672" s="57"/>
      <c r="D2672" s="57"/>
      <c r="E2672" s="57"/>
      <c r="F2672" s="113">
        <f>F2670+E2670+F2671</f>
        <v>988.643726796684</v>
      </c>
      <c r="G2672" s="57" t="s">
        <v>278</v>
      </c>
      <c r="H2672" s="57"/>
      <c r="I2672" s="57"/>
      <c r="J2672" s="57"/>
      <c r="K2672" s="113">
        <f>K2670+J2670+K2671</f>
        <v>1038.44899279668</v>
      </c>
    </row>
    <row r="2673" ht="15" customHeight="1" spans="1:17">
      <c r="A2673" s="176" t="s">
        <v>1204</v>
      </c>
      <c r="B2673" s="175"/>
      <c r="C2673" s="175"/>
      <c r="D2673" s="175"/>
      <c r="E2673" s="175"/>
      <c r="F2673" s="175"/>
      <c r="G2673" s="176" t="s">
        <v>1204</v>
      </c>
      <c r="H2673" s="175"/>
      <c r="I2673" s="175"/>
      <c r="J2673" s="175"/>
      <c r="K2673" s="175"/>
      <c r="L2673" s="175"/>
      <c r="M2673" s="176" t="s">
        <v>1412</v>
      </c>
      <c r="N2673" s="176"/>
      <c r="O2673" s="176"/>
      <c r="P2673" s="176"/>
      <c r="Q2673" s="176"/>
    </row>
    <row r="2674" ht="15" customHeight="1" spans="1:17">
      <c r="A2674" s="323" t="s">
        <v>1406</v>
      </c>
      <c r="B2674" s="168"/>
      <c r="C2674" s="168"/>
      <c r="D2674" s="168"/>
      <c r="E2674" s="168"/>
      <c r="F2674" s="168"/>
      <c r="G2674" s="346" t="s">
        <v>1413</v>
      </c>
      <c r="H2674" s="168"/>
      <c r="I2674" s="168"/>
      <c r="J2674" s="168"/>
      <c r="K2674" s="168"/>
      <c r="L2674" s="168"/>
      <c r="M2674" s="323" t="s">
        <v>1413</v>
      </c>
      <c r="N2674" s="168"/>
      <c r="O2674" s="168"/>
      <c r="P2674" s="168"/>
      <c r="Q2674" s="168"/>
    </row>
    <row r="2675" ht="15" customHeight="1" spans="1:17">
      <c r="A2675" s="191" t="s">
        <v>1407</v>
      </c>
      <c r="B2675" s="191"/>
      <c r="C2675" s="168"/>
      <c r="D2675" s="168"/>
      <c r="E2675" s="191" t="s">
        <v>1398</v>
      </c>
      <c r="F2675" s="191"/>
      <c r="G2675" s="191"/>
      <c r="H2675" s="168"/>
      <c r="I2675" s="168"/>
      <c r="J2675" s="191" t="s">
        <v>1398</v>
      </c>
      <c r="K2675" s="191"/>
      <c r="M2675" s="191"/>
      <c r="N2675" s="168"/>
      <c r="O2675" s="168"/>
      <c r="P2675" s="191" t="s">
        <v>1398</v>
      </c>
      <c r="Q2675" s="191"/>
    </row>
    <row r="2676" ht="15" customHeight="1" spans="1:17">
      <c r="A2676" s="197" t="s">
        <v>1414</v>
      </c>
      <c r="B2676" s="201"/>
      <c r="C2676" s="192"/>
      <c r="D2676" s="192"/>
      <c r="E2676" s="192"/>
      <c r="F2676" s="118"/>
      <c r="G2676" s="201"/>
      <c r="H2676" s="192"/>
      <c r="I2676" s="192"/>
      <c r="J2676" s="192"/>
      <c r="K2676" s="118"/>
      <c r="M2676" s="201"/>
      <c r="N2676" s="192"/>
      <c r="O2676" s="192"/>
      <c r="P2676" s="192"/>
      <c r="Q2676" s="118"/>
    </row>
    <row r="2677" ht="15" customHeight="1" spans="1:17">
      <c r="A2677" s="57" t="s">
        <v>354</v>
      </c>
      <c r="B2677" s="57" t="s">
        <v>956</v>
      </c>
      <c r="C2677" s="57" t="s">
        <v>52</v>
      </c>
      <c r="D2677" s="57" t="s">
        <v>855</v>
      </c>
      <c r="E2677" s="57" t="s">
        <v>53</v>
      </c>
      <c r="F2677" s="57" t="s">
        <v>306</v>
      </c>
      <c r="G2677" s="57" t="s">
        <v>956</v>
      </c>
      <c r="H2677" s="57" t="s">
        <v>52</v>
      </c>
      <c r="I2677" s="57" t="s">
        <v>855</v>
      </c>
      <c r="J2677" s="57" t="s">
        <v>53</v>
      </c>
      <c r="K2677" s="57" t="s">
        <v>306</v>
      </c>
      <c r="M2677" s="57" t="s">
        <v>956</v>
      </c>
      <c r="N2677" s="57" t="s">
        <v>52</v>
      </c>
      <c r="O2677" s="57" t="s">
        <v>855</v>
      </c>
      <c r="P2677" s="57" t="s">
        <v>53</v>
      </c>
      <c r="Q2677" s="57" t="s">
        <v>306</v>
      </c>
    </row>
    <row r="2678" ht="15" customHeight="1" spans="1:17">
      <c r="A2678" s="57" t="s">
        <v>959</v>
      </c>
      <c r="B2678" s="57" t="s">
        <v>960</v>
      </c>
      <c r="C2678" s="57"/>
      <c r="D2678" s="57"/>
      <c r="E2678" s="57"/>
      <c r="F2678" s="84">
        <f>F2679+F2688+F2689</f>
        <v>284.51104</v>
      </c>
      <c r="G2678" s="57" t="s">
        <v>960</v>
      </c>
      <c r="H2678" s="57"/>
      <c r="I2678" s="57"/>
      <c r="J2678" s="57"/>
      <c r="K2678" s="84">
        <f>K2679+K2688+K2689</f>
        <v>106.51872</v>
      </c>
      <c r="M2678" s="57" t="s">
        <v>960</v>
      </c>
      <c r="N2678" s="57"/>
      <c r="O2678" s="57"/>
      <c r="P2678" s="57"/>
      <c r="Q2678" s="84">
        <f>Q2679+Q2688+Q2689</f>
        <v>106.51872</v>
      </c>
    </row>
    <row r="2679" ht="15" customHeight="1" spans="1:17">
      <c r="A2679" s="57" t="s">
        <v>59</v>
      </c>
      <c r="B2679" s="57" t="s">
        <v>957</v>
      </c>
      <c r="C2679" s="57"/>
      <c r="D2679" s="57"/>
      <c r="E2679" s="57"/>
      <c r="F2679" s="84">
        <f>F2680+F2683+F2687</f>
        <v>271.48</v>
      </c>
      <c r="G2679" s="57" t="s">
        <v>957</v>
      </c>
      <c r="H2679" s="57"/>
      <c r="I2679" s="57"/>
      <c r="J2679" s="57"/>
      <c r="K2679" s="84">
        <f>K2680+K2683+K2687</f>
        <v>101.64</v>
      </c>
      <c r="M2679" s="57" t="s">
        <v>957</v>
      </c>
      <c r="N2679" s="57"/>
      <c r="O2679" s="57"/>
      <c r="P2679" s="57"/>
      <c r="Q2679" s="84">
        <f>Q2680+Q2683+Q2687</f>
        <v>101.64</v>
      </c>
    </row>
    <row r="2680" ht="15" customHeight="1" spans="1:17">
      <c r="A2680" s="57">
        <v>1</v>
      </c>
      <c r="B2680" s="57" t="s">
        <v>964</v>
      </c>
      <c r="C2680" s="57" t="s">
        <v>965</v>
      </c>
      <c r="D2680" s="113"/>
      <c r="E2680" s="113">
        <f>SUM(E2681:E2682)</f>
        <v>34</v>
      </c>
      <c r="F2680" s="113">
        <f>SUM(F2681:F2682)</f>
        <v>219.48</v>
      </c>
      <c r="G2680" s="57" t="s">
        <v>964</v>
      </c>
      <c r="H2680" s="57" t="s">
        <v>965</v>
      </c>
      <c r="I2680" s="113"/>
      <c r="J2680" s="113">
        <f>SUM(J2681:J2682)</f>
        <v>16</v>
      </c>
      <c r="K2680" s="113">
        <f>SUM(K2681:K2682)</f>
        <v>101.64</v>
      </c>
      <c r="M2680" s="57" t="s">
        <v>964</v>
      </c>
      <c r="N2680" s="57" t="s">
        <v>965</v>
      </c>
      <c r="O2680" s="113"/>
      <c r="P2680" s="113">
        <f>SUM(P2681:P2682)</f>
        <v>16</v>
      </c>
      <c r="Q2680" s="113">
        <f>SUM(Q2681:Q2682)</f>
        <v>101.64</v>
      </c>
    </row>
    <row r="2681" ht="15" customHeight="1" spans="1:17">
      <c r="A2681" s="57"/>
      <c r="B2681" s="57" t="s">
        <v>966</v>
      </c>
      <c r="C2681" s="57" t="s">
        <v>965</v>
      </c>
      <c r="D2681" s="113">
        <f>D2658</f>
        <v>8.1</v>
      </c>
      <c r="E2681" s="113">
        <v>10</v>
      </c>
      <c r="F2681" s="113">
        <f t="shared" ref="F2681:F2685" si="312">D2681*E2681</f>
        <v>81</v>
      </c>
      <c r="G2681" s="57" t="s">
        <v>966</v>
      </c>
      <c r="H2681" s="57" t="s">
        <v>965</v>
      </c>
      <c r="I2681" s="113">
        <f>I2658</f>
        <v>8.1</v>
      </c>
      <c r="J2681" s="113">
        <v>4</v>
      </c>
      <c r="K2681" s="113">
        <f t="shared" ref="K2681:K2684" si="313">I2681*J2681</f>
        <v>32.4</v>
      </c>
      <c r="M2681" s="57" t="s">
        <v>966</v>
      </c>
      <c r="N2681" s="57" t="s">
        <v>965</v>
      </c>
      <c r="O2681" s="113">
        <f>I2681</f>
        <v>8.1</v>
      </c>
      <c r="P2681" s="113">
        <v>4</v>
      </c>
      <c r="Q2681" s="113">
        <f t="shared" ref="Q2681:Q2684" si="314">O2681*P2681</f>
        <v>32.4</v>
      </c>
    </row>
    <row r="2682" ht="15" customHeight="1" spans="1:17">
      <c r="A2682" s="57"/>
      <c r="B2682" s="57" t="s">
        <v>968</v>
      </c>
      <c r="C2682" s="57" t="s">
        <v>965</v>
      </c>
      <c r="D2682" s="113">
        <f>D2659</f>
        <v>5.77</v>
      </c>
      <c r="E2682" s="113">
        <v>24</v>
      </c>
      <c r="F2682" s="113">
        <f t="shared" si="312"/>
        <v>138.48</v>
      </c>
      <c r="G2682" s="57" t="s">
        <v>968</v>
      </c>
      <c r="H2682" s="57" t="s">
        <v>965</v>
      </c>
      <c r="I2682" s="113">
        <f>I2659</f>
        <v>5.77</v>
      </c>
      <c r="J2682" s="113">
        <v>12</v>
      </c>
      <c r="K2682" s="113">
        <f t="shared" si="313"/>
        <v>69.24</v>
      </c>
      <c r="M2682" s="57" t="s">
        <v>968</v>
      </c>
      <c r="N2682" s="57" t="s">
        <v>965</v>
      </c>
      <c r="O2682" s="113">
        <f>I2682</f>
        <v>5.77</v>
      </c>
      <c r="P2682" s="113">
        <v>12</v>
      </c>
      <c r="Q2682" s="113">
        <f t="shared" si="314"/>
        <v>69.24</v>
      </c>
    </row>
    <row r="2683" ht="15" customHeight="1" spans="1:17">
      <c r="A2683" s="57">
        <v>2</v>
      </c>
      <c r="B2683" s="57" t="s">
        <v>1219</v>
      </c>
      <c r="C2683" s="248"/>
      <c r="D2683" s="57"/>
      <c r="E2683" s="57"/>
      <c r="F2683" s="113">
        <f>SUM(F2684:F2686)</f>
        <v>52</v>
      </c>
      <c r="G2683" s="57" t="s">
        <v>1219</v>
      </c>
      <c r="H2683" s="248"/>
      <c r="I2683" s="57"/>
      <c r="J2683" s="57"/>
      <c r="K2683" s="113">
        <f>SUM(K2684:K2686)</f>
        <v>0</v>
      </c>
      <c r="M2683" s="57" t="s">
        <v>1219</v>
      </c>
      <c r="N2683" s="248"/>
      <c r="O2683" s="57"/>
      <c r="P2683" s="57"/>
      <c r="Q2683" s="113">
        <f>SUM(Q2684:Q2686)</f>
        <v>0</v>
      </c>
    </row>
    <row r="2684" ht="15" customHeight="1" spans="1:17">
      <c r="A2684" s="57"/>
      <c r="B2684" s="57" t="s">
        <v>1409</v>
      </c>
      <c r="C2684" s="59" t="s">
        <v>1410</v>
      </c>
      <c r="D2684" s="88"/>
      <c r="E2684" s="57">
        <v>106</v>
      </c>
      <c r="F2684" s="113">
        <f t="shared" si="312"/>
        <v>0</v>
      </c>
      <c r="G2684" s="57" t="s">
        <v>1415</v>
      </c>
      <c r="H2684" s="59" t="s">
        <v>1410</v>
      </c>
      <c r="I2684" s="88"/>
      <c r="J2684" s="57">
        <v>107</v>
      </c>
      <c r="K2684" s="113">
        <f t="shared" si="313"/>
        <v>0</v>
      </c>
      <c r="M2684" s="57" t="s">
        <v>1416</v>
      </c>
      <c r="N2684" s="59" t="s">
        <v>1410</v>
      </c>
      <c r="O2684" s="88"/>
      <c r="P2684" s="57">
        <v>107</v>
      </c>
      <c r="Q2684" s="113">
        <f t="shared" si="314"/>
        <v>0</v>
      </c>
    </row>
    <row r="2685" ht="15" customHeight="1" spans="1:17">
      <c r="A2685" s="57"/>
      <c r="B2685" s="57" t="s">
        <v>1411</v>
      </c>
      <c r="C2685" s="59" t="s">
        <v>184</v>
      </c>
      <c r="D2685" s="88">
        <v>25</v>
      </c>
      <c r="E2685" s="57">
        <v>2</v>
      </c>
      <c r="F2685" s="113">
        <f t="shared" si="312"/>
        <v>50</v>
      </c>
      <c r="G2685" s="57"/>
      <c r="H2685" s="59"/>
      <c r="I2685" s="88"/>
      <c r="J2685" s="57"/>
      <c r="K2685" s="113"/>
      <c r="M2685" s="57"/>
      <c r="N2685" s="59"/>
      <c r="O2685" s="88"/>
      <c r="P2685" s="57"/>
      <c r="Q2685" s="113"/>
    </row>
    <row r="2686" ht="15" customHeight="1" spans="1:17">
      <c r="A2686" s="57"/>
      <c r="B2686" s="57" t="s">
        <v>1248</v>
      </c>
      <c r="C2686" s="59" t="s">
        <v>423</v>
      </c>
      <c r="D2686" s="113">
        <f>SUM(F2684:F2685)</f>
        <v>50</v>
      </c>
      <c r="E2686" s="57">
        <v>4</v>
      </c>
      <c r="F2686" s="113">
        <f>D2686*E2686/100</f>
        <v>2</v>
      </c>
      <c r="G2686" s="57" t="s">
        <v>1248</v>
      </c>
      <c r="H2686" s="59" t="s">
        <v>423</v>
      </c>
      <c r="I2686" s="113">
        <f>SUM(K2684:K2685)</f>
        <v>0</v>
      </c>
      <c r="J2686" s="57">
        <v>2</v>
      </c>
      <c r="K2686" s="113">
        <f>I2686*J2686/100</f>
        <v>0</v>
      </c>
      <c r="M2686" s="57" t="s">
        <v>1248</v>
      </c>
      <c r="N2686" s="59" t="s">
        <v>423</v>
      </c>
      <c r="O2686" s="113">
        <f>SUM(Q2684:Q2685)</f>
        <v>0</v>
      </c>
      <c r="P2686" s="57">
        <v>2</v>
      </c>
      <c r="Q2686" s="113">
        <f>O2686*P2686/100</f>
        <v>0</v>
      </c>
    </row>
    <row r="2687" ht="15" customHeight="1" spans="1:17">
      <c r="A2687" s="57">
        <v>3</v>
      </c>
      <c r="B2687" s="57" t="s">
        <v>974</v>
      </c>
      <c r="C2687" s="59"/>
      <c r="D2687" s="113"/>
      <c r="E2687" s="57"/>
      <c r="F2687" s="113">
        <v>0</v>
      </c>
      <c r="G2687" s="57" t="s">
        <v>974</v>
      </c>
      <c r="H2687" s="59"/>
      <c r="I2687" s="113"/>
      <c r="J2687" s="57"/>
      <c r="K2687" s="113">
        <v>0</v>
      </c>
      <c r="M2687" s="57" t="s">
        <v>974</v>
      </c>
      <c r="N2687" s="59"/>
      <c r="O2687" s="113"/>
      <c r="P2687" s="57"/>
      <c r="Q2687" s="113">
        <v>0</v>
      </c>
    </row>
    <row r="2688" ht="15" customHeight="1" spans="1:17">
      <c r="A2688" s="57" t="s">
        <v>70</v>
      </c>
      <c r="B2688" s="57" t="s">
        <v>977</v>
      </c>
      <c r="C2688" s="194">
        <f t="shared" ref="C2688:C2691" si="315">C2665</f>
        <v>0.048</v>
      </c>
      <c r="D2688" s="113"/>
      <c r="E2688" s="84">
        <f>F2679</f>
        <v>271.48</v>
      </c>
      <c r="F2688" s="113">
        <f t="shared" ref="F2688:F2691" si="316">E2688*C2688</f>
        <v>13.03104</v>
      </c>
      <c r="G2688" s="57" t="s">
        <v>977</v>
      </c>
      <c r="H2688" s="194">
        <f t="shared" ref="H2688:H2691" si="317">H2665</f>
        <v>0.048</v>
      </c>
      <c r="I2688" s="113"/>
      <c r="J2688" s="84">
        <f>K2679</f>
        <v>101.64</v>
      </c>
      <c r="K2688" s="113">
        <f t="shared" ref="K2688:K2691" si="318">J2688*H2688</f>
        <v>4.87872</v>
      </c>
      <c r="M2688" s="57" t="s">
        <v>977</v>
      </c>
      <c r="N2688" s="194">
        <f>H2688</f>
        <v>0.048</v>
      </c>
      <c r="O2688" s="113"/>
      <c r="P2688" s="84">
        <f>Q2679</f>
        <v>101.64</v>
      </c>
      <c r="Q2688" s="113">
        <f t="shared" ref="Q2688:Q2691" si="319">P2688*N2688</f>
        <v>4.87872</v>
      </c>
    </row>
    <row r="2689" ht="15" customHeight="1" spans="1:17">
      <c r="A2689" s="57"/>
      <c r="B2689" s="57"/>
      <c r="C2689" s="194"/>
      <c r="D2689" s="113"/>
      <c r="E2689" s="84"/>
      <c r="F2689" s="113"/>
      <c r="G2689" s="57"/>
      <c r="H2689" s="194"/>
      <c r="I2689" s="113"/>
      <c r="J2689" s="84"/>
      <c r="K2689" s="113"/>
      <c r="M2689" s="57"/>
      <c r="N2689" s="194"/>
      <c r="O2689" s="113"/>
      <c r="P2689" s="84"/>
      <c r="Q2689" s="113"/>
    </row>
    <row r="2690" ht="15" customHeight="1" spans="1:17">
      <c r="A2690" s="57" t="s">
        <v>979</v>
      </c>
      <c r="B2690" s="57" t="s">
        <v>973</v>
      </c>
      <c r="C2690" s="194">
        <f t="shared" si="315"/>
        <v>0.0725</v>
      </c>
      <c r="D2690" s="113"/>
      <c r="E2690" s="88">
        <f>F2678</f>
        <v>284.51104</v>
      </c>
      <c r="F2690" s="113">
        <f t="shared" si="316"/>
        <v>20.6270504</v>
      </c>
      <c r="G2690" s="57" t="s">
        <v>973</v>
      </c>
      <c r="H2690" s="194">
        <f t="shared" si="317"/>
        <v>0.0725</v>
      </c>
      <c r="I2690" s="113"/>
      <c r="J2690" s="88">
        <f>K2678</f>
        <v>106.51872</v>
      </c>
      <c r="K2690" s="113">
        <f t="shared" si="318"/>
        <v>7.7226072</v>
      </c>
      <c r="M2690" s="57" t="s">
        <v>973</v>
      </c>
      <c r="N2690" s="194">
        <f>H2690</f>
        <v>0.0725</v>
      </c>
      <c r="O2690" s="113"/>
      <c r="P2690" s="88">
        <f>Q2678</f>
        <v>106.51872</v>
      </c>
      <c r="Q2690" s="113">
        <f t="shared" si="319"/>
        <v>7.7226072</v>
      </c>
    </row>
    <row r="2691" ht="15" customHeight="1" spans="1:17">
      <c r="A2691" s="57" t="s">
        <v>162</v>
      </c>
      <c r="B2691" s="57" t="s">
        <v>980</v>
      </c>
      <c r="C2691" s="194">
        <f t="shared" si="315"/>
        <v>0.05</v>
      </c>
      <c r="D2691" s="113"/>
      <c r="E2691" s="84">
        <f>F2690+F2678</f>
        <v>305.1380904</v>
      </c>
      <c r="F2691" s="113">
        <f t="shared" si="316"/>
        <v>15.25690452</v>
      </c>
      <c r="G2691" s="57" t="s">
        <v>980</v>
      </c>
      <c r="H2691" s="194">
        <f t="shared" si="317"/>
        <v>0.05</v>
      </c>
      <c r="I2691" s="113"/>
      <c r="J2691" s="84">
        <f>K2690+K2678</f>
        <v>114.2413272</v>
      </c>
      <c r="K2691" s="113">
        <f t="shared" si="318"/>
        <v>5.71206636</v>
      </c>
      <c r="M2691" s="57" t="s">
        <v>980</v>
      </c>
      <c r="N2691" s="194">
        <f>H2691</f>
        <v>0.05</v>
      </c>
      <c r="O2691" s="113"/>
      <c r="P2691" s="84">
        <f>Q2690+Q2678</f>
        <v>114.2413272</v>
      </c>
      <c r="Q2691" s="113">
        <f t="shared" si="319"/>
        <v>5.71206636</v>
      </c>
    </row>
    <row r="2692" ht="15" customHeight="1" spans="1:17">
      <c r="A2692" s="57"/>
      <c r="B2692" s="57" t="s">
        <v>1409</v>
      </c>
      <c r="C2692" s="59" t="s">
        <v>1410</v>
      </c>
      <c r="D2692" s="88">
        <v>10.52</v>
      </c>
      <c r="E2692" s="57">
        <v>106</v>
      </c>
      <c r="F2692" s="113">
        <f>D2692*E2692</f>
        <v>1115.12</v>
      </c>
      <c r="G2692" s="57" t="s">
        <v>1417</v>
      </c>
      <c r="H2692" s="59" t="s">
        <v>1410</v>
      </c>
      <c r="I2692" s="88">
        <v>2.65</v>
      </c>
      <c r="J2692" s="57">
        <f>J2684</f>
        <v>107</v>
      </c>
      <c r="K2692" s="113">
        <f>I2692*J2692</f>
        <v>283.55</v>
      </c>
      <c r="M2692" s="57" t="s">
        <v>1417</v>
      </c>
      <c r="N2692" s="59" t="s">
        <v>1410</v>
      </c>
      <c r="O2692" s="88">
        <v>2.88</v>
      </c>
      <c r="P2692" s="57">
        <f>P2684</f>
        <v>107</v>
      </c>
      <c r="Q2692" s="113">
        <f>O2692*P2692</f>
        <v>308.16</v>
      </c>
    </row>
    <row r="2693" ht="15" customHeight="1" spans="1:17">
      <c r="A2693" s="57" t="s">
        <v>214</v>
      </c>
      <c r="B2693" s="57" t="s">
        <v>976</v>
      </c>
      <c r="C2693" s="195">
        <f>C2670</f>
        <v>0.09</v>
      </c>
      <c r="D2693" s="57"/>
      <c r="E2693" s="84">
        <f>F2678+F2690+F2691+F2692</f>
        <v>1435.51499492</v>
      </c>
      <c r="F2693" s="113">
        <f>E2693*C2693</f>
        <v>129.1963495428</v>
      </c>
      <c r="G2693" s="57" t="s">
        <v>976</v>
      </c>
      <c r="H2693" s="195">
        <f>H2670</f>
        <v>0.09</v>
      </c>
      <c r="I2693" s="57"/>
      <c r="J2693" s="84">
        <f>K2678+K2690+K2691+K2692</f>
        <v>403.50339356</v>
      </c>
      <c r="K2693" s="113">
        <f>J2693*H2693</f>
        <v>36.3153054204</v>
      </c>
      <c r="M2693" s="57" t="s">
        <v>976</v>
      </c>
      <c r="N2693" s="195">
        <f>H2693</f>
        <v>0.09</v>
      </c>
      <c r="O2693" s="57"/>
      <c r="P2693" s="84">
        <f>Q2678+Q2690+Q2691+Q2692</f>
        <v>428.11339356</v>
      </c>
      <c r="Q2693" s="113">
        <f>P2693*N2693</f>
        <v>38.5302054204</v>
      </c>
    </row>
    <row r="2694" ht="15" customHeight="1" spans="1:17">
      <c r="A2694" s="57"/>
      <c r="B2694" s="57" t="s">
        <v>984</v>
      </c>
      <c r="C2694" s="195"/>
      <c r="D2694" s="57"/>
      <c r="E2694" s="84"/>
      <c r="F2694" s="113">
        <f>(F2678+F2690+F2691+F2693)*取费表!H7</f>
        <v>13.487740333884</v>
      </c>
      <c r="G2694" s="57" t="s">
        <v>984</v>
      </c>
      <c r="H2694" s="195"/>
      <c r="I2694" s="57"/>
      <c r="J2694" s="84"/>
      <c r="K2694" s="113">
        <f>(K2678+K2690+K2691+K2693)*取费表!H12</f>
        <v>4.688060969412</v>
      </c>
      <c r="M2694" s="57" t="s">
        <v>984</v>
      </c>
      <c r="N2694" s="195"/>
      <c r="O2694" s="57"/>
      <c r="P2694" s="84"/>
      <c r="Q2694" s="113">
        <f>(Q2678+Q2690+Q2691+Q2693)*取费表!H12</f>
        <v>4.754507969412</v>
      </c>
    </row>
    <row r="2695" ht="15" customHeight="1" spans="1:17">
      <c r="A2695" s="57"/>
      <c r="B2695" s="57" t="s">
        <v>278</v>
      </c>
      <c r="C2695" s="57"/>
      <c r="D2695" s="57"/>
      <c r="E2695" s="57"/>
      <c r="F2695" s="113">
        <f>F2693+E2693+F2694</f>
        <v>1578.19908479668</v>
      </c>
      <c r="G2695" s="57" t="s">
        <v>278</v>
      </c>
      <c r="H2695" s="57"/>
      <c r="I2695" s="57"/>
      <c r="J2695" s="57"/>
      <c r="K2695" s="113">
        <f>K2693+J2693+K2694</f>
        <v>444.506759949812</v>
      </c>
      <c r="M2695" s="57" t="s">
        <v>278</v>
      </c>
      <c r="N2695" s="57"/>
      <c r="O2695" s="57"/>
      <c r="P2695" s="57"/>
      <c r="Q2695" s="113">
        <f>Q2693+P2693+Q2694</f>
        <v>471.398106949812</v>
      </c>
    </row>
    <row r="2696" customHeight="1" spans="1:11">
      <c r="A2696" s="176" t="s">
        <v>1204</v>
      </c>
      <c r="B2696" s="175"/>
      <c r="C2696" s="175"/>
      <c r="D2696" s="175"/>
      <c r="E2696" s="175"/>
      <c r="F2696" s="175"/>
      <c r="G2696" s="175"/>
      <c r="H2696" s="175"/>
      <c r="I2696" s="175"/>
      <c r="J2696" s="175"/>
      <c r="K2696" s="175"/>
    </row>
    <row r="2697" customHeight="1" spans="1:17">
      <c r="A2697" s="242" t="s">
        <v>1418</v>
      </c>
      <c r="C2697" s="243"/>
      <c r="D2697" s="243"/>
      <c r="E2697" s="243"/>
      <c r="F2697" s="243"/>
      <c r="G2697" s="243"/>
      <c r="H2697" s="243"/>
      <c r="I2697" s="243"/>
      <c r="J2697" s="243"/>
      <c r="K2697" s="243"/>
      <c r="M2697" s="176" t="s">
        <v>1412</v>
      </c>
      <c r="N2697" s="176"/>
      <c r="O2697" s="176"/>
      <c r="P2697" s="176"/>
      <c r="Q2697" s="176"/>
    </row>
    <row r="2698" customHeight="1" spans="1:17">
      <c r="A2698" s="191" t="s">
        <v>1419</v>
      </c>
      <c r="B2698" s="191"/>
      <c r="C2698" s="168"/>
      <c r="D2698" s="168"/>
      <c r="E2698" s="191" t="s">
        <v>1420</v>
      </c>
      <c r="F2698" s="191"/>
      <c r="G2698" s="191"/>
      <c r="H2698" s="168"/>
      <c r="I2698" s="168"/>
      <c r="J2698" s="191" t="s">
        <v>1420</v>
      </c>
      <c r="K2698" s="191"/>
      <c r="M2698" s="323" t="s">
        <v>1413</v>
      </c>
      <c r="N2698" s="168"/>
      <c r="O2698" s="168"/>
      <c r="P2698" s="168"/>
      <c r="Q2698" s="168"/>
    </row>
    <row r="2699" customHeight="1" spans="1:17">
      <c r="A2699" s="117" t="s">
        <v>1243</v>
      </c>
      <c r="B2699" s="192"/>
      <c r="C2699" s="192"/>
      <c r="D2699" s="192"/>
      <c r="E2699" s="192"/>
      <c r="F2699" s="118"/>
      <c r="G2699" s="192"/>
      <c r="H2699" s="192"/>
      <c r="I2699" s="192"/>
      <c r="J2699" s="192"/>
      <c r="K2699" s="118"/>
      <c r="M2699" s="191"/>
      <c r="N2699" s="168"/>
      <c r="O2699" s="168"/>
      <c r="P2699" s="191" t="s">
        <v>1398</v>
      </c>
      <c r="Q2699" s="191"/>
    </row>
    <row r="2700" customHeight="1" spans="1:17">
      <c r="A2700" s="57" t="s">
        <v>354</v>
      </c>
      <c r="B2700" s="57" t="s">
        <v>956</v>
      </c>
      <c r="C2700" s="57" t="s">
        <v>52</v>
      </c>
      <c r="D2700" s="57" t="s">
        <v>855</v>
      </c>
      <c r="E2700" s="57" t="s">
        <v>53</v>
      </c>
      <c r="F2700" s="57" t="s">
        <v>306</v>
      </c>
      <c r="G2700" s="57" t="s">
        <v>956</v>
      </c>
      <c r="H2700" s="57" t="s">
        <v>52</v>
      </c>
      <c r="I2700" s="57" t="s">
        <v>855</v>
      </c>
      <c r="J2700" s="57" t="s">
        <v>53</v>
      </c>
      <c r="K2700" s="57" t="s">
        <v>306</v>
      </c>
      <c r="M2700" s="201"/>
      <c r="N2700" s="192"/>
      <c r="O2700" s="192"/>
      <c r="P2700" s="192"/>
      <c r="Q2700" s="118"/>
    </row>
    <row r="2701" customHeight="1" spans="1:17">
      <c r="A2701" s="57" t="s">
        <v>959</v>
      </c>
      <c r="B2701" s="57" t="s">
        <v>960</v>
      </c>
      <c r="C2701" s="57"/>
      <c r="D2701" s="57"/>
      <c r="E2701" s="57"/>
      <c r="F2701" s="84">
        <f>F2702+F2718+F2719</f>
        <v>9801.71124936929</v>
      </c>
      <c r="G2701" s="57" t="s">
        <v>960</v>
      </c>
      <c r="H2701" s="57"/>
      <c r="I2701" s="57"/>
      <c r="J2701" s="57"/>
      <c r="K2701" s="84">
        <f>K2702+K2718+K2719</f>
        <v>5476.61833369932</v>
      </c>
      <c r="M2701" s="57" t="s">
        <v>956</v>
      </c>
      <c r="N2701" s="57" t="s">
        <v>52</v>
      </c>
      <c r="O2701" s="57" t="s">
        <v>855</v>
      </c>
      <c r="P2701" s="57" t="s">
        <v>53</v>
      </c>
      <c r="Q2701" s="57" t="s">
        <v>306</v>
      </c>
    </row>
    <row r="2702" customHeight="1" spans="1:17">
      <c r="A2702" s="57" t="s">
        <v>59</v>
      </c>
      <c r="B2702" s="57" t="s">
        <v>957</v>
      </c>
      <c r="C2702" s="57"/>
      <c r="D2702" s="57"/>
      <c r="E2702" s="57"/>
      <c r="F2702" s="84">
        <f>F2703+F2706+F2714</f>
        <v>9352.77790970352</v>
      </c>
      <c r="G2702" s="57" t="s">
        <v>957</v>
      </c>
      <c r="H2702" s="57"/>
      <c r="I2702" s="57"/>
      <c r="J2702" s="57"/>
      <c r="K2702" s="84">
        <f>K2703+K2706+K2714</f>
        <v>5225.78085276652</v>
      </c>
      <c r="M2702" s="57" t="s">
        <v>960</v>
      </c>
      <c r="N2702" s="57"/>
      <c r="O2702" s="57"/>
      <c r="P2702" s="57"/>
      <c r="Q2702" s="84">
        <f>Q2703+Q2712+Q2713</f>
        <v>106.51872</v>
      </c>
    </row>
    <row r="2703" customHeight="1" spans="1:17">
      <c r="A2703" s="57">
        <v>1</v>
      </c>
      <c r="B2703" s="57" t="s">
        <v>964</v>
      </c>
      <c r="C2703" s="57" t="s">
        <v>965</v>
      </c>
      <c r="D2703" s="84"/>
      <c r="E2703" s="113">
        <f>SUM(E2704:E2705)</f>
        <v>278.9</v>
      </c>
      <c r="F2703" s="113">
        <f>SUM(F2704:F2705)</f>
        <v>2064.069</v>
      </c>
      <c r="G2703" s="57" t="s">
        <v>964</v>
      </c>
      <c r="H2703" s="57" t="s">
        <v>965</v>
      </c>
      <c r="I2703" s="84"/>
      <c r="J2703" s="113">
        <f>SUM(J2704:J2705)</f>
        <v>195.3</v>
      </c>
      <c r="K2703" s="113">
        <f>SUM(K2704:K2705)</f>
        <v>1445.392</v>
      </c>
      <c r="M2703" s="57" t="s">
        <v>957</v>
      </c>
      <c r="N2703" s="57"/>
      <c r="O2703" s="57"/>
      <c r="P2703" s="57"/>
      <c r="Q2703" s="84">
        <f>Q2704+Q2707+Q2711</f>
        <v>101.64</v>
      </c>
    </row>
    <row r="2704" customHeight="1" spans="1:17">
      <c r="A2704" s="57"/>
      <c r="B2704" s="57" t="s">
        <v>966</v>
      </c>
      <c r="C2704" s="57" t="s">
        <v>965</v>
      </c>
      <c r="D2704" s="113">
        <f>D2681</f>
        <v>8.1</v>
      </c>
      <c r="E2704" s="113">
        <v>195.2</v>
      </c>
      <c r="F2704" s="113">
        <f>D2704*E2704</f>
        <v>1581.12</v>
      </c>
      <c r="G2704" s="57" t="s">
        <v>966</v>
      </c>
      <c r="H2704" s="57" t="s">
        <v>965</v>
      </c>
      <c r="I2704" s="113">
        <f t="shared" ref="I2704:I2712" si="320">D2704</f>
        <v>8.1</v>
      </c>
      <c r="J2704" s="113">
        <v>136.7</v>
      </c>
      <c r="K2704" s="113">
        <f>I2704*J2704</f>
        <v>1107.27</v>
      </c>
      <c r="M2704" s="57" t="s">
        <v>964</v>
      </c>
      <c r="N2704" s="57" t="s">
        <v>965</v>
      </c>
      <c r="O2704" s="113"/>
      <c r="P2704" s="113">
        <f>SUM(P2705:P2706)</f>
        <v>16</v>
      </c>
      <c r="Q2704" s="113">
        <f>SUM(Q2705:Q2706)</f>
        <v>101.64</v>
      </c>
    </row>
    <row r="2705" customHeight="1" spans="1:17">
      <c r="A2705" s="57"/>
      <c r="B2705" s="57" t="s">
        <v>968</v>
      </c>
      <c r="C2705" s="57" t="s">
        <v>965</v>
      </c>
      <c r="D2705" s="113">
        <f>D2682</f>
        <v>5.77</v>
      </c>
      <c r="E2705" s="113">
        <v>83.7</v>
      </c>
      <c r="F2705" s="113">
        <f>D2705*E2705</f>
        <v>482.949</v>
      </c>
      <c r="G2705" s="57" t="s">
        <v>968</v>
      </c>
      <c r="H2705" s="57" t="s">
        <v>965</v>
      </c>
      <c r="I2705" s="113">
        <f t="shared" si="320"/>
        <v>5.77</v>
      </c>
      <c r="J2705" s="113">
        <v>58.6</v>
      </c>
      <c r="K2705" s="113">
        <f>I2705*J2705</f>
        <v>338.122</v>
      </c>
      <c r="M2705" s="57" t="s">
        <v>966</v>
      </c>
      <c r="N2705" s="57" t="s">
        <v>965</v>
      </c>
      <c r="O2705" s="113">
        <f>O2681</f>
        <v>8.1</v>
      </c>
      <c r="P2705" s="113">
        <v>4</v>
      </c>
      <c r="Q2705" s="113">
        <f t="shared" ref="Q2705:Q2708" si="321">O2705*P2705</f>
        <v>32.4</v>
      </c>
    </row>
    <row r="2706" customHeight="1" spans="1:17">
      <c r="A2706" s="57">
        <v>2</v>
      </c>
      <c r="B2706" s="57" t="s">
        <v>1219</v>
      </c>
      <c r="C2706" s="57"/>
      <c r="D2706" s="84"/>
      <c r="E2706" s="84"/>
      <c r="F2706" s="84">
        <f>SUM(F2707:F2713)</f>
        <v>2602.386384175</v>
      </c>
      <c r="G2706" s="57" t="s">
        <v>1219</v>
      </c>
      <c r="H2706" s="57"/>
      <c r="I2706" s="84"/>
      <c r="J2706" s="84"/>
      <c r="K2706" s="84">
        <f>SUM(K2707:K2713)</f>
        <v>1641.990689025</v>
      </c>
      <c r="M2706" s="57" t="s">
        <v>968</v>
      </c>
      <c r="N2706" s="57" t="s">
        <v>965</v>
      </c>
      <c r="O2706" s="113">
        <f>O2682</f>
        <v>5.77</v>
      </c>
      <c r="P2706" s="113">
        <v>12</v>
      </c>
      <c r="Q2706" s="113">
        <f t="shared" si="321"/>
        <v>69.24</v>
      </c>
    </row>
    <row r="2707" customHeight="1" spans="1:17">
      <c r="A2707" s="57"/>
      <c r="B2707" s="57" t="s">
        <v>1421</v>
      </c>
      <c r="C2707" s="57" t="s">
        <v>1422</v>
      </c>
      <c r="D2707" s="113"/>
      <c r="E2707" s="59">
        <v>100</v>
      </c>
      <c r="F2707" s="84">
        <f t="shared" ref="F2707:F2712" si="322">D2707*E2707</f>
        <v>0</v>
      </c>
      <c r="G2707" s="57" t="s">
        <v>1423</v>
      </c>
      <c r="H2707" s="57" t="s">
        <v>1422</v>
      </c>
      <c r="I2707" s="113"/>
      <c r="J2707" s="59">
        <v>100</v>
      </c>
      <c r="K2707" s="84">
        <f t="shared" ref="K2707:K2712" si="323">I2707*J2707</f>
        <v>0</v>
      </c>
      <c r="M2707" s="57" t="s">
        <v>1219</v>
      </c>
      <c r="N2707" s="248"/>
      <c r="O2707" s="57"/>
      <c r="P2707" s="57"/>
      <c r="Q2707" s="113">
        <f>SUM(Q2708:Q2710)</f>
        <v>0</v>
      </c>
    </row>
    <row r="2708" customHeight="1" spans="1:17">
      <c r="A2708" s="57"/>
      <c r="B2708" s="57" t="s">
        <v>1424</v>
      </c>
      <c r="C2708" s="57" t="s">
        <v>267</v>
      </c>
      <c r="D2708" s="57">
        <v>51.28</v>
      </c>
      <c r="E2708" s="59">
        <v>21</v>
      </c>
      <c r="F2708" s="84">
        <f t="shared" si="322"/>
        <v>1076.88</v>
      </c>
      <c r="G2708" s="57" t="s">
        <v>1424</v>
      </c>
      <c r="H2708" s="57" t="s">
        <v>267</v>
      </c>
      <c r="I2708" s="57">
        <v>29.91</v>
      </c>
      <c r="J2708" s="59">
        <v>21</v>
      </c>
      <c r="K2708" s="84">
        <f t="shared" si="323"/>
        <v>628.11</v>
      </c>
      <c r="M2708" s="57" t="s">
        <v>1416</v>
      </c>
      <c r="N2708" s="59" t="s">
        <v>1410</v>
      </c>
      <c r="O2708" s="88"/>
      <c r="P2708" s="57">
        <v>107</v>
      </c>
      <c r="Q2708" s="113">
        <f t="shared" si="321"/>
        <v>0</v>
      </c>
    </row>
    <row r="2709" customHeight="1" spans="1:17">
      <c r="A2709" s="57"/>
      <c r="B2709" s="57" t="s">
        <v>1425</v>
      </c>
      <c r="C2709" s="57" t="s">
        <v>1426</v>
      </c>
      <c r="D2709" s="88">
        <f>配合比!M15</f>
        <v>144.68621</v>
      </c>
      <c r="E2709" s="57">
        <v>1</v>
      </c>
      <c r="F2709" s="84">
        <f t="shared" si="322"/>
        <v>144.68621</v>
      </c>
      <c r="G2709" s="57" t="s">
        <v>1425</v>
      </c>
      <c r="H2709" s="57" t="s">
        <v>1426</v>
      </c>
      <c r="I2709" s="88">
        <f t="shared" si="320"/>
        <v>144.68621</v>
      </c>
      <c r="J2709" s="57">
        <v>1</v>
      </c>
      <c r="K2709" s="84">
        <f t="shared" si="323"/>
        <v>144.68621</v>
      </c>
      <c r="M2709" s="57"/>
      <c r="N2709" s="59"/>
      <c r="O2709" s="88"/>
      <c r="P2709" s="57"/>
      <c r="Q2709" s="113"/>
    </row>
    <row r="2710" customHeight="1" spans="1:17">
      <c r="A2710" s="57"/>
      <c r="B2710" s="57" t="s">
        <v>1274</v>
      </c>
      <c r="C2710" s="57" t="s">
        <v>184</v>
      </c>
      <c r="D2710" s="88">
        <f>建筑工程单价分析表!D622</f>
        <v>4.5</v>
      </c>
      <c r="E2710" s="59">
        <v>6</v>
      </c>
      <c r="F2710" s="84">
        <f t="shared" si="322"/>
        <v>27</v>
      </c>
      <c r="G2710" s="57" t="s">
        <v>1274</v>
      </c>
      <c r="H2710" s="57" t="s">
        <v>184</v>
      </c>
      <c r="I2710" s="88">
        <f t="shared" si="320"/>
        <v>4.5</v>
      </c>
      <c r="J2710" s="59">
        <v>4</v>
      </c>
      <c r="K2710" s="84">
        <f t="shared" si="323"/>
        <v>18</v>
      </c>
      <c r="M2710" s="57" t="s">
        <v>1248</v>
      </c>
      <c r="N2710" s="59" t="s">
        <v>423</v>
      </c>
      <c r="O2710" s="113">
        <f>SUM(Q2708:Q2709)</f>
        <v>0</v>
      </c>
      <c r="P2710" s="57">
        <v>2</v>
      </c>
      <c r="Q2710" s="113">
        <f>O2710*P2710/100</f>
        <v>0</v>
      </c>
    </row>
    <row r="2711" customHeight="1" spans="1:17">
      <c r="A2711" s="57"/>
      <c r="B2711" s="57" t="s">
        <v>1427</v>
      </c>
      <c r="C2711" s="57" t="s">
        <v>184</v>
      </c>
      <c r="D2711" s="88">
        <f>建筑工程单价分析表!D623</f>
        <v>7.03</v>
      </c>
      <c r="E2711" s="59">
        <v>23</v>
      </c>
      <c r="F2711" s="84">
        <f t="shared" si="322"/>
        <v>161.69</v>
      </c>
      <c r="G2711" s="57" t="s">
        <v>1427</v>
      </c>
      <c r="H2711" s="57" t="s">
        <v>184</v>
      </c>
      <c r="I2711" s="88">
        <f t="shared" si="320"/>
        <v>7.03</v>
      </c>
      <c r="J2711" s="59">
        <v>19</v>
      </c>
      <c r="K2711" s="84">
        <f t="shared" si="323"/>
        <v>133.57</v>
      </c>
      <c r="M2711" s="57" t="s">
        <v>974</v>
      </c>
      <c r="N2711" s="59"/>
      <c r="O2711" s="113"/>
      <c r="P2711" s="57"/>
      <c r="Q2711" s="113">
        <v>0</v>
      </c>
    </row>
    <row r="2712" customHeight="1" spans="1:17">
      <c r="A2712" s="57"/>
      <c r="B2712" s="57" t="s">
        <v>1272</v>
      </c>
      <c r="C2712" s="57" t="s">
        <v>1426</v>
      </c>
      <c r="D2712" s="88">
        <f>建筑工程单价分析表!D624</f>
        <v>2232.665025</v>
      </c>
      <c r="E2712" s="59">
        <v>0.5</v>
      </c>
      <c r="F2712" s="84">
        <f t="shared" si="322"/>
        <v>1116.3325125</v>
      </c>
      <c r="G2712" s="57" t="s">
        <v>1272</v>
      </c>
      <c r="H2712" s="57" t="s">
        <v>1426</v>
      </c>
      <c r="I2712" s="88">
        <f t="shared" si="320"/>
        <v>2232.665025</v>
      </c>
      <c r="J2712" s="59">
        <v>0.3</v>
      </c>
      <c r="K2712" s="84">
        <f t="shared" si="323"/>
        <v>669.7995075</v>
      </c>
      <c r="M2712" s="57" t="s">
        <v>977</v>
      </c>
      <c r="N2712" s="194">
        <f>N2688</f>
        <v>0.048</v>
      </c>
      <c r="O2712" s="113"/>
      <c r="P2712" s="84">
        <f>Q2703</f>
        <v>101.64</v>
      </c>
      <c r="Q2712" s="113">
        <f t="shared" ref="Q2712:Q2715" si="324">P2712*N2712</f>
        <v>4.87872</v>
      </c>
    </row>
    <row r="2713" customHeight="1" spans="1:17">
      <c r="A2713" s="57"/>
      <c r="B2713" s="57" t="s">
        <v>1248</v>
      </c>
      <c r="C2713" s="59" t="s">
        <v>423</v>
      </c>
      <c r="D2713" s="84">
        <f>SUM(F2707:F2712)</f>
        <v>2526.5887225</v>
      </c>
      <c r="E2713" s="59">
        <v>3</v>
      </c>
      <c r="F2713" s="84">
        <f>D2713*E2713/100</f>
        <v>75.797661675</v>
      </c>
      <c r="G2713" s="57" t="s">
        <v>1248</v>
      </c>
      <c r="H2713" s="59" t="s">
        <v>423</v>
      </c>
      <c r="I2713" s="84">
        <f>SUM(K2707:K2712)</f>
        <v>1594.1657175</v>
      </c>
      <c r="J2713" s="59">
        <v>3</v>
      </c>
      <c r="K2713" s="84">
        <f>I2713*J2713/100</f>
        <v>47.824971525</v>
      </c>
      <c r="M2713" s="57"/>
      <c r="N2713" s="194"/>
      <c r="O2713" s="113"/>
      <c r="P2713" s="84"/>
      <c r="Q2713" s="113"/>
    </row>
    <row r="2714" customHeight="1" spans="1:17">
      <c r="A2714" s="57">
        <v>3</v>
      </c>
      <c r="B2714" s="57" t="s">
        <v>1171</v>
      </c>
      <c r="C2714" s="57"/>
      <c r="D2714" s="84"/>
      <c r="E2714" s="84"/>
      <c r="F2714" s="84">
        <f>SUM(F2715:F2717)</f>
        <v>4686.32252552852</v>
      </c>
      <c r="G2714" s="57" t="s">
        <v>1171</v>
      </c>
      <c r="H2714" s="57"/>
      <c r="I2714" s="84"/>
      <c r="J2714" s="84"/>
      <c r="K2714" s="84">
        <f>SUM(K2715:K2717)</f>
        <v>2138.39816374152</v>
      </c>
      <c r="M2714" s="57" t="s">
        <v>973</v>
      </c>
      <c r="N2714" s="194">
        <f>N2690</f>
        <v>0.0725</v>
      </c>
      <c r="O2714" s="113"/>
      <c r="P2714" s="88">
        <f>Q2702</f>
        <v>106.51872</v>
      </c>
      <c r="Q2714" s="113">
        <f t="shared" si="324"/>
        <v>7.7226072</v>
      </c>
    </row>
    <row r="2715" customHeight="1" spans="1:17">
      <c r="A2715" s="57"/>
      <c r="B2715" s="57" t="s">
        <v>1428</v>
      </c>
      <c r="C2715" s="57" t="s">
        <v>988</v>
      </c>
      <c r="D2715" s="84">
        <f>建筑工程单价分析表!D627</f>
        <v>82.7108699641005</v>
      </c>
      <c r="E2715" s="84">
        <v>20</v>
      </c>
      <c r="F2715" s="84">
        <f>D2715*E2715</f>
        <v>1654.21739928201</v>
      </c>
      <c r="G2715" s="57" t="s">
        <v>1428</v>
      </c>
      <c r="H2715" s="57" t="s">
        <v>988</v>
      </c>
      <c r="I2715" s="84">
        <f>D2715</f>
        <v>82.7108699641005</v>
      </c>
      <c r="J2715" s="84">
        <v>10</v>
      </c>
      <c r="K2715" s="84">
        <f>I2715*J2715</f>
        <v>827.108699641005</v>
      </c>
      <c r="M2715" s="57" t="s">
        <v>980</v>
      </c>
      <c r="N2715" s="194">
        <f>N2691</f>
        <v>0.05</v>
      </c>
      <c r="O2715" s="113"/>
      <c r="P2715" s="84">
        <f>Q2714+Q2702</f>
        <v>114.2413272</v>
      </c>
      <c r="Q2715" s="113">
        <f t="shared" si="324"/>
        <v>5.71206636</v>
      </c>
    </row>
    <row r="2716" customHeight="1" spans="1:17">
      <c r="A2716" s="57"/>
      <c r="B2716" s="57" t="s">
        <v>1429</v>
      </c>
      <c r="C2716" s="57" t="s">
        <v>988</v>
      </c>
      <c r="D2716" s="84">
        <f>建筑工程单价分析表!D628</f>
        <v>74.4593087355405</v>
      </c>
      <c r="E2716" s="84">
        <v>35</v>
      </c>
      <c r="F2716" s="84">
        <f>D2716*E2716</f>
        <v>2606.07580574392</v>
      </c>
      <c r="G2716" s="57" t="s">
        <v>1429</v>
      </c>
      <c r="H2716" s="57" t="s">
        <v>988</v>
      </c>
      <c r="I2716" s="84">
        <f>D2716</f>
        <v>74.4593087355405</v>
      </c>
      <c r="J2716" s="84">
        <v>15</v>
      </c>
      <c r="K2716" s="84">
        <f>I2716*J2716</f>
        <v>1116.88963103311</v>
      </c>
      <c r="M2716" s="57" t="s">
        <v>1417</v>
      </c>
      <c r="N2716" s="59" t="s">
        <v>1410</v>
      </c>
      <c r="O2716" s="88">
        <v>3.24</v>
      </c>
      <c r="P2716" s="57">
        <f>P2708</f>
        <v>107</v>
      </c>
      <c r="Q2716" s="113">
        <f>O2716*P2716</f>
        <v>346.68</v>
      </c>
    </row>
    <row r="2717" customHeight="1" spans="1:17">
      <c r="A2717" s="57"/>
      <c r="B2717" s="57" t="s">
        <v>1223</v>
      </c>
      <c r="C2717" s="59" t="s">
        <v>423</v>
      </c>
      <c r="D2717" s="84">
        <f>SUM(F2715:F2716)</f>
        <v>4260.29320502593</v>
      </c>
      <c r="E2717" s="84">
        <v>10</v>
      </c>
      <c r="F2717" s="84">
        <f>D2717*E2717/100</f>
        <v>426.029320502593</v>
      </c>
      <c r="G2717" s="57" t="s">
        <v>1223</v>
      </c>
      <c r="H2717" s="59" t="s">
        <v>423</v>
      </c>
      <c r="I2717" s="84">
        <f>SUM(K2715:K2716)</f>
        <v>1943.99833067411</v>
      </c>
      <c r="J2717" s="84">
        <v>10</v>
      </c>
      <c r="K2717" s="84">
        <f>I2717*J2717/100</f>
        <v>194.399833067411</v>
      </c>
      <c r="M2717" s="57" t="s">
        <v>976</v>
      </c>
      <c r="N2717" s="195">
        <f>N2693</f>
        <v>0.09</v>
      </c>
      <c r="O2717" s="57"/>
      <c r="P2717" s="84">
        <f>Q2702+Q2714+Q2715+Q2716</f>
        <v>466.63339356</v>
      </c>
      <c r="Q2717" s="113">
        <f>P2717*N2717</f>
        <v>41.9970054204</v>
      </c>
    </row>
    <row r="2718" customHeight="1" spans="1:17">
      <c r="A2718" s="57" t="s">
        <v>70</v>
      </c>
      <c r="B2718" s="57" t="s">
        <v>977</v>
      </c>
      <c r="C2718" s="194">
        <f>建筑工程单价分析表!C630</f>
        <v>0.048</v>
      </c>
      <c r="D2718" s="84"/>
      <c r="E2718" s="84">
        <f>F2702</f>
        <v>9352.77790970352</v>
      </c>
      <c r="F2718" s="84">
        <f t="shared" ref="F2718:F2721" si="325">E2718*C2718</f>
        <v>448.933339665769</v>
      </c>
      <c r="G2718" s="57" t="s">
        <v>977</v>
      </c>
      <c r="H2718" s="194">
        <f t="shared" ref="H2718:H2721" si="326">C2718</f>
        <v>0.048</v>
      </c>
      <c r="I2718" s="84"/>
      <c r="J2718" s="84">
        <f>K2702</f>
        <v>5225.78085276652</v>
      </c>
      <c r="K2718" s="84">
        <f t="shared" ref="K2718:K2721" si="327">J2718*H2718</f>
        <v>250.837480932793</v>
      </c>
      <c r="M2718" s="57" t="s">
        <v>984</v>
      </c>
      <c r="N2718" s="195"/>
      <c r="O2718" s="57"/>
      <c r="P2718" s="84"/>
      <c r="Q2718" s="113">
        <f>(Q2702+Q2714+Q2715+Q2717)*取费表!H36</f>
        <v>0</v>
      </c>
    </row>
    <row r="2719" customHeight="1" spans="1:17">
      <c r="A2719" s="57"/>
      <c r="B2719" s="57"/>
      <c r="C2719" s="194"/>
      <c r="D2719" s="84"/>
      <c r="E2719" s="84"/>
      <c r="F2719" s="84"/>
      <c r="G2719" s="57"/>
      <c r="H2719" s="194"/>
      <c r="I2719" s="84"/>
      <c r="J2719" s="84"/>
      <c r="K2719" s="84"/>
      <c r="M2719" s="57" t="s">
        <v>278</v>
      </c>
      <c r="N2719" s="57"/>
      <c r="O2719" s="57"/>
      <c r="P2719" s="57"/>
      <c r="Q2719" s="113">
        <f>Q2717+P2717+Q2718</f>
        <v>508.6303989804</v>
      </c>
    </row>
    <row r="2720" customHeight="1" spans="1:11">
      <c r="A2720" s="57" t="s">
        <v>979</v>
      </c>
      <c r="B2720" s="57" t="s">
        <v>973</v>
      </c>
      <c r="C2720" s="194">
        <f>建筑工程单价分析表!C632</f>
        <v>0.0725</v>
      </c>
      <c r="D2720" s="84"/>
      <c r="E2720" s="84">
        <f>F2701</f>
        <v>9801.71124936929</v>
      </c>
      <c r="F2720" s="84">
        <f t="shared" si="325"/>
        <v>710.624065579273</v>
      </c>
      <c r="G2720" s="57" t="s">
        <v>973</v>
      </c>
      <c r="H2720" s="194">
        <f t="shared" si="326"/>
        <v>0.0725</v>
      </c>
      <c r="I2720" s="84"/>
      <c r="J2720" s="84">
        <f>K2701</f>
        <v>5476.61833369932</v>
      </c>
      <c r="K2720" s="84">
        <f t="shared" si="327"/>
        <v>397.0548291932</v>
      </c>
    </row>
    <row r="2721" customHeight="1" spans="1:11">
      <c r="A2721" s="57" t="s">
        <v>162</v>
      </c>
      <c r="B2721" s="57" t="s">
        <v>980</v>
      </c>
      <c r="C2721" s="194">
        <f>建筑工程单价分析表!C633</f>
        <v>0.05</v>
      </c>
      <c r="D2721" s="84"/>
      <c r="E2721" s="84">
        <f>F2720+F2701</f>
        <v>10512.3353149486</v>
      </c>
      <c r="F2721" s="84">
        <f t="shared" si="325"/>
        <v>525.616765747428</v>
      </c>
      <c r="G2721" s="57" t="s">
        <v>980</v>
      </c>
      <c r="H2721" s="194">
        <f t="shared" si="326"/>
        <v>0.05</v>
      </c>
      <c r="I2721" s="84"/>
      <c r="J2721" s="84">
        <f>K2720+K2701</f>
        <v>5873.67316289252</v>
      </c>
      <c r="K2721" s="84">
        <f t="shared" si="327"/>
        <v>293.683658144626</v>
      </c>
    </row>
    <row r="2722" customHeight="1" spans="1:11">
      <c r="A2722" s="57"/>
      <c r="B2722" s="57" t="s">
        <v>1430</v>
      </c>
      <c r="C2722" s="269"/>
      <c r="D2722" s="84"/>
      <c r="E2722" s="84"/>
      <c r="F2722" s="84">
        <f>F2723+F2724</f>
        <v>22222</v>
      </c>
      <c r="G2722" s="57" t="s">
        <v>1430</v>
      </c>
      <c r="H2722" s="269"/>
      <c r="I2722" s="84"/>
      <c r="J2722" s="84"/>
      <c r="K2722" s="84">
        <f>K2723+K2724</f>
        <v>13248</v>
      </c>
    </row>
    <row r="2723" customHeight="1" spans="1:11">
      <c r="A2723" s="57"/>
      <c r="B2723" s="57" t="s">
        <v>1421</v>
      </c>
      <c r="C2723" s="57" t="s">
        <v>1422</v>
      </c>
      <c r="D2723" s="84">
        <v>222.22</v>
      </c>
      <c r="E2723" s="84">
        <v>100</v>
      </c>
      <c r="F2723" s="84">
        <f>D2723*E2723</f>
        <v>22222</v>
      </c>
      <c r="G2723" s="57" t="s">
        <v>1423</v>
      </c>
      <c r="H2723" s="57" t="s">
        <v>1422</v>
      </c>
      <c r="I2723" s="84">
        <v>132.48</v>
      </c>
      <c r="J2723" s="84">
        <v>100</v>
      </c>
      <c r="K2723" s="84">
        <f>I2723*J2723</f>
        <v>13248</v>
      </c>
    </row>
    <row r="2724" customHeight="1" spans="1:11">
      <c r="A2724" s="57"/>
      <c r="B2724" s="57"/>
      <c r="C2724" s="57"/>
      <c r="D2724" s="84"/>
      <c r="E2724" s="84"/>
      <c r="F2724" s="84"/>
      <c r="G2724" s="57"/>
      <c r="H2724" s="57"/>
      <c r="I2724" s="84"/>
      <c r="J2724" s="84"/>
      <c r="K2724" s="84"/>
    </row>
    <row r="2725" customHeight="1" spans="1:11">
      <c r="A2725" s="57" t="s">
        <v>214</v>
      </c>
      <c r="B2725" s="57" t="s">
        <v>976</v>
      </c>
      <c r="C2725" s="195">
        <f>建筑工程单价分析表!C637</f>
        <v>0.09</v>
      </c>
      <c r="D2725" s="84"/>
      <c r="E2725" s="84">
        <f>E2721+F2721+F2722</f>
        <v>33259.952080696</v>
      </c>
      <c r="F2725" s="84">
        <f>E2725*C2725</f>
        <v>2993.39568726264</v>
      </c>
      <c r="G2725" s="57" t="s">
        <v>976</v>
      </c>
      <c r="H2725" s="195">
        <f>C2725</f>
        <v>0.09</v>
      </c>
      <c r="I2725" s="84"/>
      <c r="J2725" s="84">
        <f>J2721+K2721+K2722</f>
        <v>19415.3568210371</v>
      </c>
      <c r="K2725" s="84">
        <f>J2725*H2725</f>
        <v>1747.38211389334</v>
      </c>
    </row>
    <row r="2726" customHeight="1" spans="1:11">
      <c r="A2726" s="57"/>
      <c r="B2726" s="57" t="s">
        <v>984</v>
      </c>
      <c r="C2726" s="195"/>
      <c r="D2726" s="84"/>
      <c r="E2726" s="84"/>
      <c r="F2726" s="84">
        <f>(E2725+F2725)*取费表!H12</f>
        <v>1087.60043303876</v>
      </c>
      <c r="G2726" s="57" t="s">
        <v>984</v>
      </c>
      <c r="H2726" s="195"/>
      <c r="I2726" s="84"/>
      <c r="J2726" s="84"/>
      <c r="K2726" s="84">
        <f>(J2725+K2725)*取费表!H12</f>
        <v>634.882168047914</v>
      </c>
    </row>
    <row r="2727" customHeight="1" spans="1:11">
      <c r="A2727" s="57"/>
      <c r="B2727" s="57" t="s">
        <v>278</v>
      </c>
      <c r="C2727" s="57"/>
      <c r="D2727" s="84"/>
      <c r="E2727" s="84"/>
      <c r="F2727" s="84">
        <f>E2725+F2725+F2726</f>
        <v>37340.9482009974</v>
      </c>
      <c r="G2727" s="57" t="s">
        <v>278</v>
      </c>
      <c r="H2727" s="57"/>
      <c r="I2727" s="84"/>
      <c r="J2727" s="84"/>
      <c r="K2727" s="84">
        <f>J2725+K2725+K2726</f>
        <v>21797.6211029784</v>
      </c>
    </row>
    <row r="2728" customHeight="1" spans="1:11">
      <c r="A2728" s="57"/>
      <c r="B2728" s="57"/>
      <c r="C2728" s="57"/>
      <c r="D2728" s="84"/>
      <c r="E2728" s="84"/>
      <c r="F2728" s="84"/>
      <c r="G2728" s="57"/>
      <c r="H2728" s="57"/>
      <c r="I2728" s="84"/>
      <c r="J2728" s="84"/>
      <c r="K2728" s="84"/>
    </row>
    <row r="2729" customHeight="1" spans="1:11">
      <c r="A2729" s="57"/>
      <c r="B2729" s="57"/>
      <c r="C2729" s="57"/>
      <c r="D2729" s="84"/>
      <c r="E2729" s="84"/>
      <c r="F2729" s="84"/>
      <c r="G2729" s="57"/>
      <c r="H2729" s="57"/>
      <c r="I2729" s="84"/>
      <c r="J2729" s="84"/>
      <c r="K2729" s="84"/>
    </row>
    <row r="2730" customHeight="1" spans="1:11">
      <c r="A2730" s="57"/>
      <c r="B2730" s="57"/>
      <c r="C2730" s="57"/>
      <c r="D2730" s="84"/>
      <c r="E2730" s="84"/>
      <c r="F2730" s="84"/>
      <c r="G2730" s="57"/>
      <c r="H2730" s="57"/>
      <c r="I2730" s="84"/>
      <c r="J2730" s="84"/>
      <c r="K2730" s="84"/>
    </row>
    <row r="2731" customHeight="1" spans="1:11">
      <c r="A2731" s="57"/>
      <c r="B2731" s="57"/>
      <c r="C2731" s="57"/>
      <c r="D2731" s="84"/>
      <c r="E2731" s="84"/>
      <c r="F2731" s="84"/>
      <c r="G2731" s="57"/>
      <c r="H2731" s="57"/>
      <c r="I2731" s="84"/>
      <c r="J2731" s="84"/>
      <c r="K2731" s="84"/>
    </row>
    <row r="2732" customHeight="1" spans="1:11">
      <c r="A2732" s="57"/>
      <c r="B2732" s="57"/>
      <c r="C2732" s="57"/>
      <c r="D2732" s="84"/>
      <c r="E2732" s="84"/>
      <c r="F2732" s="84"/>
      <c r="G2732" s="57"/>
      <c r="H2732" s="57"/>
      <c r="I2732" s="84"/>
      <c r="J2732" s="84"/>
      <c r="K2732" s="84"/>
    </row>
    <row r="2733" customHeight="1" spans="1:11">
      <c r="A2733" s="57"/>
      <c r="B2733" s="57"/>
      <c r="C2733" s="57"/>
      <c r="D2733" s="84"/>
      <c r="E2733" s="84"/>
      <c r="F2733" s="84"/>
      <c r="G2733" s="57"/>
      <c r="H2733" s="57"/>
      <c r="I2733" s="84"/>
      <c r="J2733" s="84"/>
      <c r="K2733" s="84"/>
    </row>
    <row r="2734" ht="17.1" customHeight="1" spans="1:6">
      <c r="A2734"/>
      <c r="B2734"/>
      <c r="C2734"/>
      <c r="D2734"/>
      <c r="E2734"/>
      <c r="F2734"/>
    </row>
    <row r="2735" ht="17.1" customHeight="1" spans="1:6">
      <c r="A2735"/>
      <c r="B2735"/>
      <c r="C2735"/>
      <c r="D2735"/>
      <c r="E2735"/>
      <c r="F2735"/>
    </row>
    <row r="2736" ht="17.1" customHeight="1" spans="1:6">
      <c r="A2736"/>
      <c r="B2736"/>
      <c r="C2736"/>
      <c r="D2736"/>
      <c r="E2736"/>
      <c r="F2736"/>
    </row>
    <row r="2737" ht="17.1" customHeight="1" spans="1:6">
      <c r="A2737"/>
      <c r="B2737"/>
      <c r="C2737"/>
      <c r="D2737"/>
      <c r="E2737"/>
      <c r="F2737"/>
    </row>
    <row r="2738" ht="17.1" customHeight="1" spans="1:6">
      <c r="A2738"/>
      <c r="B2738"/>
      <c r="C2738"/>
      <c r="D2738"/>
      <c r="E2738"/>
      <c r="F2738"/>
    </row>
    <row r="2739" ht="17.1" customHeight="1" spans="1:6">
      <c r="A2739"/>
      <c r="B2739"/>
      <c r="C2739"/>
      <c r="D2739"/>
      <c r="E2739"/>
      <c r="F2739"/>
    </row>
    <row r="2740" ht="17.1" customHeight="1" spans="1:6">
      <c r="A2740"/>
      <c r="B2740"/>
      <c r="C2740"/>
      <c r="D2740"/>
      <c r="E2740"/>
      <c r="F2740"/>
    </row>
    <row r="2741" ht="17.1" customHeight="1" spans="1:6">
      <c r="A2741"/>
      <c r="B2741"/>
      <c r="C2741"/>
      <c r="D2741"/>
      <c r="E2741"/>
      <c r="F2741"/>
    </row>
    <row r="2742" ht="17.1" customHeight="1" spans="1:6">
      <c r="A2742"/>
      <c r="B2742"/>
      <c r="C2742"/>
      <c r="D2742"/>
      <c r="E2742"/>
      <c r="F2742"/>
    </row>
    <row r="2743" ht="17.1" customHeight="1" spans="1:6">
      <c r="A2743"/>
      <c r="B2743"/>
      <c r="C2743"/>
      <c r="D2743"/>
      <c r="E2743"/>
      <c r="F2743"/>
    </row>
    <row r="2744" ht="17.1" customHeight="1" spans="1:6">
      <c r="A2744"/>
      <c r="B2744"/>
      <c r="C2744"/>
      <c r="D2744"/>
      <c r="E2744"/>
      <c r="F2744"/>
    </row>
    <row r="2745" ht="17.1" customHeight="1" spans="1:6">
      <c r="A2745"/>
      <c r="B2745"/>
      <c r="C2745"/>
      <c r="D2745"/>
      <c r="E2745"/>
      <c r="F2745"/>
    </row>
    <row r="2746" ht="17.1" customHeight="1" spans="1:6">
      <c r="A2746"/>
      <c r="B2746"/>
      <c r="C2746"/>
      <c r="D2746"/>
      <c r="E2746"/>
      <c r="F2746"/>
    </row>
    <row r="2747" ht="17.1" customHeight="1" spans="1:6">
      <c r="A2747"/>
      <c r="B2747"/>
      <c r="C2747"/>
      <c r="D2747"/>
      <c r="E2747"/>
      <c r="F2747"/>
    </row>
    <row r="2748" ht="17.1" customHeight="1" spans="1:6">
      <c r="A2748"/>
      <c r="B2748"/>
      <c r="C2748"/>
      <c r="D2748"/>
      <c r="E2748"/>
      <c r="F2748"/>
    </row>
    <row r="2749" ht="17.1" customHeight="1" spans="1:6">
      <c r="A2749"/>
      <c r="B2749"/>
      <c r="C2749"/>
      <c r="D2749"/>
      <c r="E2749"/>
      <c r="F2749"/>
    </row>
    <row r="2750" ht="17.1" customHeight="1" spans="1:6">
      <c r="A2750"/>
      <c r="B2750"/>
      <c r="C2750"/>
      <c r="D2750"/>
      <c r="E2750"/>
      <c r="F2750"/>
    </row>
    <row r="2751" ht="17.1" customHeight="1" spans="1:6">
      <c r="A2751"/>
      <c r="B2751"/>
      <c r="C2751"/>
      <c r="D2751"/>
      <c r="E2751"/>
      <c r="F2751"/>
    </row>
    <row r="2752" ht="17.1" customHeight="1" spans="1:6">
      <c r="A2752"/>
      <c r="B2752"/>
      <c r="C2752"/>
      <c r="D2752"/>
      <c r="E2752"/>
      <c r="F2752"/>
    </row>
    <row r="2753" ht="17.1" customHeight="1" spans="1:6">
      <c r="A2753"/>
      <c r="B2753"/>
      <c r="C2753"/>
      <c r="D2753"/>
      <c r="E2753"/>
      <c r="F2753"/>
    </row>
    <row r="2754" ht="17.1" customHeight="1" spans="1:6">
      <c r="A2754"/>
      <c r="B2754"/>
      <c r="C2754"/>
      <c r="D2754"/>
      <c r="E2754"/>
      <c r="F2754"/>
    </row>
    <row r="2755" ht="17.1" customHeight="1" spans="1:6">
      <c r="A2755"/>
      <c r="B2755"/>
      <c r="C2755"/>
      <c r="D2755"/>
      <c r="E2755"/>
      <c r="F2755"/>
    </row>
    <row r="2756" ht="17.1" customHeight="1" spans="1:6">
      <c r="A2756"/>
      <c r="B2756"/>
      <c r="C2756"/>
      <c r="D2756"/>
      <c r="E2756"/>
      <c r="F2756"/>
    </row>
    <row r="2757" ht="17.1" customHeight="1" spans="1:6">
      <c r="A2757"/>
      <c r="B2757"/>
      <c r="C2757"/>
      <c r="D2757"/>
      <c r="E2757"/>
      <c r="F2757"/>
    </row>
    <row r="2758" ht="17.1" customHeight="1" spans="1:6">
      <c r="A2758"/>
      <c r="B2758"/>
      <c r="C2758"/>
      <c r="D2758"/>
      <c r="E2758"/>
      <c r="F2758"/>
    </row>
    <row r="2759" ht="17.1" customHeight="1" spans="1:6">
      <c r="A2759"/>
      <c r="B2759"/>
      <c r="C2759"/>
      <c r="D2759"/>
      <c r="E2759"/>
      <c r="F2759"/>
    </row>
    <row r="2760" ht="17.1" customHeight="1" spans="1:6">
      <c r="A2760"/>
      <c r="B2760"/>
      <c r="C2760"/>
      <c r="D2760"/>
      <c r="E2760"/>
      <c r="F2760"/>
    </row>
    <row r="2761" ht="17.1" customHeight="1" spans="1:6">
      <c r="A2761"/>
      <c r="B2761"/>
      <c r="C2761"/>
      <c r="D2761"/>
      <c r="E2761"/>
      <c r="F2761"/>
    </row>
    <row r="2762" ht="17.1" customHeight="1" spans="1:6">
      <c r="A2762"/>
      <c r="B2762"/>
      <c r="C2762"/>
      <c r="D2762"/>
      <c r="E2762"/>
      <c r="F2762"/>
    </row>
    <row r="2763" ht="17.1" customHeight="1" spans="1:6">
      <c r="A2763"/>
      <c r="B2763"/>
      <c r="C2763"/>
      <c r="D2763"/>
      <c r="E2763"/>
      <c r="F2763"/>
    </row>
    <row r="2764" ht="17.1" customHeight="1" spans="1:6">
      <c r="A2764"/>
      <c r="B2764"/>
      <c r="C2764"/>
      <c r="D2764"/>
      <c r="E2764"/>
      <c r="F2764"/>
    </row>
    <row r="2765" ht="17.1" customHeight="1" spans="1:6">
      <c r="A2765"/>
      <c r="B2765"/>
      <c r="C2765"/>
      <c r="D2765"/>
      <c r="E2765"/>
      <c r="F2765"/>
    </row>
    <row r="2766" ht="17.1" customHeight="1" spans="1:6">
      <c r="A2766"/>
      <c r="B2766"/>
      <c r="C2766"/>
      <c r="D2766"/>
      <c r="E2766"/>
      <c r="F2766"/>
    </row>
    <row r="2767" ht="17.1" customHeight="1" spans="1:6">
      <c r="A2767"/>
      <c r="B2767"/>
      <c r="C2767"/>
      <c r="D2767"/>
      <c r="E2767"/>
      <c r="F2767"/>
    </row>
    <row r="2768" ht="17.1" customHeight="1" spans="1:6">
      <c r="A2768"/>
      <c r="B2768"/>
      <c r="C2768"/>
      <c r="D2768"/>
      <c r="E2768"/>
      <c r="F2768"/>
    </row>
    <row r="2769" ht="17.1" customHeight="1" spans="1:6">
      <c r="A2769"/>
      <c r="B2769"/>
      <c r="C2769"/>
      <c r="D2769"/>
      <c r="E2769"/>
      <c r="F2769"/>
    </row>
    <row r="2770" ht="17.1" customHeight="1" spans="1:6">
      <c r="A2770"/>
      <c r="B2770"/>
      <c r="C2770"/>
      <c r="D2770"/>
      <c r="E2770"/>
      <c r="F2770"/>
    </row>
    <row r="2771" ht="17.1" customHeight="1" spans="1:6">
      <c r="A2771"/>
      <c r="B2771"/>
      <c r="C2771"/>
      <c r="D2771"/>
      <c r="E2771"/>
      <c r="F2771"/>
    </row>
    <row r="2772" ht="17.1" customHeight="1" spans="1:6">
      <c r="A2772"/>
      <c r="B2772"/>
      <c r="C2772"/>
      <c r="D2772"/>
      <c r="E2772"/>
      <c r="F2772"/>
    </row>
    <row r="2773" ht="17.1" customHeight="1" spans="1:6">
      <c r="A2773"/>
      <c r="B2773"/>
      <c r="C2773"/>
      <c r="D2773"/>
      <c r="E2773"/>
      <c r="F2773"/>
    </row>
    <row r="2774" ht="17.1" customHeight="1" spans="1:6">
      <c r="A2774" s="176" t="s">
        <v>1204</v>
      </c>
      <c r="B2774" s="175"/>
      <c r="C2774" s="175"/>
      <c r="D2774" s="175"/>
      <c r="E2774" s="175"/>
      <c r="F2774" s="175"/>
    </row>
    <row r="2775" ht="17.1" customHeight="1" spans="1:6">
      <c r="A2775" s="242" t="s">
        <v>1431</v>
      </c>
      <c r="C2775" s="243"/>
      <c r="D2775" s="243"/>
      <c r="E2775" s="243"/>
      <c r="F2775" s="243"/>
    </row>
    <row r="2776" ht="17.1" customHeight="1" spans="1:6">
      <c r="A2776" s="191" t="s">
        <v>1432</v>
      </c>
      <c r="B2776" s="191"/>
      <c r="C2776" s="168"/>
      <c r="D2776" s="168"/>
      <c r="E2776" s="191" t="s">
        <v>1420</v>
      </c>
      <c r="F2776" s="191"/>
    </row>
    <row r="2777" ht="17.1" customHeight="1" spans="1:6">
      <c r="A2777" s="117" t="s">
        <v>1433</v>
      </c>
      <c r="B2777" s="192"/>
      <c r="C2777" s="192"/>
      <c r="D2777" s="192"/>
      <c r="E2777" s="192"/>
      <c r="F2777" s="118"/>
    </row>
    <row r="2778" ht="17.1" customHeight="1" spans="1:6">
      <c r="A2778" s="57" t="s">
        <v>354</v>
      </c>
      <c r="B2778" s="57" t="s">
        <v>956</v>
      </c>
      <c r="C2778" s="57" t="s">
        <v>52</v>
      </c>
      <c r="D2778" s="57" t="s">
        <v>855</v>
      </c>
      <c r="E2778" s="57" t="s">
        <v>53</v>
      </c>
      <c r="F2778" s="57" t="s">
        <v>306</v>
      </c>
    </row>
    <row r="2779" ht="17.1" customHeight="1" spans="1:6">
      <c r="A2779" s="57" t="s">
        <v>959</v>
      </c>
      <c r="B2779" s="57" t="s">
        <v>960</v>
      </c>
      <c r="C2779" s="57"/>
      <c r="D2779" s="57"/>
      <c r="E2779" s="57"/>
      <c r="F2779" s="84">
        <f>F2780+F2796+F2797</f>
        <v>19651.6677045678</v>
      </c>
    </row>
    <row r="2780" ht="17.1" customHeight="1" spans="1:6">
      <c r="A2780" s="57" t="s">
        <v>59</v>
      </c>
      <c r="B2780" s="57" t="s">
        <v>957</v>
      </c>
      <c r="C2780" s="57"/>
      <c r="D2780" s="57"/>
      <c r="E2780" s="57"/>
      <c r="F2780" s="84">
        <f>F2781+F2784+F2792</f>
        <v>18751.5913211525</v>
      </c>
    </row>
    <row r="2781" ht="17.1" customHeight="1" spans="1:6">
      <c r="A2781" s="57">
        <v>1</v>
      </c>
      <c r="B2781" s="57" t="s">
        <v>964</v>
      </c>
      <c r="C2781" s="57" t="s">
        <v>965</v>
      </c>
      <c r="D2781" s="84"/>
      <c r="E2781" s="113">
        <f>SUM(E2782:E2783)</f>
        <v>531.2</v>
      </c>
      <c r="F2781" s="113">
        <f>SUM(F2782:F2783)</f>
        <v>3931.318</v>
      </c>
    </row>
    <row r="2782" ht="17.1" customHeight="1" spans="1:6">
      <c r="A2782" s="57"/>
      <c r="B2782" s="57" t="s">
        <v>966</v>
      </c>
      <c r="C2782" s="57" t="s">
        <v>965</v>
      </c>
      <c r="D2782" s="113">
        <f>建筑工程单价分析表!D616</f>
        <v>8.1</v>
      </c>
      <c r="E2782" s="113">
        <v>371.8</v>
      </c>
      <c r="F2782" s="113">
        <f>D2782*E2782</f>
        <v>3011.58</v>
      </c>
    </row>
    <row r="2783" ht="17.1" customHeight="1" spans="1:6">
      <c r="A2783" s="57"/>
      <c r="B2783" s="57" t="s">
        <v>968</v>
      </c>
      <c r="C2783" s="57" t="s">
        <v>965</v>
      </c>
      <c r="D2783" s="113">
        <f>建筑工程单价分析表!D617</f>
        <v>5.77</v>
      </c>
      <c r="E2783" s="113">
        <v>159.4</v>
      </c>
      <c r="F2783" s="113">
        <f>D2783*E2783</f>
        <v>919.738</v>
      </c>
    </row>
    <row r="2784" ht="17.1" customHeight="1" spans="1:6">
      <c r="A2784" s="57">
        <v>2</v>
      </c>
      <c r="B2784" s="57" t="s">
        <v>1219</v>
      </c>
      <c r="C2784" s="57"/>
      <c r="D2784" s="84"/>
      <c r="E2784" s="84"/>
      <c r="F2784" s="84">
        <f>SUM(F2785:F2791)</f>
        <v>5038.10207205</v>
      </c>
    </row>
    <row r="2785" ht="45" customHeight="1" spans="1:6">
      <c r="A2785" s="57"/>
      <c r="B2785" s="245" t="s">
        <v>1434</v>
      </c>
      <c r="C2785" s="57" t="s">
        <v>1422</v>
      </c>
      <c r="D2785" s="113"/>
      <c r="E2785" s="59">
        <v>100</v>
      </c>
      <c r="F2785" s="84">
        <f t="shared" ref="F2785:F2790" si="328">D2785*E2785</f>
        <v>0</v>
      </c>
    </row>
    <row r="2786" ht="17.1" customHeight="1" spans="1:6">
      <c r="A2786" s="57"/>
      <c r="B2786" s="57" t="s">
        <v>1424</v>
      </c>
      <c r="C2786" s="57" t="s">
        <v>267</v>
      </c>
      <c r="D2786" s="57">
        <v>106.19</v>
      </c>
      <c r="E2786" s="59">
        <v>21</v>
      </c>
      <c r="F2786" s="84">
        <f t="shared" si="328"/>
        <v>2229.99</v>
      </c>
    </row>
    <row r="2787" ht="17.1" customHeight="1" spans="1:6">
      <c r="A2787" s="57"/>
      <c r="B2787" s="57" t="s">
        <v>1425</v>
      </c>
      <c r="C2787" s="57" t="s">
        <v>1426</v>
      </c>
      <c r="D2787" s="88">
        <f>建筑工程单价分析表!D621</f>
        <v>144.68621</v>
      </c>
      <c r="E2787" s="57">
        <v>1</v>
      </c>
      <c r="F2787" s="84">
        <f t="shared" si="328"/>
        <v>144.68621</v>
      </c>
    </row>
    <row r="2788" ht="17.1" customHeight="1" spans="1:6">
      <c r="A2788" s="57"/>
      <c r="B2788" s="57" t="s">
        <v>1274</v>
      </c>
      <c r="C2788" s="57" t="s">
        <v>184</v>
      </c>
      <c r="D2788" s="84">
        <f>建筑工程单价分析表!D622</f>
        <v>4.5</v>
      </c>
      <c r="E2788" s="59">
        <v>10</v>
      </c>
      <c r="F2788" s="84">
        <f t="shared" si="328"/>
        <v>45</v>
      </c>
    </row>
    <row r="2789" ht="17.1" customHeight="1" spans="1:6">
      <c r="A2789" s="57"/>
      <c r="B2789" s="57" t="s">
        <v>1427</v>
      </c>
      <c r="C2789" s="57" t="s">
        <v>184</v>
      </c>
      <c r="D2789" s="84">
        <f>建筑工程单价分析表!D623</f>
        <v>7.03</v>
      </c>
      <c r="E2789" s="59">
        <v>34</v>
      </c>
      <c r="F2789" s="84">
        <f t="shared" si="328"/>
        <v>239.02</v>
      </c>
    </row>
    <row r="2790" ht="17.1" customHeight="1" spans="1:6">
      <c r="A2790" s="57"/>
      <c r="B2790" s="57" t="s">
        <v>1272</v>
      </c>
      <c r="C2790" s="57" t="s">
        <v>1426</v>
      </c>
      <c r="D2790" s="84">
        <f>建筑工程单价分析表!D624</f>
        <v>2232.665025</v>
      </c>
      <c r="E2790" s="59">
        <v>1</v>
      </c>
      <c r="F2790" s="84">
        <f t="shared" si="328"/>
        <v>2232.665025</v>
      </c>
    </row>
    <row r="2791" ht="17.1" customHeight="1" spans="1:6">
      <c r="A2791" s="57"/>
      <c r="B2791" s="57" t="s">
        <v>1248</v>
      </c>
      <c r="C2791" s="59" t="s">
        <v>423</v>
      </c>
      <c r="D2791" s="84">
        <f>SUM(F2785:F2790)</f>
        <v>4891.361235</v>
      </c>
      <c r="E2791" s="59">
        <v>3</v>
      </c>
      <c r="F2791" s="84">
        <f>D2791*E2791/100</f>
        <v>146.74083705</v>
      </c>
    </row>
    <row r="2792" ht="17.1" customHeight="1" spans="1:6">
      <c r="A2792" s="57">
        <v>3</v>
      </c>
      <c r="B2792" s="57" t="s">
        <v>1171</v>
      </c>
      <c r="C2792" s="57"/>
      <c r="D2792" s="84"/>
      <c r="E2792" s="84"/>
      <c r="F2792" s="84">
        <f>SUM(F2793:F2795)</f>
        <v>9782.17124910251</v>
      </c>
    </row>
    <row r="2793" ht="17.1" customHeight="1" spans="1:6">
      <c r="A2793" s="57"/>
      <c r="B2793" s="57" t="s">
        <v>1428</v>
      </c>
      <c r="C2793" s="57" t="s">
        <v>988</v>
      </c>
      <c r="D2793" s="84">
        <f>建筑工程单价分析表!D627</f>
        <v>82.7108699641005</v>
      </c>
      <c r="E2793" s="84">
        <v>40</v>
      </c>
      <c r="F2793" s="84">
        <f>D2793*E2793</f>
        <v>3308.43479856402</v>
      </c>
    </row>
    <row r="2794" ht="17.1" customHeight="1" spans="1:6">
      <c r="A2794" s="57"/>
      <c r="B2794" s="57" t="s">
        <v>1429</v>
      </c>
      <c r="C2794" s="57" t="s">
        <v>988</v>
      </c>
      <c r="D2794" s="84">
        <f>建筑工程单价分析表!D628</f>
        <v>74.4593087355405</v>
      </c>
      <c r="E2794" s="84">
        <v>75</v>
      </c>
      <c r="F2794" s="84">
        <f>D2794*E2794</f>
        <v>5584.44815516554</v>
      </c>
    </row>
    <row r="2795" ht="17.1" customHeight="1" spans="1:6">
      <c r="A2795" s="57"/>
      <c r="B2795" s="57" t="s">
        <v>1223</v>
      </c>
      <c r="C2795" s="59" t="s">
        <v>423</v>
      </c>
      <c r="D2795" s="84">
        <f>SUM(F2793:F2794)</f>
        <v>8892.88295372956</v>
      </c>
      <c r="E2795" s="84">
        <v>10</v>
      </c>
      <c r="F2795" s="84">
        <f>D2795*E2795/100</f>
        <v>889.288295372956</v>
      </c>
    </row>
    <row r="2796" ht="17.1" customHeight="1" spans="1:6">
      <c r="A2796" s="57" t="s">
        <v>70</v>
      </c>
      <c r="B2796" s="57" t="s">
        <v>977</v>
      </c>
      <c r="C2796" s="194">
        <f>取费表!$C$12</f>
        <v>0.048</v>
      </c>
      <c r="D2796" s="84"/>
      <c r="E2796" s="84">
        <f>F2780</f>
        <v>18751.5913211525</v>
      </c>
      <c r="F2796" s="84">
        <f t="shared" ref="F2796:F2799" si="329">E2796*C2796</f>
        <v>900.076383415321</v>
      </c>
    </row>
    <row r="2797" ht="17.1" customHeight="1" spans="1:6">
      <c r="A2797" s="57"/>
      <c r="B2797" s="57"/>
      <c r="C2797" s="194"/>
      <c r="D2797" s="84"/>
      <c r="E2797" s="84"/>
      <c r="F2797" s="84"/>
    </row>
    <row r="2798" ht="17.1" customHeight="1" spans="1:6">
      <c r="A2798" s="57" t="s">
        <v>979</v>
      </c>
      <c r="B2798" s="57" t="s">
        <v>973</v>
      </c>
      <c r="C2798" s="194">
        <f>取费表!$E$12</f>
        <v>0.0725</v>
      </c>
      <c r="D2798" s="84"/>
      <c r="E2798" s="84">
        <f>F2779</f>
        <v>19651.6677045678</v>
      </c>
      <c r="F2798" s="84">
        <f t="shared" si="329"/>
        <v>1424.74590858117</v>
      </c>
    </row>
    <row r="2799" ht="17.1" customHeight="1" spans="1:6">
      <c r="A2799" s="57" t="s">
        <v>162</v>
      </c>
      <c r="B2799" s="57" t="s">
        <v>980</v>
      </c>
      <c r="C2799" s="194">
        <f>取费表!$F$12</f>
        <v>0.05</v>
      </c>
      <c r="D2799" s="84"/>
      <c r="E2799" s="84">
        <f>F2798+F2779</f>
        <v>21076.413613149</v>
      </c>
      <c r="F2799" s="84">
        <f t="shared" si="329"/>
        <v>1053.82068065745</v>
      </c>
    </row>
    <row r="2800" ht="17.1" customHeight="1" spans="1:6">
      <c r="A2800" s="57"/>
      <c r="B2800" s="57" t="s">
        <v>1430</v>
      </c>
      <c r="C2800" s="269"/>
      <c r="D2800" s="84"/>
      <c r="E2800" s="84"/>
      <c r="F2800" s="84">
        <f>F2801+F2802</f>
        <v>95398</v>
      </c>
    </row>
    <row r="2801" ht="36.95" customHeight="1" spans="1:6">
      <c r="A2801" s="57"/>
      <c r="B2801" s="245" t="str">
        <f>B2785</f>
        <v>DN1000预应力钢筋制安砼管（Ⅱ级）</v>
      </c>
      <c r="C2801" s="57" t="s">
        <v>1422</v>
      </c>
      <c r="D2801" s="84">
        <v>953.98</v>
      </c>
      <c r="E2801" s="84">
        <v>100</v>
      </c>
      <c r="F2801" s="84">
        <f>D2801*E2801</f>
        <v>95398</v>
      </c>
    </row>
    <row r="2802" ht="17.1" customHeight="1" spans="1:6">
      <c r="A2802" s="57"/>
      <c r="B2802" s="57"/>
      <c r="C2802" s="57"/>
      <c r="D2802" s="84"/>
      <c r="E2802" s="84"/>
      <c r="F2802" s="84"/>
    </row>
    <row r="2803" ht="17.1" customHeight="1" spans="1:6">
      <c r="A2803" s="57" t="s">
        <v>214</v>
      </c>
      <c r="B2803" s="57" t="s">
        <v>976</v>
      </c>
      <c r="C2803" s="195">
        <f>建筑工程单价分析表!C637</f>
        <v>0.09</v>
      </c>
      <c r="D2803" s="84"/>
      <c r="E2803" s="84">
        <f>E2799+F2799+F2800</f>
        <v>117528.234293806</v>
      </c>
      <c r="F2803" s="84">
        <f>E2803*C2803</f>
        <v>10577.5410864426</v>
      </c>
    </row>
    <row r="2804" ht="17.1" customHeight="1" spans="1:6">
      <c r="A2804" s="57"/>
      <c r="B2804" s="57" t="s">
        <v>984</v>
      </c>
      <c r="C2804" s="195"/>
      <c r="D2804" s="84"/>
      <c r="E2804" s="84"/>
      <c r="F2804" s="84">
        <f>(E2803+F2803)*取费表!H12</f>
        <v>3843.17326140747</v>
      </c>
    </row>
    <row r="2805" ht="17.1" customHeight="1" spans="1:6">
      <c r="A2805" s="57"/>
      <c r="B2805" s="57" t="s">
        <v>278</v>
      </c>
      <c r="C2805" s="57"/>
      <c r="D2805" s="84"/>
      <c r="E2805" s="84"/>
      <c r="F2805" s="84">
        <f>E2803+F2803+F2804</f>
        <v>131948.948641656</v>
      </c>
    </row>
    <row r="2806" ht="17.1" customHeight="1" spans="1:6">
      <c r="A2806" s="57"/>
      <c r="B2806" s="57"/>
      <c r="C2806" s="57"/>
      <c r="D2806" s="84"/>
      <c r="E2806" s="84"/>
      <c r="F2806" s="84"/>
    </row>
    <row r="2807" ht="17.1" customHeight="1" spans="1:6">
      <c r="A2807" s="57"/>
      <c r="B2807" s="57"/>
      <c r="C2807" s="57"/>
      <c r="D2807" s="84"/>
      <c r="E2807" s="84"/>
      <c r="F2807" s="84"/>
    </row>
    <row r="2808" ht="17.1" customHeight="1" spans="1:6">
      <c r="A2808" s="57"/>
      <c r="B2808" s="57"/>
      <c r="C2808" s="57"/>
      <c r="D2808" s="84"/>
      <c r="E2808" s="84"/>
      <c r="F2808" s="84"/>
    </row>
    <row r="2809" ht="17.1" customHeight="1" spans="1:6">
      <c r="A2809" s="57"/>
      <c r="B2809" s="57"/>
      <c r="C2809" s="57"/>
      <c r="D2809" s="84"/>
      <c r="E2809" s="84"/>
      <c r="F2809" s="84"/>
    </row>
    <row r="2810" ht="17.1" customHeight="1" spans="1:6">
      <c r="A2810" s="57"/>
      <c r="B2810" s="57"/>
      <c r="C2810" s="57"/>
      <c r="D2810" s="84"/>
      <c r="E2810" s="84"/>
      <c r="F2810" s="84"/>
    </row>
    <row r="2811" ht="17.1" customHeight="1" spans="1:6">
      <c r="A2811" s="57"/>
      <c r="B2811" s="57"/>
      <c r="C2811" s="57"/>
      <c r="D2811" s="84"/>
      <c r="E2811" s="84"/>
      <c r="F2811" s="84"/>
    </row>
    <row r="2812" ht="17.1" customHeight="1" spans="1:6">
      <c r="A2812" s="57"/>
      <c r="B2812" s="57"/>
      <c r="C2812" s="57"/>
      <c r="D2812" s="84"/>
      <c r="E2812" s="84"/>
      <c r="F2812" s="84"/>
    </row>
    <row r="2813" ht="17.1" customHeight="1" spans="1:6">
      <c r="A2813" s="57"/>
      <c r="B2813" s="57"/>
      <c r="C2813" s="57"/>
      <c r="D2813" s="84"/>
      <c r="E2813" s="84"/>
      <c r="F2813" s="84"/>
    </row>
    <row r="2814" ht="17.1" customHeight="1" spans="1:6">
      <c r="A2814" s="176" t="s">
        <v>1204</v>
      </c>
      <c r="B2814" s="175"/>
      <c r="C2814" s="175"/>
      <c r="D2814" s="175"/>
      <c r="E2814" s="175"/>
      <c r="F2814" s="175"/>
    </row>
    <row r="2815" ht="17.1" customHeight="1" spans="1:6">
      <c r="A2815" s="242" t="s">
        <v>1435</v>
      </c>
      <c r="C2815" s="243"/>
      <c r="D2815" s="243"/>
      <c r="E2815" s="243"/>
      <c r="F2815" s="243"/>
    </row>
    <row r="2816" ht="17.1" customHeight="1" spans="1:6">
      <c r="A2816" s="191" t="s">
        <v>1436</v>
      </c>
      <c r="B2816" s="191"/>
      <c r="C2816" s="168"/>
      <c r="D2816" s="168"/>
      <c r="E2816" s="191" t="s">
        <v>1420</v>
      </c>
      <c r="F2816" s="191"/>
    </row>
    <row r="2817" ht="17.1" customHeight="1" spans="1:6">
      <c r="A2817" s="117" t="s">
        <v>1433</v>
      </c>
      <c r="B2817" s="192"/>
      <c r="C2817" s="192"/>
      <c r="D2817" s="192"/>
      <c r="E2817" s="192"/>
      <c r="F2817" s="118"/>
    </row>
    <row r="2818" ht="17.1" customHeight="1" spans="1:6">
      <c r="A2818" s="57" t="s">
        <v>354</v>
      </c>
      <c r="B2818" s="57" t="s">
        <v>956</v>
      </c>
      <c r="C2818" s="57" t="s">
        <v>52</v>
      </c>
      <c r="D2818" s="57" t="s">
        <v>855</v>
      </c>
      <c r="E2818" s="57" t="s">
        <v>53</v>
      </c>
      <c r="F2818" s="57" t="s">
        <v>306</v>
      </c>
    </row>
    <row r="2819" ht="17.1" customHeight="1" spans="1:6">
      <c r="A2819" s="57" t="s">
        <v>959</v>
      </c>
      <c r="B2819" s="57" t="s">
        <v>960</v>
      </c>
      <c r="C2819" s="57"/>
      <c r="D2819" s="57"/>
      <c r="E2819" s="57"/>
      <c r="F2819" s="84">
        <f>F2820+F2836+F2837</f>
        <v>21702.4576981442</v>
      </c>
    </row>
    <row r="2820" ht="17.1" customHeight="1" spans="1:6">
      <c r="A2820" s="57" t="s">
        <v>59</v>
      </c>
      <c r="B2820" s="57" t="s">
        <v>957</v>
      </c>
      <c r="C2820" s="57"/>
      <c r="D2820" s="57"/>
      <c r="E2820" s="57"/>
      <c r="F2820" s="84">
        <f>F2821+F2824+F2832</f>
        <v>20708.452002046</v>
      </c>
    </row>
    <row r="2821" ht="17.1" customHeight="1" spans="1:6">
      <c r="A2821" s="57">
        <v>1</v>
      </c>
      <c r="B2821" s="57" t="s">
        <v>964</v>
      </c>
      <c r="C2821" s="57" t="s">
        <v>965</v>
      </c>
      <c r="D2821" s="84"/>
      <c r="E2821" s="113">
        <f>SUM(E2822:E2823)</f>
        <v>597.6</v>
      </c>
      <c r="F2821" s="113">
        <f>SUM(F2822:F2823)</f>
        <v>4422.791</v>
      </c>
    </row>
    <row r="2822" ht="17.1" customHeight="1" spans="1:6">
      <c r="A2822" s="57"/>
      <c r="B2822" s="57" t="s">
        <v>966</v>
      </c>
      <c r="C2822" s="57" t="s">
        <v>965</v>
      </c>
      <c r="D2822" s="113">
        <f t="shared" ref="D2822:D2830" si="330">D2782</f>
        <v>8.1</v>
      </c>
      <c r="E2822" s="113">
        <v>418.3</v>
      </c>
      <c r="F2822" s="113">
        <f>D2822*E2822</f>
        <v>3388.23</v>
      </c>
    </row>
    <row r="2823" ht="17.1" customHeight="1" spans="1:6">
      <c r="A2823" s="57"/>
      <c r="B2823" s="57" t="s">
        <v>968</v>
      </c>
      <c r="C2823" s="57" t="s">
        <v>965</v>
      </c>
      <c r="D2823" s="113">
        <f t="shared" si="330"/>
        <v>5.77</v>
      </c>
      <c r="E2823" s="113">
        <v>179.3</v>
      </c>
      <c r="F2823" s="113">
        <f>D2823*E2823</f>
        <v>1034.561</v>
      </c>
    </row>
    <row r="2824" ht="17.1" customHeight="1" spans="1:6">
      <c r="A2824" s="57">
        <v>2</v>
      </c>
      <c r="B2824" s="57" t="s">
        <v>1219</v>
      </c>
      <c r="C2824" s="57"/>
      <c r="D2824" s="84"/>
      <c r="E2824" s="84"/>
      <c r="F2824" s="84">
        <f>SUM(F2825:F2831)</f>
        <v>5229.52757205</v>
      </c>
    </row>
    <row r="2825" ht="33.95" customHeight="1" spans="1:6">
      <c r="A2825" s="57"/>
      <c r="B2825" s="245" t="s">
        <v>1437</v>
      </c>
      <c r="C2825" s="57" t="s">
        <v>1422</v>
      </c>
      <c r="D2825" s="113"/>
      <c r="E2825" s="59">
        <v>100</v>
      </c>
      <c r="F2825" s="84">
        <f t="shared" ref="F2825:F2830" si="331">D2825*E2825</f>
        <v>0</v>
      </c>
    </row>
    <row r="2826" ht="17.1" customHeight="1" spans="1:6">
      <c r="A2826" s="57"/>
      <c r="B2826" s="57" t="s">
        <v>1424</v>
      </c>
      <c r="C2826" s="57" t="s">
        <v>267</v>
      </c>
      <c r="D2826" s="57">
        <v>115.04</v>
      </c>
      <c r="E2826" s="59">
        <v>21</v>
      </c>
      <c r="F2826" s="84">
        <f t="shared" si="331"/>
        <v>2415.84</v>
      </c>
    </row>
    <row r="2827" ht="17.1" customHeight="1" spans="1:6">
      <c r="A2827" s="57"/>
      <c r="B2827" s="57" t="s">
        <v>1425</v>
      </c>
      <c r="C2827" s="57" t="s">
        <v>1426</v>
      </c>
      <c r="D2827" s="88">
        <f t="shared" si="330"/>
        <v>144.68621</v>
      </c>
      <c r="E2827" s="57">
        <v>1</v>
      </c>
      <c r="F2827" s="84">
        <f t="shared" si="331"/>
        <v>144.68621</v>
      </c>
    </row>
    <row r="2828" ht="17.1" customHeight="1" spans="1:6">
      <c r="A2828" s="57"/>
      <c r="B2828" s="57" t="s">
        <v>1274</v>
      </c>
      <c r="C2828" s="57" t="s">
        <v>184</v>
      </c>
      <c r="D2828" s="84">
        <f t="shared" si="330"/>
        <v>4.5</v>
      </c>
      <c r="E2828" s="59">
        <v>10</v>
      </c>
      <c r="F2828" s="84">
        <f t="shared" si="331"/>
        <v>45</v>
      </c>
    </row>
    <row r="2829" ht="17.1" customHeight="1" spans="1:6">
      <c r="A2829" s="57"/>
      <c r="B2829" s="57" t="s">
        <v>1427</v>
      </c>
      <c r="C2829" s="57" t="s">
        <v>184</v>
      </c>
      <c r="D2829" s="84">
        <f t="shared" si="330"/>
        <v>7.03</v>
      </c>
      <c r="E2829" s="59">
        <v>34</v>
      </c>
      <c r="F2829" s="84">
        <f t="shared" si="331"/>
        <v>239.02</v>
      </c>
    </row>
    <row r="2830" ht="17.1" customHeight="1" spans="1:6">
      <c r="A2830" s="57"/>
      <c r="B2830" s="57" t="s">
        <v>1272</v>
      </c>
      <c r="C2830" s="57" t="s">
        <v>1426</v>
      </c>
      <c r="D2830" s="84">
        <f t="shared" si="330"/>
        <v>2232.665025</v>
      </c>
      <c r="E2830" s="59">
        <v>1</v>
      </c>
      <c r="F2830" s="84">
        <f t="shared" si="331"/>
        <v>2232.665025</v>
      </c>
    </row>
    <row r="2831" ht="17.1" customHeight="1" spans="1:6">
      <c r="A2831" s="57"/>
      <c r="B2831" s="57" t="s">
        <v>1248</v>
      </c>
      <c r="C2831" s="59" t="s">
        <v>423</v>
      </c>
      <c r="D2831" s="84">
        <f>SUM(F2825:F2830)</f>
        <v>5077.211235</v>
      </c>
      <c r="E2831" s="59">
        <v>3</v>
      </c>
      <c r="F2831" s="84">
        <f>D2831*E2831/100</f>
        <v>152.31633705</v>
      </c>
    </row>
    <row r="2832" ht="17.1" customHeight="1" spans="1:6">
      <c r="A2832" s="57">
        <v>3</v>
      </c>
      <c r="B2832" s="57" t="s">
        <v>1171</v>
      </c>
      <c r="C2832" s="57"/>
      <c r="D2832" s="84"/>
      <c r="E2832" s="84"/>
      <c r="F2832" s="84">
        <f>SUM(F2833:F2835)</f>
        <v>11056.133429996</v>
      </c>
    </row>
    <row r="2833" ht="17.1" customHeight="1" spans="1:6">
      <c r="A2833" s="57"/>
      <c r="B2833" s="57" t="s">
        <v>1428</v>
      </c>
      <c r="C2833" s="57" t="s">
        <v>988</v>
      </c>
      <c r="D2833" s="84">
        <f>建筑工程单价分析表!D627</f>
        <v>82.7108699641005</v>
      </c>
      <c r="E2833" s="84">
        <v>45</v>
      </c>
      <c r="F2833" s="84">
        <f>D2833*E2833</f>
        <v>3721.98914838452</v>
      </c>
    </row>
    <row r="2834" ht="17.1" customHeight="1" spans="1:6">
      <c r="A2834" s="57"/>
      <c r="B2834" s="57" t="s">
        <v>1429</v>
      </c>
      <c r="C2834" s="57" t="s">
        <v>988</v>
      </c>
      <c r="D2834" s="84">
        <f>建筑工程单价分析表!D628</f>
        <v>74.4593087355405</v>
      </c>
      <c r="E2834" s="84">
        <v>85</v>
      </c>
      <c r="F2834" s="84">
        <f>D2834*E2834</f>
        <v>6329.04124252094</v>
      </c>
    </row>
    <row r="2835" ht="17.1" customHeight="1" spans="1:6">
      <c r="A2835" s="57"/>
      <c r="B2835" s="57" t="s">
        <v>1223</v>
      </c>
      <c r="C2835" s="59" t="s">
        <v>423</v>
      </c>
      <c r="D2835" s="84">
        <f>SUM(F2833:F2834)</f>
        <v>10051.0303909055</v>
      </c>
      <c r="E2835" s="84">
        <v>10</v>
      </c>
      <c r="F2835" s="84">
        <f>D2835*E2835/100</f>
        <v>1005.10303909055</v>
      </c>
    </row>
    <row r="2836" ht="17.1" customHeight="1" spans="1:6">
      <c r="A2836" s="57" t="s">
        <v>70</v>
      </c>
      <c r="B2836" s="57" t="s">
        <v>977</v>
      </c>
      <c r="C2836" s="194">
        <f>取费表!$C$12</f>
        <v>0.048</v>
      </c>
      <c r="D2836" s="84"/>
      <c r="E2836" s="84">
        <f>F2820</f>
        <v>20708.452002046</v>
      </c>
      <c r="F2836" s="84">
        <f t="shared" ref="F2836:F2839" si="332">E2836*C2836</f>
        <v>994.005696098209</v>
      </c>
    </row>
    <row r="2837" ht="17.1" customHeight="1" spans="1:6">
      <c r="A2837" s="57"/>
      <c r="B2837" s="57"/>
      <c r="C2837" s="194"/>
      <c r="D2837" s="84"/>
      <c r="E2837" s="84"/>
      <c r="F2837" s="84"/>
    </row>
    <row r="2838" ht="17.1" customHeight="1" spans="1:6">
      <c r="A2838" s="57" t="s">
        <v>979</v>
      </c>
      <c r="B2838" s="57" t="s">
        <v>973</v>
      </c>
      <c r="C2838" s="194">
        <f>取费表!$E$12</f>
        <v>0.0725</v>
      </c>
      <c r="D2838" s="84"/>
      <c r="E2838" s="84">
        <f>F2819</f>
        <v>21702.4576981442</v>
      </c>
      <c r="F2838" s="84">
        <f t="shared" si="332"/>
        <v>1573.42818311546</v>
      </c>
    </row>
    <row r="2839" ht="17.1" customHeight="1" spans="1:6">
      <c r="A2839" s="57" t="s">
        <v>162</v>
      </c>
      <c r="B2839" s="57" t="s">
        <v>980</v>
      </c>
      <c r="C2839" s="194">
        <f>取费表!$F$12</f>
        <v>0.05</v>
      </c>
      <c r="D2839" s="84"/>
      <c r="E2839" s="84">
        <f>F2838+F2819</f>
        <v>23275.8858812597</v>
      </c>
      <c r="F2839" s="84">
        <f t="shared" si="332"/>
        <v>1163.79429406298</v>
      </c>
    </row>
    <row r="2840" ht="17.1" customHeight="1" spans="1:6">
      <c r="A2840" s="57"/>
      <c r="B2840" s="57" t="s">
        <v>1430</v>
      </c>
      <c r="C2840" s="269"/>
      <c r="D2840" s="84"/>
      <c r="E2840" s="84"/>
      <c r="F2840" s="84">
        <f>F2841+F2842</f>
        <v>98230</v>
      </c>
    </row>
    <row r="2841" ht="36.95" customHeight="1" spans="1:6">
      <c r="A2841" s="57"/>
      <c r="B2841" s="245" t="str">
        <f>B2825</f>
        <v>DN1200预应力钢筋制安砼管（Ⅱ级）</v>
      </c>
      <c r="C2841" s="57" t="s">
        <v>1422</v>
      </c>
      <c r="D2841" s="84">
        <v>982.3</v>
      </c>
      <c r="E2841" s="84">
        <v>100</v>
      </c>
      <c r="F2841" s="84">
        <f>D2841*E2841</f>
        <v>98230</v>
      </c>
    </row>
    <row r="2842" ht="17.1" customHeight="1" spans="1:6">
      <c r="A2842" s="57"/>
      <c r="B2842" s="57"/>
      <c r="C2842" s="57"/>
      <c r="D2842" s="84"/>
      <c r="E2842" s="84"/>
      <c r="F2842" s="84"/>
    </row>
    <row r="2843" ht="17.1" customHeight="1" spans="1:6">
      <c r="A2843" s="57" t="s">
        <v>214</v>
      </c>
      <c r="B2843" s="57" t="s">
        <v>976</v>
      </c>
      <c r="C2843" s="195">
        <f>建筑工程单价分析表!C637</f>
        <v>0.09</v>
      </c>
      <c r="D2843" s="84"/>
      <c r="E2843" s="84">
        <f>E2839+F2839+F2840</f>
        <v>122669.680175323</v>
      </c>
      <c r="F2843" s="84">
        <f>E2843*C2843</f>
        <v>11040.271215779</v>
      </c>
    </row>
    <row r="2844" ht="17.1" customHeight="1" spans="1:6">
      <c r="A2844" s="57"/>
      <c r="B2844" s="57" t="s">
        <v>984</v>
      </c>
      <c r="C2844" s="195"/>
      <c r="D2844" s="84"/>
      <c r="E2844" s="84"/>
      <c r="F2844" s="84">
        <f>(E2843+F2843)*取费表!H12</f>
        <v>4011.29854173305</v>
      </c>
    </row>
    <row r="2845" ht="17.1" customHeight="1" spans="1:6">
      <c r="A2845" s="57"/>
      <c r="B2845" s="57" t="s">
        <v>278</v>
      </c>
      <c r="C2845" s="57"/>
      <c r="D2845" s="84"/>
      <c r="E2845" s="84"/>
      <c r="F2845" s="84">
        <f>E2843+F2843+F2844</f>
        <v>137721.249932835</v>
      </c>
    </row>
    <row r="2846" ht="17.1" customHeight="1" spans="1:6">
      <c r="A2846" s="57"/>
      <c r="B2846" s="57"/>
      <c r="C2846" s="57"/>
      <c r="D2846" s="84"/>
      <c r="E2846" s="84"/>
      <c r="F2846" s="84"/>
    </row>
    <row r="2847" ht="17.1" customHeight="1" spans="1:6">
      <c r="A2847" s="57"/>
      <c r="B2847" s="57"/>
      <c r="C2847" s="57"/>
      <c r="D2847" s="84"/>
      <c r="E2847" s="84"/>
      <c r="F2847" s="84"/>
    </row>
    <row r="2848" ht="17.1" customHeight="1" spans="1:6">
      <c r="A2848" s="57"/>
      <c r="B2848" s="57"/>
      <c r="C2848" s="57"/>
      <c r="D2848" s="84"/>
      <c r="E2848" s="84"/>
      <c r="F2848" s="84"/>
    </row>
    <row r="2849" ht="17.1" customHeight="1" spans="1:6">
      <c r="A2849" s="57"/>
      <c r="B2849" s="57"/>
      <c r="C2849" s="57"/>
      <c r="D2849" s="84"/>
      <c r="E2849" s="84"/>
      <c r="F2849" s="84"/>
    </row>
    <row r="2850" ht="17.1" customHeight="1" spans="1:6">
      <c r="A2850" s="57"/>
      <c r="B2850" s="57"/>
      <c r="C2850" s="57"/>
      <c r="D2850" s="84"/>
      <c r="E2850" s="84"/>
      <c r="F2850" s="84"/>
    </row>
    <row r="2851" ht="17.1" customHeight="1" spans="1:6">
      <c r="A2851" s="57"/>
      <c r="B2851" s="57"/>
      <c r="C2851" s="57"/>
      <c r="D2851" s="84"/>
      <c r="E2851" s="84"/>
      <c r="F2851" s="84"/>
    </row>
    <row r="2852" ht="17.1" customHeight="1" spans="1:6">
      <c r="A2852" s="57"/>
      <c r="B2852" s="57"/>
      <c r="C2852" s="57"/>
      <c r="D2852" s="84"/>
      <c r="E2852" s="84"/>
      <c r="F2852" s="84"/>
    </row>
    <row r="2853" ht="17.1" customHeight="1" spans="1:6">
      <c r="A2853" s="57"/>
      <c r="B2853" s="57"/>
      <c r="C2853" s="57"/>
      <c r="D2853" s="84"/>
      <c r="E2853" s="84"/>
      <c r="F2853" s="84"/>
    </row>
    <row r="2854" customHeight="1" spans="1:6">
      <c r="A2854"/>
      <c r="B2854"/>
      <c r="C2854"/>
      <c r="D2854"/>
      <c r="E2854"/>
      <c r="F2854"/>
    </row>
    <row r="2855" customHeight="1" spans="1:6">
      <c r="A2855"/>
      <c r="B2855"/>
      <c r="C2855"/>
      <c r="D2855"/>
      <c r="E2855"/>
      <c r="F2855"/>
    </row>
    <row r="2856" customHeight="1" spans="1:6">
      <c r="A2856"/>
      <c r="B2856"/>
      <c r="C2856"/>
      <c r="D2856"/>
      <c r="E2856"/>
      <c r="F2856"/>
    </row>
    <row r="2857" customHeight="1" spans="1:6">
      <c r="A2857"/>
      <c r="B2857"/>
      <c r="C2857"/>
      <c r="D2857"/>
      <c r="E2857"/>
      <c r="F2857"/>
    </row>
    <row r="2858" customHeight="1" spans="1:6">
      <c r="A2858"/>
      <c r="B2858"/>
      <c r="C2858"/>
      <c r="D2858"/>
      <c r="E2858"/>
      <c r="F2858"/>
    </row>
    <row r="2859" customHeight="1" spans="1:6">
      <c r="A2859"/>
      <c r="B2859"/>
      <c r="C2859"/>
      <c r="D2859"/>
      <c r="E2859"/>
      <c r="F2859"/>
    </row>
    <row r="2860" customHeight="1" spans="1:6">
      <c r="A2860"/>
      <c r="B2860"/>
      <c r="C2860"/>
      <c r="D2860"/>
      <c r="E2860"/>
      <c r="F2860"/>
    </row>
    <row r="2861" customHeight="1" spans="1:6">
      <c r="A2861"/>
      <c r="B2861"/>
      <c r="C2861"/>
      <c r="D2861"/>
      <c r="E2861"/>
      <c r="F2861"/>
    </row>
    <row r="2862" customHeight="1" spans="1:6">
      <c r="A2862"/>
      <c r="B2862"/>
      <c r="C2862"/>
      <c r="D2862"/>
      <c r="E2862"/>
      <c r="F2862"/>
    </row>
    <row r="2863" customHeight="1" spans="1:6">
      <c r="A2863"/>
      <c r="B2863"/>
      <c r="C2863"/>
      <c r="D2863"/>
      <c r="E2863"/>
      <c r="F2863"/>
    </row>
    <row r="2864" customHeight="1" spans="1:6">
      <c r="A2864"/>
      <c r="B2864"/>
      <c r="C2864"/>
      <c r="D2864"/>
      <c r="E2864"/>
      <c r="F2864"/>
    </row>
    <row r="2865" customHeight="1" spans="1:6">
      <c r="A2865"/>
      <c r="B2865"/>
      <c r="C2865"/>
      <c r="D2865"/>
      <c r="E2865"/>
      <c r="F2865"/>
    </row>
    <row r="2866" customHeight="1" spans="1:6">
      <c r="A2866"/>
      <c r="B2866"/>
      <c r="C2866"/>
      <c r="D2866"/>
      <c r="E2866"/>
      <c r="F2866"/>
    </row>
    <row r="2867" customHeight="1" spans="1:6">
      <c r="A2867"/>
      <c r="B2867"/>
      <c r="C2867"/>
      <c r="D2867"/>
      <c r="E2867"/>
      <c r="F2867"/>
    </row>
    <row r="2868" customHeight="1" spans="1:6">
      <c r="A2868"/>
      <c r="B2868"/>
      <c r="C2868"/>
      <c r="D2868"/>
      <c r="E2868"/>
      <c r="F2868"/>
    </row>
    <row r="2869" customHeight="1" spans="1:6">
      <c r="A2869"/>
      <c r="B2869"/>
      <c r="C2869"/>
      <c r="D2869"/>
      <c r="E2869"/>
      <c r="F2869"/>
    </row>
    <row r="2870" customHeight="1" spans="1:6">
      <c r="A2870"/>
      <c r="B2870"/>
      <c r="C2870"/>
      <c r="D2870"/>
      <c r="E2870"/>
      <c r="F2870"/>
    </row>
    <row r="2871" customHeight="1" spans="1:6">
      <c r="A2871"/>
      <c r="B2871"/>
      <c r="C2871"/>
      <c r="D2871"/>
      <c r="E2871"/>
      <c r="F2871"/>
    </row>
    <row r="2872" customHeight="1" spans="1:6">
      <c r="A2872"/>
      <c r="B2872"/>
      <c r="C2872"/>
      <c r="D2872"/>
      <c r="E2872"/>
      <c r="F2872"/>
    </row>
    <row r="2873" customHeight="1" spans="1:6">
      <c r="A2873"/>
      <c r="B2873"/>
      <c r="C2873"/>
      <c r="D2873"/>
      <c r="E2873"/>
      <c r="F2873"/>
    </row>
    <row r="2874" customHeight="1" spans="1:6">
      <c r="A2874"/>
      <c r="B2874"/>
      <c r="C2874"/>
      <c r="D2874"/>
      <c r="E2874"/>
      <c r="F2874"/>
    </row>
    <row r="2875" customHeight="1" spans="1:6">
      <c r="A2875"/>
      <c r="B2875"/>
      <c r="C2875"/>
      <c r="D2875"/>
      <c r="E2875"/>
      <c r="F2875"/>
    </row>
    <row r="2876" customHeight="1" spans="1:6">
      <c r="A2876"/>
      <c r="B2876"/>
      <c r="C2876"/>
      <c r="D2876"/>
      <c r="E2876"/>
      <c r="F2876"/>
    </row>
    <row r="2877" customHeight="1" spans="1:6">
      <c r="A2877"/>
      <c r="B2877"/>
      <c r="C2877"/>
      <c r="D2877"/>
      <c r="E2877"/>
      <c r="F2877"/>
    </row>
    <row r="2878" customHeight="1" spans="1:6">
      <c r="A2878"/>
      <c r="B2878"/>
      <c r="C2878"/>
      <c r="D2878"/>
      <c r="E2878"/>
      <c r="F2878"/>
    </row>
    <row r="2879" customHeight="1" spans="1:6">
      <c r="A2879"/>
      <c r="B2879"/>
      <c r="C2879"/>
      <c r="D2879"/>
      <c r="E2879"/>
      <c r="F2879"/>
    </row>
    <row r="2880" customHeight="1" spans="1:6">
      <c r="A2880"/>
      <c r="B2880"/>
      <c r="C2880"/>
      <c r="D2880"/>
      <c r="E2880"/>
      <c r="F2880"/>
    </row>
    <row r="2881" customHeight="1" spans="1:6">
      <c r="A2881"/>
      <c r="B2881"/>
      <c r="C2881"/>
      <c r="D2881"/>
      <c r="E2881"/>
      <c r="F2881"/>
    </row>
    <row r="2882" customHeight="1" spans="1:6">
      <c r="A2882"/>
      <c r="B2882"/>
      <c r="C2882"/>
      <c r="D2882"/>
      <c r="E2882"/>
      <c r="F2882"/>
    </row>
    <row r="2883" customHeight="1" spans="1:6">
      <c r="A2883"/>
      <c r="B2883"/>
      <c r="C2883"/>
      <c r="D2883"/>
      <c r="E2883"/>
      <c r="F2883"/>
    </row>
    <row r="2884" customHeight="1" spans="1:6">
      <c r="A2884"/>
      <c r="B2884"/>
      <c r="C2884"/>
      <c r="D2884"/>
      <c r="E2884"/>
      <c r="F2884"/>
    </row>
    <row r="2885" customHeight="1" spans="1:6">
      <c r="A2885"/>
      <c r="B2885"/>
      <c r="C2885"/>
      <c r="D2885"/>
      <c r="E2885"/>
      <c r="F2885"/>
    </row>
    <row r="2886" customHeight="1" spans="1:6">
      <c r="A2886"/>
      <c r="B2886"/>
      <c r="C2886"/>
      <c r="D2886"/>
      <c r="E2886"/>
      <c r="F2886"/>
    </row>
    <row r="2887" customHeight="1" spans="1:6">
      <c r="A2887"/>
      <c r="B2887"/>
      <c r="C2887"/>
      <c r="D2887"/>
      <c r="E2887"/>
      <c r="F2887"/>
    </row>
    <row r="2888" customHeight="1" spans="1:6">
      <c r="A2888"/>
      <c r="B2888"/>
      <c r="C2888"/>
      <c r="D2888"/>
      <c r="E2888"/>
      <c r="F2888"/>
    </row>
    <row r="2889" customHeight="1" spans="1:6">
      <c r="A2889"/>
      <c r="B2889"/>
      <c r="C2889"/>
      <c r="D2889"/>
      <c r="E2889"/>
      <c r="F2889"/>
    </row>
    <row r="2890" customHeight="1" spans="1:6">
      <c r="A2890"/>
      <c r="B2890"/>
      <c r="C2890"/>
      <c r="D2890"/>
      <c r="E2890"/>
      <c r="F2890"/>
    </row>
    <row r="2891" customHeight="1" spans="1:6">
      <c r="A2891"/>
      <c r="B2891"/>
      <c r="C2891"/>
      <c r="D2891"/>
      <c r="E2891"/>
      <c r="F2891"/>
    </row>
    <row r="2892" customHeight="1" spans="1:6">
      <c r="A2892" s="176" t="s">
        <v>1204</v>
      </c>
      <c r="B2892" s="175"/>
      <c r="C2892" s="175"/>
      <c r="D2892" s="175"/>
      <c r="E2892" s="175"/>
      <c r="F2892" s="175"/>
    </row>
    <row r="2893" customHeight="1" spans="1:6">
      <c r="A2893" s="242" t="s">
        <v>1438</v>
      </c>
      <c r="C2893" s="243"/>
      <c r="D2893" s="243"/>
      <c r="E2893" s="243"/>
      <c r="F2893" s="243"/>
    </row>
    <row r="2894" customHeight="1" spans="1:6">
      <c r="A2894" s="190" t="s">
        <v>1439</v>
      </c>
      <c r="B2894" s="191"/>
      <c r="C2894" s="243"/>
      <c r="D2894" s="243"/>
      <c r="E2894" s="191" t="s">
        <v>1420</v>
      </c>
      <c r="F2894" s="191"/>
    </row>
    <row r="2895" customHeight="1" spans="1:6">
      <c r="A2895" s="117" t="s">
        <v>1218</v>
      </c>
      <c r="B2895" s="192" t="s">
        <v>1440</v>
      </c>
      <c r="C2895" s="192"/>
      <c r="D2895" s="192"/>
      <c r="E2895" s="192"/>
      <c r="F2895" s="118"/>
    </row>
    <row r="2896" customHeight="1" spans="1:6">
      <c r="A2896" s="57" t="s">
        <v>354</v>
      </c>
      <c r="B2896" s="57" t="s">
        <v>956</v>
      </c>
      <c r="C2896" s="57" t="s">
        <v>52</v>
      </c>
      <c r="D2896" s="57" t="s">
        <v>855</v>
      </c>
      <c r="E2896" s="57" t="s">
        <v>53</v>
      </c>
      <c r="F2896" s="57" t="s">
        <v>306</v>
      </c>
    </row>
    <row r="2897" customHeight="1" spans="1:6">
      <c r="A2897" s="57" t="s">
        <v>959</v>
      </c>
      <c r="B2897" s="57" t="s">
        <v>960</v>
      </c>
      <c r="C2897" s="57"/>
      <c r="D2897" s="57"/>
      <c r="E2897" s="57"/>
      <c r="F2897" s="84">
        <f>F2898+F2914+F2915</f>
        <v>45857.6574362052</v>
      </c>
    </row>
    <row r="2898" customHeight="1" spans="1:6">
      <c r="A2898" s="57" t="s">
        <v>59</v>
      </c>
      <c r="B2898" s="57" t="s">
        <v>957</v>
      </c>
      <c r="C2898" s="57"/>
      <c r="D2898" s="57"/>
      <c r="E2898" s="57"/>
      <c r="F2898" s="84">
        <f>F2899+F2902+F2910</f>
        <v>43757.3067139362</v>
      </c>
    </row>
    <row r="2899" customHeight="1" spans="1:6">
      <c r="A2899" s="57">
        <v>1</v>
      </c>
      <c r="B2899" s="57" t="s">
        <v>964</v>
      </c>
      <c r="C2899" s="57" t="s">
        <v>965</v>
      </c>
      <c r="D2899" s="84"/>
      <c r="E2899" s="113">
        <f>SUM(E2900:E2901)</f>
        <v>1095.6</v>
      </c>
      <c r="F2899" s="113">
        <f>SUM(F2900:F2901)</f>
        <v>8108.5356</v>
      </c>
    </row>
    <row r="2900" customHeight="1" spans="1:6">
      <c r="A2900" s="57"/>
      <c r="B2900" s="57" t="s">
        <v>966</v>
      </c>
      <c r="C2900" s="57" t="s">
        <v>965</v>
      </c>
      <c r="D2900" s="113">
        <f>建筑工程单价分析表!D654</f>
        <v>8.1</v>
      </c>
      <c r="E2900" s="113">
        <f>697.2*1.1</f>
        <v>766.92</v>
      </c>
      <c r="F2900" s="113">
        <f>D2900*E2900</f>
        <v>6212.052</v>
      </c>
    </row>
    <row r="2901" customHeight="1" spans="1:6">
      <c r="A2901" s="57"/>
      <c r="B2901" s="57" t="s">
        <v>968</v>
      </c>
      <c r="C2901" s="57" t="s">
        <v>965</v>
      </c>
      <c r="D2901" s="113">
        <f>建筑工程单价分析表!D655</f>
        <v>5.77</v>
      </c>
      <c r="E2901" s="113">
        <f>298.8*1.1</f>
        <v>328.68</v>
      </c>
      <c r="F2901" s="113">
        <f>D2901*E2901</f>
        <v>1896.4836</v>
      </c>
    </row>
    <row r="2902" customHeight="1" spans="1:6">
      <c r="A2902" s="57">
        <v>2</v>
      </c>
      <c r="B2902" s="57" t="s">
        <v>1219</v>
      </c>
      <c r="C2902" s="57"/>
      <c r="D2902" s="84"/>
      <c r="E2902" s="84"/>
      <c r="F2902" s="84">
        <f>SUM(F2903:F2909)</f>
        <v>11286.88511258</v>
      </c>
    </row>
    <row r="2903" customHeight="1" spans="1:6">
      <c r="A2903" s="57"/>
      <c r="B2903" s="57" t="s">
        <v>1441</v>
      </c>
      <c r="C2903" s="57" t="s">
        <v>1422</v>
      </c>
      <c r="D2903" s="84"/>
      <c r="E2903" s="59">
        <v>100</v>
      </c>
      <c r="F2903" s="84">
        <f t="shared" ref="F2903:F2908" si="333">D2903*E2903</f>
        <v>0</v>
      </c>
    </row>
    <row r="2904" customHeight="1" spans="1:6">
      <c r="A2904" s="57"/>
      <c r="B2904" s="57" t="s">
        <v>1424</v>
      </c>
      <c r="C2904" s="57" t="s">
        <v>267</v>
      </c>
      <c r="D2904" s="57">
        <v>188.03</v>
      </c>
      <c r="E2904" s="59">
        <f>26*1.1</f>
        <v>28.6</v>
      </c>
      <c r="F2904" s="84">
        <f t="shared" si="333"/>
        <v>5377.658</v>
      </c>
    </row>
    <row r="2905" customHeight="1" spans="1:6">
      <c r="A2905" s="57"/>
      <c r="B2905" s="57" t="s">
        <v>1425</v>
      </c>
      <c r="C2905" s="57" t="s">
        <v>1426</v>
      </c>
      <c r="D2905" s="88">
        <f>建筑工程单价分析表!D659</f>
        <v>144.68621</v>
      </c>
      <c r="E2905" s="57">
        <f>1*1.1</f>
        <v>1.1</v>
      </c>
      <c r="F2905" s="84">
        <f t="shared" si="333"/>
        <v>159.154831</v>
      </c>
    </row>
    <row r="2906" customHeight="1" spans="1:6">
      <c r="A2906" s="57"/>
      <c r="B2906" s="57" t="s">
        <v>1274</v>
      </c>
      <c r="C2906" s="57" t="s">
        <v>184</v>
      </c>
      <c r="D2906" s="88">
        <f>建筑工程单价分析表!D660</f>
        <v>4.5</v>
      </c>
      <c r="E2906" s="59">
        <f>17*1.1</f>
        <v>18.7</v>
      </c>
      <c r="F2906" s="84">
        <f t="shared" si="333"/>
        <v>84.15</v>
      </c>
    </row>
    <row r="2907" customHeight="1" spans="1:6">
      <c r="A2907" s="57"/>
      <c r="B2907" s="57" t="s">
        <v>1427</v>
      </c>
      <c r="C2907" s="57" t="s">
        <v>184</v>
      </c>
      <c r="D2907" s="88">
        <f>建筑工程单价分析表!D661</f>
        <v>7.03</v>
      </c>
      <c r="E2907" s="59">
        <f>55*1.1</f>
        <v>60.5</v>
      </c>
      <c r="F2907" s="84">
        <f t="shared" si="333"/>
        <v>425.315</v>
      </c>
    </row>
    <row r="2908" customHeight="1" spans="1:6">
      <c r="A2908" s="57"/>
      <c r="B2908" s="57" t="s">
        <v>1272</v>
      </c>
      <c r="C2908" s="57" t="s">
        <v>1426</v>
      </c>
      <c r="D2908" s="88">
        <f>建筑工程单价分析表!D662</f>
        <v>2232.665025</v>
      </c>
      <c r="E2908" s="268">
        <f>2*1.1</f>
        <v>2.2</v>
      </c>
      <c r="F2908" s="84">
        <f t="shared" si="333"/>
        <v>4911.863055</v>
      </c>
    </row>
    <row r="2909" customHeight="1" spans="1:6">
      <c r="A2909" s="57"/>
      <c r="B2909" s="57" t="s">
        <v>1248</v>
      </c>
      <c r="C2909" s="59" t="s">
        <v>423</v>
      </c>
      <c r="D2909" s="84">
        <f>SUM(F2903:F2908)</f>
        <v>10958.140886</v>
      </c>
      <c r="E2909" s="59">
        <v>3</v>
      </c>
      <c r="F2909" s="84">
        <f>D2909*E2909/100</f>
        <v>328.74422658</v>
      </c>
    </row>
    <row r="2910" customHeight="1" spans="1:6">
      <c r="A2910" s="57">
        <v>3</v>
      </c>
      <c r="B2910" s="57" t="s">
        <v>1171</v>
      </c>
      <c r="C2910" s="57"/>
      <c r="D2910" s="84"/>
      <c r="E2910" s="84"/>
      <c r="F2910" s="84">
        <f>SUM(F2911:F2913)</f>
        <v>24361.8860013562</v>
      </c>
    </row>
    <row r="2911" customHeight="1" spans="1:6">
      <c r="A2911" s="57"/>
      <c r="B2911" s="57" t="s">
        <v>1428</v>
      </c>
      <c r="C2911" s="57" t="s">
        <v>988</v>
      </c>
      <c r="D2911" s="84">
        <f>建筑工程单价分析表!D665</f>
        <v>160.831999202234</v>
      </c>
      <c r="E2911" s="84">
        <f>65*1.1</f>
        <v>71.5</v>
      </c>
      <c r="F2911" s="84">
        <f>D2911*E2911</f>
        <v>11499.4879429597</v>
      </c>
    </row>
    <row r="2912" customHeight="1" spans="1:6">
      <c r="A2912" s="57"/>
      <c r="B2912" s="57" t="s">
        <v>1429</v>
      </c>
      <c r="C2912" s="57" t="s">
        <v>988</v>
      </c>
      <c r="D2912" s="84">
        <f>建筑工程单价分析表!D666</f>
        <v>74.4593087355405</v>
      </c>
      <c r="E2912" s="84">
        <f>130*1.1</f>
        <v>143</v>
      </c>
      <c r="F2912" s="84">
        <f>D2912*E2912</f>
        <v>10647.6811491823</v>
      </c>
    </row>
    <row r="2913" customHeight="1" spans="1:6">
      <c r="A2913" s="57"/>
      <c r="B2913" s="57" t="s">
        <v>1223</v>
      </c>
      <c r="C2913" s="59" t="s">
        <v>423</v>
      </c>
      <c r="D2913" s="84">
        <f>SUM(F2911:F2912)</f>
        <v>22147.169092142</v>
      </c>
      <c r="E2913" s="84">
        <v>10</v>
      </c>
      <c r="F2913" s="84">
        <f>D2913*E2913/100</f>
        <v>2214.7169092142</v>
      </c>
    </row>
    <row r="2914" customHeight="1" spans="1:6">
      <c r="A2914" s="57" t="s">
        <v>70</v>
      </c>
      <c r="B2914" s="57" t="s">
        <v>977</v>
      </c>
      <c r="C2914" s="194">
        <f>取费表!$C$12</f>
        <v>0.048</v>
      </c>
      <c r="D2914" s="84"/>
      <c r="E2914" s="84">
        <f>F2898</f>
        <v>43757.3067139362</v>
      </c>
      <c r="F2914" s="84">
        <f t="shared" ref="F2914:F2917" si="334">E2914*C2914</f>
        <v>2100.35072226894</v>
      </c>
    </row>
    <row r="2915" customHeight="1" spans="1:6">
      <c r="A2915" s="57"/>
      <c r="B2915" s="57"/>
      <c r="C2915" s="194"/>
      <c r="D2915" s="84"/>
      <c r="E2915" s="84"/>
      <c r="F2915" s="84"/>
    </row>
    <row r="2916" customHeight="1" spans="1:6">
      <c r="A2916" s="57" t="s">
        <v>979</v>
      </c>
      <c r="B2916" s="57" t="s">
        <v>973</v>
      </c>
      <c r="C2916" s="194">
        <f>取费表!$E$12</f>
        <v>0.0725</v>
      </c>
      <c r="D2916" s="84"/>
      <c r="E2916" s="84">
        <f>F2897</f>
        <v>45857.6574362052</v>
      </c>
      <c r="F2916" s="84">
        <f t="shared" si="334"/>
        <v>3324.68016412487</v>
      </c>
    </row>
    <row r="2917" customHeight="1" spans="1:6">
      <c r="A2917" s="57" t="s">
        <v>162</v>
      </c>
      <c r="B2917" s="57" t="s">
        <v>980</v>
      </c>
      <c r="C2917" s="194">
        <f>取费表!$F$12</f>
        <v>0.05</v>
      </c>
      <c r="D2917" s="84"/>
      <c r="E2917" s="84">
        <f>F2916+F2897</f>
        <v>49182.33760033</v>
      </c>
      <c r="F2917" s="84">
        <f t="shared" si="334"/>
        <v>2459.1168800165</v>
      </c>
    </row>
    <row r="2918" customHeight="1" spans="1:6">
      <c r="A2918" s="57"/>
      <c r="B2918" s="57" t="s">
        <v>1430</v>
      </c>
      <c r="C2918" s="269"/>
      <c r="D2918" s="84"/>
      <c r="E2918" s="84"/>
      <c r="F2918" s="84">
        <f>F2919+F2920</f>
        <v>173504</v>
      </c>
    </row>
    <row r="2919" customHeight="1" spans="1:6">
      <c r="A2919" s="57"/>
      <c r="B2919" s="57" t="s">
        <v>1442</v>
      </c>
      <c r="C2919" s="57" t="s">
        <v>1422</v>
      </c>
      <c r="D2919" s="84">
        <v>1735.04</v>
      </c>
      <c r="E2919" s="59">
        <v>100</v>
      </c>
      <c r="F2919" s="84">
        <f>D2919*E2919</f>
        <v>173504</v>
      </c>
    </row>
    <row r="2920" customHeight="1" spans="1:6">
      <c r="A2920" s="57"/>
      <c r="B2920" s="57"/>
      <c r="C2920" s="57"/>
      <c r="D2920" s="84"/>
      <c r="E2920" s="268"/>
      <c r="F2920" s="84"/>
    </row>
    <row r="2921" customHeight="1" spans="1:6">
      <c r="A2921" s="57" t="s">
        <v>214</v>
      </c>
      <c r="B2921" s="57" t="s">
        <v>976</v>
      </c>
      <c r="C2921" s="195">
        <f>建筑工程单价分析表!C675</f>
        <v>0.09</v>
      </c>
      <c r="D2921" s="84"/>
      <c r="E2921" s="84">
        <f>E2917+F2917+F2918</f>
        <v>225145.454480347</v>
      </c>
      <c r="F2921" s="84">
        <f>E2921*C2921</f>
        <v>20263.0909032312</v>
      </c>
    </row>
    <row r="2922" customHeight="1" spans="1:6">
      <c r="A2922" s="57"/>
      <c r="B2922" s="57" t="s">
        <v>984</v>
      </c>
      <c r="C2922" s="195"/>
      <c r="D2922" s="84"/>
      <c r="E2922" s="84"/>
      <c r="F2922" s="84">
        <f>(E2921+F2921)*取费表!H12</f>
        <v>7362.25636150733</v>
      </c>
    </row>
    <row r="2923" customHeight="1" spans="1:6">
      <c r="A2923" s="57"/>
      <c r="B2923" s="57" t="s">
        <v>278</v>
      </c>
      <c r="C2923" s="57"/>
      <c r="D2923" s="84"/>
      <c r="E2923" s="84"/>
      <c r="F2923" s="84">
        <f>E2921+F2921+F2922</f>
        <v>252770.801745085</v>
      </c>
    </row>
    <row r="2924" customHeight="1" spans="1:6">
      <c r="A2924" s="57"/>
      <c r="B2924" s="57"/>
      <c r="C2924" s="57"/>
      <c r="D2924" s="84"/>
      <c r="E2924" s="84"/>
      <c r="F2924" s="84"/>
    </row>
    <row r="2925" customHeight="1" spans="1:6">
      <c r="A2925" s="57"/>
      <c r="B2925" s="57"/>
      <c r="C2925" s="57"/>
      <c r="D2925" s="84"/>
      <c r="E2925" s="84"/>
      <c r="F2925" s="84"/>
    </row>
    <row r="2926" customHeight="1" spans="1:6">
      <c r="A2926" s="57"/>
      <c r="B2926" s="57"/>
      <c r="C2926" s="57"/>
      <c r="D2926" s="84"/>
      <c r="E2926" s="84"/>
      <c r="F2926" s="84"/>
    </row>
    <row r="2927" customHeight="1" spans="1:6">
      <c r="A2927" s="57"/>
      <c r="B2927" s="57"/>
      <c r="C2927" s="57"/>
      <c r="D2927" s="84"/>
      <c r="E2927" s="84"/>
      <c r="F2927" s="84"/>
    </row>
    <row r="2928" customHeight="1" spans="1:6">
      <c r="A2928" s="57"/>
      <c r="B2928" s="57"/>
      <c r="C2928" s="57"/>
      <c r="D2928" s="84"/>
      <c r="E2928" s="84"/>
      <c r="F2928" s="84"/>
    </row>
    <row r="2929" customHeight="1" spans="1:6">
      <c r="A2929" s="57"/>
      <c r="B2929" s="57"/>
      <c r="C2929" s="57"/>
      <c r="D2929" s="84"/>
      <c r="E2929" s="84"/>
      <c r="F2929" s="84"/>
    </row>
    <row r="2930" customHeight="1" spans="1:6">
      <c r="A2930" s="176" t="s">
        <v>1204</v>
      </c>
      <c r="B2930" s="175"/>
      <c r="C2930" s="175"/>
      <c r="D2930" s="175"/>
      <c r="E2930" s="175"/>
      <c r="F2930" s="175"/>
    </row>
    <row r="2931" customHeight="1" spans="1:6">
      <c r="A2931" s="242" t="s">
        <v>1443</v>
      </c>
      <c r="C2931" s="243"/>
      <c r="D2931" s="243"/>
      <c r="E2931" s="243"/>
      <c r="F2931" s="243"/>
    </row>
    <row r="2932" customHeight="1" spans="1:6">
      <c r="A2932" s="190" t="s">
        <v>1439</v>
      </c>
      <c r="B2932" s="191"/>
      <c r="C2932" s="243"/>
      <c r="D2932" s="243"/>
      <c r="E2932" s="191" t="s">
        <v>1420</v>
      </c>
      <c r="F2932" s="191"/>
    </row>
    <row r="2933" customHeight="1" spans="1:6">
      <c r="A2933" s="117" t="s">
        <v>1218</v>
      </c>
      <c r="B2933" s="192" t="s">
        <v>1440</v>
      </c>
      <c r="C2933" s="192"/>
      <c r="D2933" s="192"/>
      <c r="E2933" s="192"/>
      <c r="F2933" s="118"/>
    </row>
    <row r="2934" customHeight="1" spans="1:6">
      <c r="A2934" s="57" t="s">
        <v>354</v>
      </c>
      <c r="B2934" s="57" t="s">
        <v>956</v>
      </c>
      <c r="C2934" s="57" t="s">
        <v>52</v>
      </c>
      <c r="D2934" s="57" t="s">
        <v>855</v>
      </c>
      <c r="E2934" s="57" t="s">
        <v>53</v>
      </c>
      <c r="F2934" s="57" t="s">
        <v>306</v>
      </c>
    </row>
    <row r="2935" customHeight="1" spans="1:6">
      <c r="A2935" s="57" t="s">
        <v>959</v>
      </c>
      <c r="B2935" s="57" t="s">
        <v>960</v>
      </c>
      <c r="C2935" s="57"/>
      <c r="D2935" s="57"/>
      <c r="E2935" s="57"/>
      <c r="F2935" s="84">
        <f>F2936+F2952+F2953</f>
        <v>50602.4382137511</v>
      </c>
    </row>
    <row r="2936" customHeight="1" spans="1:6">
      <c r="A2936" s="57" t="s">
        <v>59</v>
      </c>
      <c r="B2936" s="57" t="s">
        <v>957</v>
      </c>
      <c r="C2936" s="57"/>
      <c r="D2936" s="57"/>
      <c r="E2936" s="57"/>
      <c r="F2936" s="84">
        <f>F2937+F2940+F2948</f>
        <v>48284.7692879304</v>
      </c>
    </row>
    <row r="2937" customHeight="1" spans="1:6">
      <c r="A2937" s="57">
        <v>1</v>
      </c>
      <c r="B2937" s="57" t="s">
        <v>964</v>
      </c>
      <c r="C2937" s="57" t="s">
        <v>965</v>
      </c>
      <c r="D2937" s="84"/>
      <c r="E2937" s="113">
        <f>SUM(E2938:E2939)</f>
        <v>1195.2</v>
      </c>
      <c r="F2937" s="113">
        <f>SUM(F2938:F2939)</f>
        <v>8845.6752</v>
      </c>
    </row>
    <row r="2938" customHeight="1" spans="1:6">
      <c r="A2938" s="57"/>
      <c r="B2938" s="57" t="s">
        <v>966</v>
      </c>
      <c r="C2938" s="57" t="s">
        <v>965</v>
      </c>
      <c r="D2938" s="113">
        <f t="shared" ref="D2938:D2946" si="335">D2900</f>
        <v>8.1</v>
      </c>
      <c r="E2938" s="113">
        <f>697.2*1.2</f>
        <v>836.64</v>
      </c>
      <c r="F2938" s="113">
        <f>D2938*E2938</f>
        <v>6776.784</v>
      </c>
    </row>
    <row r="2939" customHeight="1" spans="1:6">
      <c r="A2939" s="57"/>
      <c r="B2939" s="57" t="s">
        <v>968</v>
      </c>
      <c r="C2939" s="57" t="s">
        <v>965</v>
      </c>
      <c r="D2939" s="113">
        <f t="shared" si="335"/>
        <v>5.77</v>
      </c>
      <c r="E2939" s="113">
        <f>298.8*1.2</f>
        <v>358.56</v>
      </c>
      <c r="F2939" s="113">
        <f>D2939*E2939</f>
        <v>2068.8912</v>
      </c>
    </row>
    <row r="2940" customHeight="1" spans="1:6">
      <c r="A2940" s="57">
        <v>2</v>
      </c>
      <c r="B2940" s="57" t="s">
        <v>1219</v>
      </c>
      <c r="C2940" s="57"/>
      <c r="D2940" s="84"/>
      <c r="E2940" s="84"/>
      <c r="F2940" s="84">
        <f>SUM(F2941:F2947)</f>
        <v>12862.49117736</v>
      </c>
    </row>
    <row r="2941" customHeight="1" spans="1:6">
      <c r="A2941" s="57"/>
      <c r="B2941" s="57" t="s">
        <v>1444</v>
      </c>
      <c r="C2941" s="57" t="s">
        <v>1422</v>
      </c>
      <c r="D2941" s="84"/>
      <c r="E2941" s="59">
        <v>100</v>
      </c>
      <c r="F2941" s="84">
        <f t="shared" ref="F2941:F2946" si="336">D2941*E2941</f>
        <v>0</v>
      </c>
    </row>
    <row r="2942" customHeight="1" spans="1:6">
      <c r="A2942" s="57"/>
      <c r="B2942" s="57" t="s">
        <v>1424</v>
      </c>
      <c r="C2942" s="57" t="s">
        <v>267</v>
      </c>
      <c r="D2942" s="57">
        <v>205.13</v>
      </c>
      <c r="E2942" s="59">
        <f>26*1.2</f>
        <v>31.2</v>
      </c>
      <c r="F2942" s="84">
        <f t="shared" si="336"/>
        <v>6400.056</v>
      </c>
    </row>
    <row r="2943" customHeight="1" spans="1:6">
      <c r="A2943" s="57"/>
      <c r="B2943" s="57" t="s">
        <v>1425</v>
      </c>
      <c r="C2943" s="57" t="s">
        <v>1426</v>
      </c>
      <c r="D2943" s="88">
        <f t="shared" si="335"/>
        <v>144.68621</v>
      </c>
      <c r="E2943" s="57">
        <f>1*1.2</f>
        <v>1.2</v>
      </c>
      <c r="F2943" s="84">
        <f t="shared" si="336"/>
        <v>173.623452</v>
      </c>
    </row>
    <row r="2944" customHeight="1" spans="1:6">
      <c r="A2944" s="57"/>
      <c r="B2944" s="57" t="s">
        <v>1274</v>
      </c>
      <c r="C2944" s="57" t="s">
        <v>184</v>
      </c>
      <c r="D2944" s="88">
        <f t="shared" si="335"/>
        <v>4.5</v>
      </c>
      <c r="E2944" s="59">
        <f>17*1.2</f>
        <v>20.4</v>
      </c>
      <c r="F2944" s="84">
        <f t="shared" si="336"/>
        <v>91.8</v>
      </c>
    </row>
    <row r="2945" customHeight="1" spans="1:6">
      <c r="A2945" s="57"/>
      <c r="B2945" s="57" t="s">
        <v>1427</v>
      </c>
      <c r="C2945" s="57" t="s">
        <v>184</v>
      </c>
      <c r="D2945" s="88">
        <f t="shared" si="335"/>
        <v>7.03</v>
      </c>
      <c r="E2945" s="59">
        <f>55*1.2</f>
        <v>66</v>
      </c>
      <c r="F2945" s="84">
        <f t="shared" si="336"/>
        <v>463.98</v>
      </c>
    </row>
    <row r="2946" customHeight="1" spans="1:6">
      <c r="A2946" s="57"/>
      <c r="B2946" s="57" t="s">
        <v>1272</v>
      </c>
      <c r="C2946" s="57" t="s">
        <v>1426</v>
      </c>
      <c r="D2946" s="88">
        <f t="shared" si="335"/>
        <v>2232.665025</v>
      </c>
      <c r="E2946" s="268">
        <f>2*1.2</f>
        <v>2.4</v>
      </c>
      <c r="F2946" s="84">
        <f t="shared" si="336"/>
        <v>5358.39606</v>
      </c>
    </row>
    <row r="2947" customHeight="1" spans="1:6">
      <c r="A2947" s="57"/>
      <c r="B2947" s="57" t="s">
        <v>1248</v>
      </c>
      <c r="C2947" s="59" t="s">
        <v>423</v>
      </c>
      <c r="D2947" s="84">
        <f>SUM(F2941:F2946)</f>
        <v>12487.855512</v>
      </c>
      <c r="E2947" s="59">
        <v>3</v>
      </c>
      <c r="F2947" s="84">
        <f>D2947*E2947/100</f>
        <v>374.63566536</v>
      </c>
    </row>
    <row r="2948" customHeight="1" spans="1:6">
      <c r="A2948" s="57">
        <v>3</v>
      </c>
      <c r="B2948" s="57" t="s">
        <v>1171</v>
      </c>
      <c r="C2948" s="57"/>
      <c r="D2948" s="84"/>
      <c r="E2948" s="84"/>
      <c r="F2948" s="84">
        <f>SUM(F2949:F2951)</f>
        <v>26576.6029105704</v>
      </c>
    </row>
    <row r="2949" customHeight="1" spans="1:6">
      <c r="A2949" s="57"/>
      <c r="B2949" s="57" t="s">
        <v>1428</v>
      </c>
      <c r="C2949" s="57" t="s">
        <v>988</v>
      </c>
      <c r="D2949" s="84">
        <f>D2911</f>
        <v>160.831999202234</v>
      </c>
      <c r="E2949" s="84">
        <f>65*1.2</f>
        <v>78</v>
      </c>
      <c r="F2949" s="84">
        <f>D2949*E2949</f>
        <v>12544.8959377743</v>
      </c>
    </row>
    <row r="2950" customHeight="1" spans="1:6">
      <c r="A2950" s="57"/>
      <c r="B2950" s="57" t="s">
        <v>1429</v>
      </c>
      <c r="C2950" s="57" t="s">
        <v>988</v>
      </c>
      <c r="D2950" s="84">
        <f>D2912</f>
        <v>74.4593087355405</v>
      </c>
      <c r="E2950" s="84">
        <f>130*1.2</f>
        <v>156</v>
      </c>
      <c r="F2950" s="84">
        <f>D2950*E2950</f>
        <v>11615.6521627443</v>
      </c>
    </row>
    <row r="2951" customHeight="1" spans="1:6">
      <c r="A2951" s="57"/>
      <c r="B2951" s="57" t="s">
        <v>1223</v>
      </c>
      <c r="C2951" s="59" t="s">
        <v>423</v>
      </c>
      <c r="D2951" s="84">
        <f>SUM(F2949:F2950)</f>
        <v>24160.5481005186</v>
      </c>
      <c r="E2951" s="84">
        <v>10</v>
      </c>
      <c r="F2951" s="84">
        <f>D2951*E2951/100</f>
        <v>2416.05481005186</v>
      </c>
    </row>
    <row r="2952" customHeight="1" spans="1:6">
      <c r="A2952" s="57" t="s">
        <v>70</v>
      </c>
      <c r="B2952" s="57" t="s">
        <v>977</v>
      </c>
      <c r="C2952" s="194">
        <f>取费表!$C$12</f>
        <v>0.048</v>
      </c>
      <c r="D2952" s="84"/>
      <c r="E2952" s="84">
        <f>F2936</f>
        <v>48284.7692879304</v>
      </c>
      <c r="F2952" s="84">
        <f t="shared" ref="F2952:F2955" si="337">E2952*C2952</f>
        <v>2317.66892582066</v>
      </c>
    </row>
    <row r="2953" customHeight="1" spans="1:6">
      <c r="A2953" s="57"/>
      <c r="B2953" s="57"/>
      <c r="C2953" s="194"/>
      <c r="D2953" s="84"/>
      <c r="E2953" s="84"/>
      <c r="F2953" s="84"/>
    </row>
    <row r="2954" customHeight="1" spans="1:6">
      <c r="A2954" s="57" t="s">
        <v>979</v>
      </c>
      <c r="B2954" s="57" t="s">
        <v>973</v>
      </c>
      <c r="C2954" s="194">
        <f>取费表!$E$12</f>
        <v>0.0725</v>
      </c>
      <c r="D2954" s="84"/>
      <c r="E2954" s="84">
        <f>F2935</f>
        <v>50602.4382137511</v>
      </c>
      <c r="F2954" s="84">
        <f t="shared" si="337"/>
        <v>3668.67677049695</v>
      </c>
    </row>
    <row r="2955" customHeight="1" spans="1:6">
      <c r="A2955" s="57" t="s">
        <v>162</v>
      </c>
      <c r="B2955" s="57" t="s">
        <v>980</v>
      </c>
      <c r="C2955" s="194">
        <f>取费表!$F$12</f>
        <v>0.05</v>
      </c>
      <c r="D2955" s="84"/>
      <c r="E2955" s="84">
        <f>F2954+F2935</f>
        <v>54271.114984248</v>
      </c>
      <c r="F2955" s="84">
        <f t="shared" si="337"/>
        <v>2713.5557492124</v>
      </c>
    </row>
    <row r="2956" customHeight="1" spans="1:6">
      <c r="A2956" s="57"/>
      <c r="B2956" s="57" t="s">
        <v>1430</v>
      </c>
      <c r="C2956" s="269"/>
      <c r="D2956" s="84"/>
      <c r="E2956" s="84"/>
      <c r="F2956" s="84">
        <f>F2957+F2958</f>
        <v>223932</v>
      </c>
    </row>
    <row r="2957" customHeight="1" spans="1:6">
      <c r="A2957" s="57"/>
      <c r="B2957" s="57" t="s">
        <v>1445</v>
      </c>
      <c r="C2957" s="57" t="s">
        <v>1422</v>
      </c>
      <c r="D2957" s="84">
        <v>2239.32</v>
      </c>
      <c r="E2957" s="59">
        <v>100</v>
      </c>
      <c r="F2957" s="84">
        <f>D2957*E2957</f>
        <v>223932</v>
      </c>
    </row>
    <row r="2958" customHeight="1" spans="1:6">
      <c r="A2958" s="57"/>
      <c r="B2958" s="57"/>
      <c r="C2958" s="57"/>
      <c r="D2958" s="84"/>
      <c r="E2958" s="268"/>
      <c r="F2958" s="84"/>
    </row>
    <row r="2959" customHeight="1" spans="1:6">
      <c r="A2959" s="57" t="s">
        <v>214</v>
      </c>
      <c r="B2959" s="57" t="s">
        <v>976</v>
      </c>
      <c r="C2959" s="195">
        <f>C2921</f>
        <v>0.09</v>
      </c>
      <c r="D2959" s="84"/>
      <c r="E2959" s="84">
        <f>E2955+F2955+F2956</f>
        <v>280916.67073346</v>
      </c>
      <c r="F2959" s="84">
        <f>E2959*C2959</f>
        <v>25282.5003660114</v>
      </c>
    </row>
    <row r="2960" customHeight="1" spans="1:6">
      <c r="A2960" s="57"/>
      <c r="B2960" s="57" t="s">
        <v>984</v>
      </c>
      <c r="C2960" s="195"/>
      <c r="D2960" s="84"/>
      <c r="E2960" s="84"/>
      <c r="F2960" s="84">
        <f>(E2959+F2959)*取费表!H12</f>
        <v>9185.97513298416</v>
      </c>
    </row>
    <row r="2961" customHeight="1" spans="1:6">
      <c r="A2961" s="57"/>
      <c r="B2961" s="57" t="s">
        <v>278</v>
      </c>
      <c r="C2961" s="57"/>
      <c r="D2961" s="84"/>
      <c r="E2961" s="84"/>
      <c r="F2961" s="84">
        <f>E2959+F2959+F2960</f>
        <v>315385.146232456</v>
      </c>
    </row>
    <row r="2962" customHeight="1" spans="1:6">
      <c r="A2962" s="57"/>
      <c r="B2962" s="57"/>
      <c r="C2962" s="57"/>
      <c r="D2962" s="84"/>
      <c r="E2962" s="84"/>
      <c r="F2962" s="84"/>
    </row>
    <row r="2963" customHeight="1" spans="1:6">
      <c r="A2963" s="57"/>
      <c r="B2963" s="57"/>
      <c r="C2963" s="57"/>
      <c r="D2963" s="84"/>
      <c r="E2963" s="84"/>
      <c r="F2963" s="84"/>
    </row>
    <row r="2964" customHeight="1" spans="1:6">
      <c r="A2964" s="57"/>
      <c r="B2964" s="57"/>
      <c r="C2964" s="57"/>
      <c r="D2964" s="84"/>
      <c r="E2964" s="84"/>
      <c r="F2964" s="84"/>
    </row>
    <row r="2965" customHeight="1" spans="1:6">
      <c r="A2965" s="57"/>
      <c r="B2965" s="57"/>
      <c r="C2965" s="57"/>
      <c r="D2965" s="84"/>
      <c r="E2965" s="84"/>
      <c r="F2965" s="84"/>
    </row>
    <row r="2966" customHeight="1" spans="1:6">
      <c r="A2966" s="57"/>
      <c r="B2966" s="57"/>
      <c r="C2966" s="57"/>
      <c r="D2966" s="84"/>
      <c r="E2966" s="84"/>
      <c r="F2966" s="84"/>
    </row>
    <row r="2967" customHeight="1" spans="1:6">
      <c r="A2967" s="57"/>
      <c r="B2967" s="57"/>
      <c r="C2967" s="57"/>
      <c r="D2967" s="84"/>
      <c r="E2967" s="84"/>
      <c r="F2967" s="84"/>
    </row>
    <row r="2968" customHeight="1" spans="1:11">
      <c r="A2968" s="176" t="s">
        <v>1204</v>
      </c>
      <c r="B2968" s="175"/>
      <c r="C2968" s="175"/>
      <c r="D2968" s="175"/>
      <c r="E2968" s="175"/>
      <c r="F2968" s="175"/>
      <c r="G2968" s="175"/>
      <c r="H2968" s="175"/>
      <c r="I2968" s="175"/>
      <c r="J2968" s="175"/>
      <c r="K2968" s="175"/>
    </row>
    <row r="2969" customHeight="1" spans="1:11">
      <c r="A2969" s="242" t="s">
        <v>1446</v>
      </c>
      <c r="C2969" s="243"/>
      <c r="D2969" s="243"/>
      <c r="E2969" s="243"/>
      <c r="F2969" s="243"/>
      <c r="G2969" s="243"/>
      <c r="H2969" s="243"/>
      <c r="I2969" s="243"/>
      <c r="J2969" s="243"/>
      <c r="K2969" s="243"/>
    </row>
    <row r="2970" customHeight="1" spans="1:11">
      <c r="A2970" s="190" t="s">
        <v>1432</v>
      </c>
      <c r="B2970" s="191"/>
      <c r="C2970" s="243"/>
      <c r="D2970" s="243"/>
      <c r="E2970" s="191" t="s">
        <v>1420</v>
      </c>
      <c r="F2970" s="191"/>
      <c r="G2970" s="191"/>
      <c r="H2970" s="243"/>
      <c r="I2970" s="243"/>
      <c r="J2970" s="191" t="s">
        <v>1420</v>
      </c>
      <c r="K2970" s="191"/>
    </row>
    <row r="2971" customHeight="1" spans="1:11">
      <c r="A2971" s="117" t="s">
        <v>1218</v>
      </c>
      <c r="B2971" s="192"/>
      <c r="C2971" s="192"/>
      <c r="D2971" s="192"/>
      <c r="E2971" s="192"/>
      <c r="F2971" s="118"/>
      <c r="G2971" s="192"/>
      <c r="H2971" s="192"/>
      <c r="I2971" s="192"/>
      <c r="J2971" s="192"/>
      <c r="K2971" s="118"/>
    </row>
    <row r="2972" customHeight="1" spans="1:11">
      <c r="A2972" s="57" t="s">
        <v>354</v>
      </c>
      <c r="B2972" s="57" t="s">
        <v>956</v>
      </c>
      <c r="C2972" s="57" t="s">
        <v>52</v>
      </c>
      <c r="D2972" s="57" t="s">
        <v>855</v>
      </c>
      <c r="E2972" s="57" t="s">
        <v>53</v>
      </c>
      <c r="F2972" s="57" t="s">
        <v>306</v>
      </c>
      <c r="G2972" s="57" t="s">
        <v>956</v>
      </c>
      <c r="H2972" s="57" t="s">
        <v>52</v>
      </c>
      <c r="I2972" s="57" t="s">
        <v>855</v>
      </c>
      <c r="J2972" s="57" t="s">
        <v>53</v>
      </c>
      <c r="K2972" s="57" t="s">
        <v>306</v>
      </c>
    </row>
    <row r="2973" customHeight="1" spans="1:11">
      <c r="A2973" s="57" t="s">
        <v>959</v>
      </c>
      <c r="B2973" s="57" t="s">
        <v>960</v>
      </c>
      <c r="C2973" s="57"/>
      <c r="D2973" s="57"/>
      <c r="E2973" s="57"/>
      <c r="F2973" s="84">
        <f>F2974+F2990+F2991</f>
        <v>23694.8864839966</v>
      </c>
      <c r="G2973" s="57" t="s">
        <v>960</v>
      </c>
      <c r="H2973" s="57"/>
      <c r="I2973" s="57"/>
      <c r="J2973" s="57"/>
      <c r="K2973" s="84">
        <f>K2974+K2990+K2991</f>
        <v>26379.9680089016</v>
      </c>
    </row>
    <row r="2974" customHeight="1" spans="1:11">
      <c r="A2974" s="57" t="s">
        <v>59</v>
      </c>
      <c r="B2974" s="57" t="s">
        <v>957</v>
      </c>
      <c r="C2974" s="57"/>
      <c r="D2974" s="57"/>
      <c r="E2974" s="57"/>
      <c r="F2974" s="84">
        <f>F2975+F2978+F2986</f>
        <v>22609.6245076304</v>
      </c>
      <c r="G2974" s="57" t="s">
        <v>957</v>
      </c>
      <c r="H2974" s="57"/>
      <c r="I2974" s="57"/>
      <c r="J2974" s="57"/>
      <c r="K2974" s="84">
        <f>K2975+K2978+K2986</f>
        <v>25171.7251993336</v>
      </c>
    </row>
    <row r="2975" customHeight="1" spans="1:11">
      <c r="A2975" s="57">
        <v>1</v>
      </c>
      <c r="B2975" s="57" t="s">
        <v>964</v>
      </c>
      <c r="C2975" s="57" t="s">
        <v>965</v>
      </c>
      <c r="D2975" s="84"/>
      <c r="E2975" s="113">
        <f>SUM(E2976:E2977)</f>
        <v>531.2</v>
      </c>
      <c r="F2975" s="113">
        <f>SUM(F2976:F2977)</f>
        <v>3931.318</v>
      </c>
      <c r="G2975" s="57" t="s">
        <v>964</v>
      </c>
      <c r="H2975" s="57" t="s">
        <v>965</v>
      </c>
      <c r="I2975" s="84"/>
      <c r="J2975" s="113">
        <f>SUM(J2976:J2977)</f>
        <v>597.6</v>
      </c>
      <c r="K2975" s="113">
        <f>SUM(K2976:K2977)</f>
        <v>4422.791</v>
      </c>
    </row>
    <row r="2976" customHeight="1" spans="1:11">
      <c r="A2976" s="57"/>
      <c r="B2976" s="57" t="s">
        <v>966</v>
      </c>
      <c r="C2976" s="57" t="s">
        <v>965</v>
      </c>
      <c r="D2976" s="113">
        <f>建筑工程单价分析表!D654</f>
        <v>8.1</v>
      </c>
      <c r="E2976" s="113">
        <v>371.8</v>
      </c>
      <c r="F2976" s="113">
        <f>D2976*E2976</f>
        <v>3011.58</v>
      </c>
      <c r="G2976" s="57" t="s">
        <v>966</v>
      </c>
      <c r="H2976" s="57" t="s">
        <v>965</v>
      </c>
      <c r="I2976" s="113">
        <f t="shared" ref="I2976:I2984" si="338">D2976</f>
        <v>8.1</v>
      </c>
      <c r="J2976" s="113">
        <v>418.3</v>
      </c>
      <c r="K2976" s="113">
        <f>I2976*J2976</f>
        <v>3388.23</v>
      </c>
    </row>
    <row r="2977" customHeight="1" spans="1:11">
      <c r="A2977" s="57"/>
      <c r="B2977" s="57" t="s">
        <v>968</v>
      </c>
      <c r="C2977" s="57" t="s">
        <v>965</v>
      </c>
      <c r="D2977" s="113">
        <f>建筑工程单价分析表!D655</f>
        <v>5.77</v>
      </c>
      <c r="E2977" s="113">
        <v>159.4</v>
      </c>
      <c r="F2977" s="113">
        <f>D2977*E2977</f>
        <v>919.738</v>
      </c>
      <c r="G2977" s="57" t="s">
        <v>968</v>
      </c>
      <c r="H2977" s="57" t="s">
        <v>965</v>
      </c>
      <c r="I2977" s="113">
        <f t="shared" si="338"/>
        <v>5.77</v>
      </c>
      <c r="J2977" s="113">
        <v>179.3</v>
      </c>
      <c r="K2977" s="113">
        <f>I2977*J2977</f>
        <v>1034.561</v>
      </c>
    </row>
    <row r="2978" customHeight="1" spans="1:11">
      <c r="A2978" s="57">
        <v>2</v>
      </c>
      <c r="B2978" s="57" t="s">
        <v>1219</v>
      </c>
      <c r="C2978" s="57"/>
      <c r="D2978" s="84"/>
      <c r="E2978" s="84"/>
      <c r="F2978" s="84">
        <f>SUM(F2979:F2985)</f>
        <v>5458.80557205</v>
      </c>
      <c r="G2978" s="57" t="s">
        <v>1219</v>
      </c>
      <c r="H2978" s="57"/>
      <c r="I2978" s="84"/>
      <c r="J2978" s="84"/>
      <c r="K2978" s="84">
        <f>SUM(K2979:K2985)</f>
        <v>5825.80487205</v>
      </c>
    </row>
    <row r="2979" customHeight="1" spans="1:11">
      <c r="A2979" s="57"/>
      <c r="B2979" s="57" t="s">
        <v>1447</v>
      </c>
      <c r="C2979" s="57" t="s">
        <v>1422</v>
      </c>
      <c r="D2979" s="84"/>
      <c r="E2979" s="59">
        <v>100</v>
      </c>
      <c r="F2979" s="84">
        <f t="shared" ref="F2979:F2984" si="339">D2979*E2979</f>
        <v>0</v>
      </c>
      <c r="G2979" s="57" t="s">
        <v>1448</v>
      </c>
      <c r="H2979" s="57" t="s">
        <v>1422</v>
      </c>
      <c r="I2979" s="84"/>
      <c r="J2979" s="59">
        <v>100</v>
      </c>
      <c r="K2979" s="84">
        <f t="shared" ref="K2979:K2984" si="340">I2979*J2979</f>
        <v>0</v>
      </c>
    </row>
    <row r="2980" customHeight="1" spans="1:11">
      <c r="A2980" s="57"/>
      <c r="B2980" s="57" t="s">
        <v>1424</v>
      </c>
      <c r="C2980" s="57" t="s">
        <v>267</v>
      </c>
      <c r="D2980" s="57">
        <v>125.64</v>
      </c>
      <c r="E2980" s="59">
        <v>21</v>
      </c>
      <c r="F2980" s="84">
        <f t="shared" si="339"/>
        <v>2638.44</v>
      </c>
      <c r="G2980" s="57" t="s">
        <v>1424</v>
      </c>
      <c r="H2980" s="57" t="s">
        <v>267</v>
      </c>
      <c r="I2980" s="57">
        <v>140.17</v>
      </c>
      <c r="J2980" s="59">
        <v>21</v>
      </c>
      <c r="K2980" s="84">
        <f t="shared" si="340"/>
        <v>2943.57</v>
      </c>
    </row>
    <row r="2981" customHeight="1" spans="1:11">
      <c r="A2981" s="57"/>
      <c r="B2981" s="57" t="s">
        <v>1425</v>
      </c>
      <c r="C2981" s="57" t="s">
        <v>1426</v>
      </c>
      <c r="D2981" s="88">
        <f>建筑工程单价分析表!D659</f>
        <v>144.68621</v>
      </c>
      <c r="E2981" s="57">
        <v>1</v>
      </c>
      <c r="F2981" s="84">
        <f t="shared" si="339"/>
        <v>144.68621</v>
      </c>
      <c r="G2981" s="57" t="s">
        <v>1425</v>
      </c>
      <c r="H2981" s="57" t="s">
        <v>1426</v>
      </c>
      <c r="I2981" s="88">
        <f t="shared" si="338"/>
        <v>144.68621</v>
      </c>
      <c r="J2981" s="57">
        <v>1</v>
      </c>
      <c r="K2981" s="84">
        <f t="shared" si="340"/>
        <v>144.68621</v>
      </c>
    </row>
    <row r="2982" customHeight="1" spans="1:11">
      <c r="A2982" s="57"/>
      <c r="B2982" s="57" t="s">
        <v>1274</v>
      </c>
      <c r="C2982" s="57" t="s">
        <v>184</v>
      </c>
      <c r="D2982" s="88">
        <f>建筑工程单价分析表!D660</f>
        <v>4.5</v>
      </c>
      <c r="E2982" s="59">
        <v>10</v>
      </c>
      <c r="F2982" s="84">
        <f t="shared" si="339"/>
        <v>45</v>
      </c>
      <c r="G2982" s="57" t="s">
        <v>1274</v>
      </c>
      <c r="H2982" s="57" t="s">
        <v>184</v>
      </c>
      <c r="I2982" s="88">
        <f t="shared" si="338"/>
        <v>4.5</v>
      </c>
      <c r="J2982" s="59">
        <v>12</v>
      </c>
      <c r="K2982" s="84">
        <f t="shared" si="340"/>
        <v>54</v>
      </c>
    </row>
    <row r="2983" customHeight="1" spans="1:11">
      <c r="A2983" s="57"/>
      <c r="B2983" s="57" t="s">
        <v>1427</v>
      </c>
      <c r="C2983" s="57" t="s">
        <v>184</v>
      </c>
      <c r="D2983" s="88">
        <f>建筑工程单价分析表!D661</f>
        <v>7.03</v>
      </c>
      <c r="E2983" s="59">
        <v>34</v>
      </c>
      <c r="F2983" s="84">
        <f t="shared" si="339"/>
        <v>239.02</v>
      </c>
      <c r="G2983" s="57" t="s">
        <v>1427</v>
      </c>
      <c r="H2983" s="57" t="s">
        <v>184</v>
      </c>
      <c r="I2983" s="88">
        <f t="shared" si="338"/>
        <v>7.03</v>
      </c>
      <c r="J2983" s="59">
        <v>40</v>
      </c>
      <c r="K2983" s="84">
        <f t="shared" si="340"/>
        <v>281.2</v>
      </c>
    </row>
    <row r="2984" customHeight="1" spans="1:11">
      <c r="A2984" s="57"/>
      <c r="B2984" s="57" t="s">
        <v>1272</v>
      </c>
      <c r="C2984" s="57" t="s">
        <v>1426</v>
      </c>
      <c r="D2984" s="88">
        <f>建筑工程单价分析表!D662</f>
        <v>2232.665025</v>
      </c>
      <c r="E2984" s="59">
        <v>1</v>
      </c>
      <c r="F2984" s="84">
        <f t="shared" si="339"/>
        <v>2232.665025</v>
      </c>
      <c r="G2984" s="57" t="s">
        <v>1272</v>
      </c>
      <c r="H2984" s="57" t="s">
        <v>1426</v>
      </c>
      <c r="I2984" s="88">
        <f t="shared" si="338"/>
        <v>2232.665025</v>
      </c>
      <c r="J2984" s="59">
        <v>1</v>
      </c>
      <c r="K2984" s="84">
        <f t="shared" si="340"/>
        <v>2232.665025</v>
      </c>
    </row>
    <row r="2985" customHeight="1" spans="1:11">
      <c r="A2985" s="57"/>
      <c r="B2985" s="57" t="s">
        <v>1248</v>
      </c>
      <c r="C2985" s="59" t="s">
        <v>423</v>
      </c>
      <c r="D2985" s="88">
        <f>SUM(F2980:F2984)</f>
        <v>5299.811235</v>
      </c>
      <c r="E2985" s="59">
        <v>3</v>
      </c>
      <c r="F2985" s="84">
        <f>D2985*E2985/100</f>
        <v>158.99433705</v>
      </c>
      <c r="G2985" s="57" t="s">
        <v>1248</v>
      </c>
      <c r="H2985" s="59" t="s">
        <v>423</v>
      </c>
      <c r="I2985" s="88">
        <f>SUM(K2980:K2984)</f>
        <v>5656.121235</v>
      </c>
      <c r="J2985" s="59">
        <v>3</v>
      </c>
      <c r="K2985" s="84">
        <f>I2985*J2985/100</f>
        <v>169.68363705</v>
      </c>
    </row>
    <row r="2986" customHeight="1" spans="1:11">
      <c r="A2986" s="57">
        <v>3</v>
      </c>
      <c r="B2986" s="57" t="s">
        <v>1171</v>
      </c>
      <c r="C2986" s="57"/>
      <c r="D2986" s="84"/>
      <c r="E2986" s="84"/>
      <c r="F2986" s="84">
        <f>SUM(F2987:F2989)</f>
        <v>13219.5009355804</v>
      </c>
      <c r="G2986" s="57" t="s">
        <v>1171</v>
      </c>
      <c r="H2986" s="57"/>
      <c r="I2986" s="84"/>
      <c r="J2986" s="84"/>
      <c r="K2986" s="84">
        <f>SUM(K2987:K2989)</f>
        <v>14923.1293272836</v>
      </c>
    </row>
    <row r="2987" customHeight="1" spans="1:11">
      <c r="A2987" s="57"/>
      <c r="B2987" s="57" t="s">
        <v>1428</v>
      </c>
      <c r="C2987" s="57" t="s">
        <v>988</v>
      </c>
      <c r="D2987" s="84">
        <f>建筑工程单价分析表!D665</f>
        <v>160.831999202234</v>
      </c>
      <c r="E2987" s="84">
        <v>40</v>
      </c>
      <c r="F2987" s="84">
        <f>D2987*E2987</f>
        <v>6433.27996808936</v>
      </c>
      <c r="G2987" s="57" t="s">
        <v>1428</v>
      </c>
      <c r="H2987" s="57" t="s">
        <v>988</v>
      </c>
      <c r="I2987" s="84">
        <f>D2987</f>
        <v>160.831999202234</v>
      </c>
      <c r="J2987" s="84">
        <v>45</v>
      </c>
      <c r="K2987" s="84">
        <f>I2987*J2987</f>
        <v>7237.43996410053</v>
      </c>
    </row>
    <row r="2988" customHeight="1" spans="1:11">
      <c r="A2988" s="57"/>
      <c r="B2988" s="57" t="s">
        <v>1429</v>
      </c>
      <c r="C2988" s="57" t="s">
        <v>988</v>
      </c>
      <c r="D2988" s="84">
        <f>建筑工程单价分析表!D666</f>
        <v>74.4593087355405</v>
      </c>
      <c r="E2988" s="84">
        <v>75</v>
      </c>
      <c r="F2988" s="84">
        <f>D2988*E2988</f>
        <v>5584.44815516554</v>
      </c>
      <c r="G2988" s="57" t="s">
        <v>1429</v>
      </c>
      <c r="H2988" s="57" t="s">
        <v>988</v>
      </c>
      <c r="I2988" s="84">
        <f>D2988</f>
        <v>74.4593087355405</v>
      </c>
      <c r="J2988" s="84">
        <v>85</v>
      </c>
      <c r="K2988" s="84">
        <f>I2988*J2988</f>
        <v>6329.04124252094</v>
      </c>
    </row>
    <row r="2989" customHeight="1" spans="1:11">
      <c r="A2989" s="57"/>
      <c r="B2989" s="57" t="s">
        <v>1223</v>
      </c>
      <c r="C2989" s="59" t="s">
        <v>423</v>
      </c>
      <c r="D2989" s="84">
        <f>SUM(F2987:F2988)</f>
        <v>12017.7281232549</v>
      </c>
      <c r="E2989" s="84">
        <v>10</v>
      </c>
      <c r="F2989" s="84">
        <f>D2989*E2989/100</f>
        <v>1201.77281232549</v>
      </c>
      <c r="G2989" s="57" t="s">
        <v>1223</v>
      </c>
      <c r="H2989" s="59" t="s">
        <v>423</v>
      </c>
      <c r="I2989" s="84">
        <f>SUM(K2987:K2988)</f>
        <v>13566.4812066215</v>
      </c>
      <c r="J2989" s="84">
        <v>10</v>
      </c>
      <c r="K2989" s="84">
        <f>I2989*J2989/100</f>
        <v>1356.64812066215</v>
      </c>
    </row>
    <row r="2990" customHeight="1" spans="1:11">
      <c r="A2990" s="57" t="s">
        <v>70</v>
      </c>
      <c r="B2990" s="57" t="s">
        <v>977</v>
      </c>
      <c r="C2990" s="194">
        <f>取费表!$C$12</f>
        <v>0.048</v>
      </c>
      <c r="D2990" s="84"/>
      <c r="E2990" s="84">
        <f>F2974</f>
        <v>22609.6245076304</v>
      </c>
      <c r="F2990" s="84">
        <f t="shared" ref="F2990:F2993" si="341">E2990*C2990</f>
        <v>1085.26197636626</v>
      </c>
      <c r="G2990" s="57" t="s">
        <v>977</v>
      </c>
      <c r="H2990" s="194">
        <f>取费表!$C$12</f>
        <v>0.048</v>
      </c>
      <c r="I2990" s="84"/>
      <c r="J2990" s="84">
        <f>K2974</f>
        <v>25171.7251993336</v>
      </c>
      <c r="K2990" s="84">
        <f t="shared" ref="K2990:K2993" si="342">J2990*H2990</f>
        <v>1208.24280956801</v>
      </c>
    </row>
    <row r="2991" customHeight="1" spans="1:11">
      <c r="A2991" s="57"/>
      <c r="B2991" s="57"/>
      <c r="C2991" s="194"/>
      <c r="D2991" s="84"/>
      <c r="E2991" s="84"/>
      <c r="F2991" s="84"/>
      <c r="G2991" s="57"/>
      <c r="H2991" s="194"/>
      <c r="I2991" s="84"/>
      <c r="J2991" s="84"/>
      <c r="K2991" s="84"/>
    </row>
    <row r="2992" customHeight="1" spans="1:11">
      <c r="A2992" s="57" t="s">
        <v>979</v>
      </c>
      <c r="B2992" s="57" t="s">
        <v>973</v>
      </c>
      <c r="C2992" s="194">
        <f>取费表!$E$12</f>
        <v>0.0725</v>
      </c>
      <c r="D2992" s="84"/>
      <c r="E2992" s="84">
        <f>F2973</f>
        <v>23694.8864839966</v>
      </c>
      <c r="F2992" s="84">
        <f t="shared" si="341"/>
        <v>1717.87927008976</v>
      </c>
      <c r="G2992" s="57" t="s">
        <v>973</v>
      </c>
      <c r="H2992" s="194">
        <f>取费表!$E$12</f>
        <v>0.0725</v>
      </c>
      <c r="I2992" s="84"/>
      <c r="J2992" s="84">
        <f>K2973</f>
        <v>26379.9680089016</v>
      </c>
      <c r="K2992" s="84">
        <f t="shared" si="342"/>
        <v>1912.54768064537</v>
      </c>
    </row>
    <row r="2993" customHeight="1" spans="1:11">
      <c r="A2993" s="57" t="s">
        <v>162</v>
      </c>
      <c r="B2993" s="57" t="s">
        <v>980</v>
      </c>
      <c r="C2993" s="194">
        <f>取费表!$F$12</f>
        <v>0.05</v>
      </c>
      <c r="D2993" s="84"/>
      <c r="E2993" s="84">
        <f>F2992+F2973</f>
        <v>25412.7657540864</v>
      </c>
      <c r="F2993" s="84">
        <f t="shared" si="341"/>
        <v>1270.63828770432</v>
      </c>
      <c r="G2993" s="57" t="s">
        <v>980</v>
      </c>
      <c r="H2993" s="194">
        <f>取费表!$F$12</f>
        <v>0.05</v>
      </c>
      <c r="I2993" s="84"/>
      <c r="J2993" s="84">
        <f>K2992+K2973</f>
        <v>28292.515689547</v>
      </c>
      <c r="K2993" s="84">
        <f t="shared" si="342"/>
        <v>1414.62578447735</v>
      </c>
    </row>
    <row r="2994" customHeight="1" spans="1:11">
      <c r="A2994" s="57"/>
      <c r="B2994" s="57" t="s">
        <v>1430</v>
      </c>
      <c r="C2994" s="269"/>
      <c r="D2994" s="84"/>
      <c r="E2994" s="84"/>
      <c r="F2994" s="84">
        <f>F2995+F2996</f>
        <v>0</v>
      </c>
      <c r="G2994" s="57" t="s">
        <v>1430</v>
      </c>
      <c r="H2994" s="269"/>
      <c r="I2994" s="84"/>
      <c r="J2994" s="84"/>
      <c r="K2994" s="84">
        <f>K2995+K2996</f>
        <v>0</v>
      </c>
    </row>
    <row r="2995" customHeight="1" spans="1:11">
      <c r="A2995" s="57"/>
      <c r="B2995" s="57" t="s">
        <v>1449</v>
      </c>
      <c r="C2995" s="57" t="s">
        <v>1422</v>
      </c>
      <c r="D2995" s="84"/>
      <c r="E2995" s="59">
        <v>100</v>
      </c>
      <c r="F2995" s="84">
        <f>D2995*E2995</f>
        <v>0</v>
      </c>
      <c r="G2995" s="57" t="s">
        <v>1450</v>
      </c>
      <c r="H2995" s="57" t="s">
        <v>1422</v>
      </c>
      <c r="I2995" s="84"/>
      <c r="J2995" s="59">
        <v>100</v>
      </c>
      <c r="K2995" s="84">
        <f>I2995*J2995</f>
        <v>0</v>
      </c>
    </row>
    <row r="2996" customHeight="1" spans="1:11">
      <c r="A2996" s="57"/>
      <c r="B2996" s="57"/>
      <c r="C2996" s="57"/>
      <c r="D2996" s="84"/>
      <c r="E2996" s="59"/>
      <c r="F2996" s="84"/>
      <c r="G2996" s="57"/>
      <c r="H2996" s="57"/>
      <c r="I2996" s="84"/>
      <c r="J2996" s="59"/>
      <c r="K2996" s="84"/>
    </row>
    <row r="2997" customHeight="1" spans="1:11">
      <c r="A2997" s="57" t="s">
        <v>214</v>
      </c>
      <c r="B2997" s="57" t="s">
        <v>976</v>
      </c>
      <c r="C2997" s="195">
        <f>建筑工程单价分析表!C675</f>
        <v>0.09</v>
      </c>
      <c r="D2997" s="84"/>
      <c r="E2997" s="84">
        <f>E2993+F2993+F2994</f>
        <v>26683.4040417907</v>
      </c>
      <c r="F2997" s="84">
        <f>E2997*C2997</f>
        <v>2401.50636376117</v>
      </c>
      <c r="G2997" s="57" t="s">
        <v>976</v>
      </c>
      <c r="H2997" s="195">
        <f>C2997</f>
        <v>0.09</v>
      </c>
      <c r="I2997" s="84"/>
      <c r="J2997" s="84">
        <f>J2993+K2993+K2994</f>
        <v>29707.1414740244</v>
      </c>
      <c r="K2997" s="84">
        <f>J2997*H2997</f>
        <v>2673.64273266219</v>
      </c>
    </row>
    <row r="2998" customHeight="1" spans="1:11">
      <c r="A2998" s="57"/>
      <c r="B2998" s="57" t="s">
        <v>984</v>
      </c>
      <c r="C2998" s="195"/>
      <c r="D2998" s="84"/>
      <c r="E2998" s="84"/>
      <c r="F2998" s="84">
        <f>(E2997+F2997)*取费表!H12</f>
        <v>872.547312166557</v>
      </c>
      <c r="G2998" s="57" t="s">
        <v>984</v>
      </c>
      <c r="H2998" s="195"/>
      <c r="I2998" s="84"/>
      <c r="J2998" s="84"/>
      <c r="K2998" s="84">
        <f>(J2997+K2997)*取费表!H12</f>
        <v>971.423526200596</v>
      </c>
    </row>
    <row r="2999" customHeight="1" spans="1:11">
      <c r="A2999" s="57"/>
      <c r="B2999" s="57" t="s">
        <v>278</v>
      </c>
      <c r="C2999" s="57"/>
      <c r="D2999" s="84"/>
      <c r="E2999" s="84"/>
      <c r="F2999" s="84">
        <f>E2997+F2997+F2998</f>
        <v>29957.4577177184</v>
      </c>
      <c r="G2999" s="57" t="s">
        <v>278</v>
      </c>
      <c r="H2999" s="57"/>
      <c r="I2999" s="84"/>
      <c r="J2999" s="84"/>
      <c r="K2999" s="84">
        <f>J2997+K2997+K2998</f>
        <v>33352.2077328871</v>
      </c>
    </row>
    <row r="3000" customHeight="1" spans="1:11">
      <c r="A3000" s="57"/>
      <c r="B3000" s="57"/>
      <c r="C3000" s="57"/>
      <c r="D3000" s="84"/>
      <c r="E3000" s="84"/>
      <c r="F3000" s="84"/>
      <c r="G3000" s="57"/>
      <c r="H3000" s="57"/>
      <c r="I3000" s="84"/>
      <c r="J3000" s="84"/>
      <c r="K3000" s="84"/>
    </row>
    <row r="3001" customHeight="1" spans="1:11">
      <c r="A3001" s="57"/>
      <c r="B3001" s="57"/>
      <c r="C3001" s="57"/>
      <c r="D3001" s="84"/>
      <c r="E3001" s="84"/>
      <c r="F3001" s="84"/>
      <c r="G3001" s="57"/>
      <c r="H3001" s="57"/>
      <c r="I3001" s="84"/>
      <c r="J3001" s="84"/>
      <c r="K3001" s="84"/>
    </row>
    <row r="3002" customHeight="1" spans="1:11">
      <c r="A3002" s="57"/>
      <c r="B3002" s="57"/>
      <c r="C3002" s="57"/>
      <c r="D3002" s="84"/>
      <c r="E3002" s="84"/>
      <c r="F3002" s="84"/>
      <c r="G3002" s="57"/>
      <c r="H3002" s="57"/>
      <c r="I3002" s="84"/>
      <c r="J3002" s="84"/>
      <c r="K3002" s="84"/>
    </row>
    <row r="3003" customHeight="1" spans="1:11">
      <c r="A3003" s="57"/>
      <c r="B3003" s="57"/>
      <c r="C3003" s="57"/>
      <c r="D3003" s="84"/>
      <c r="E3003" s="84"/>
      <c r="F3003" s="84"/>
      <c r="G3003" s="57"/>
      <c r="H3003" s="57"/>
      <c r="I3003" s="84"/>
      <c r="J3003" s="84"/>
      <c r="K3003" s="84"/>
    </row>
    <row r="3004" customHeight="1" spans="1:11">
      <c r="A3004" s="57"/>
      <c r="B3004" s="57"/>
      <c r="C3004" s="57"/>
      <c r="D3004" s="84"/>
      <c r="E3004" s="84"/>
      <c r="F3004" s="84"/>
      <c r="G3004" s="57"/>
      <c r="H3004" s="57"/>
      <c r="I3004" s="84"/>
      <c r="J3004" s="84"/>
      <c r="K3004" s="84"/>
    </row>
    <row r="3005" customHeight="1" spans="1:11">
      <c r="A3005" s="57"/>
      <c r="B3005" s="57"/>
      <c r="C3005" s="57"/>
      <c r="D3005" s="84"/>
      <c r="E3005" s="84"/>
      <c r="F3005" s="84"/>
      <c r="G3005" s="57"/>
      <c r="H3005" s="57"/>
      <c r="I3005" s="84"/>
      <c r="J3005" s="84"/>
      <c r="K3005" s="84"/>
    </row>
    <row r="3006" customHeight="1" spans="1:6">
      <c r="A3006" s="176" t="s">
        <v>1204</v>
      </c>
      <c r="B3006" s="175"/>
      <c r="C3006" s="175"/>
      <c r="D3006" s="175"/>
      <c r="E3006" s="175"/>
      <c r="F3006" s="175"/>
    </row>
    <row r="3007" customHeight="1" spans="1:6">
      <c r="A3007" s="242" t="s">
        <v>1451</v>
      </c>
      <c r="C3007" s="243"/>
      <c r="D3007" s="243"/>
      <c r="E3007" s="243"/>
      <c r="F3007" s="243"/>
    </row>
    <row r="3008" customHeight="1" spans="1:6">
      <c r="A3008" s="191" t="s">
        <v>1419</v>
      </c>
      <c r="B3008" s="191"/>
      <c r="C3008" s="168"/>
      <c r="D3008" s="168"/>
      <c r="E3008" s="191" t="s">
        <v>1420</v>
      </c>
      <c r="F3008" s="191"/>
    </row>
    <row r="3009" customHeight="1" spans="1:6">
      <c r="A3009" s="117" t="s">
        <v>1243</v>
      </c>
      <c r="B3009" s="192"/>
      <c r="C3009" s="192"/>
      <c r="D3009" s="192"/>
      <c r="E3009" s="192"/>
      <c r="F3009" s="118"/>
    </row>
    <row r="3010" customHeight="1" spans="1:6">
      <c r="A3010" s="57" t="s">
        <v>354</v>
      </c>
      <c r="B3010" s="57" t="s">
        <v>956</v>
      </c>
      <c r="C3010" s="57" t="s">
        <v>52</v>
      </c>
      <c r="D3010" s="57" t="s">
        <v>855</v>
      </c>
      <c r="E3010" s="57" t="s">
        <v>53</v>
      </c>
      <c r="F3010" s="57" t="s">
        <v>306</v>
      </c>
    </row>
    <row r="3011" customHeight="1" spans="1:6">
      <c r="A3011" s="57" t="s">
        <v>959</v>
      </c>
      <c r="B3011" s="57" t="s">
        <v>960</v>
      </c>
      <c r="C3011" s="57"/>
      <c r="D3011" s="57"/>
      <c r="E3011" s="57"/>
      <c r="F3011" s="84">
        <f>F3012+F3028+F3029</f>
        <v>7935.68449649764</v>
      </c>
    </row>
    <row r="3012" customHeight="1" spans="1:6">
      <c r="A3012" s="57" t="s">
        <v>59</v>
      </c>
      <c r="B3012" s="57" t="s">
        <v>957</v>
      </c>
      <c r="C3012" s="57"/>
      <c r="D3012" s="57"/>
      <c r="E3012" s="57"/>
      <c r="F3012" s="84">
        <f>F3013+F3016+F3024</f>
        <v>7572.21803100919</v>
      </c>
    </row>
    <row r="3013" customHeight="1" spans="1:8">
      <c r="A3013" s="57">
        <v>1</v>
      </c>
      <c r="B3013" s="57" t="s">
        <v>964</v>
      </c>
      <c r="C3013" s="57" t="s">
        <v>965</v>
      </c>
      <c r="D3013" s="84"/>
      <c r="E3013" s="113">
        <f>SUM(E3014:E3015)</f>
        <v>244.12</v>
      </c>
      <c r="F3013" s="113">
        <f>SUM(F3014:F3015)</f>
        <v>1806.6995</v>
      </c>
      <c r="G3013" s="109">
        <v>400</v>
      </c>
      <c r="H3013" s="109">
        <v>15</v>
      </c>
    </row>
    <row r="3014" customHeight="1" spans="1:8">
      <c r="A3014" s="57"/>
      <c r="B3014" s="57" t="s">
        <v>966</v>
      </c>
      <c r="C3014" s="57" t="s">
        <v>965</v>
      </c>
      <c r="D3014" s="113">
        <f t="shared" ref="D3014:D3022" si="343">D2938</f>
        <v>8.1</v>
      </c>
      <c r="E3014" s="113">
        <v>170.87</v>
      </c>
      <c r="F3014" s="113">
        <f>D3014*E3014</f>
        <v>1384.047</v>
      </c>
      <c r="G3014" s="109">
        <v>500</v>
      </c>
      <c r="H3014" s="109">
        <f>H3013*G3014/G3013</f>
        <v>18.75</v>
      </c>
    </row>
    <row r="3015" customHeight="1" spans="1:6">
      <c r="A3015" s="57"/>
      <c r="B3015" s="57" t="s">
        <v>968</v>
      </c>
      <c r="C3015" s="57" t="s">
        <v>965</v>
      </c>
      <c r="D3015" s="113">
        <f t="shared" si="343"/>
        <v>5.77</v>
      </c>
      <c r="E3015" s="113">
        <v>73.25</v>
      </c>
      <c r="F3015" s="113">
        <f>D3015*E3015</f>
        <v>422.6525</v>
      </c>
    </row>
    <row r="3016" customHeight="1" spans="1:6">
      <c r="A3016" s="57">
        <v>2</v>
      </c>
      <c r="B3016" s="57" t="s">
        <v>1219</v>
      </c>
      <c r="C3016" s="57"/>
      <c r="D3016" s="84"/>
      <c r="E3016" s="84"/>
      <c r="F3016" s="84">
        <f>SUM(F3017:F3023)</f>
        <v>2014.2600373275</v>
      </c>
    </row>
    <row r="3017" customHeight="1" spans="1:6">
      <c r="A3017" s="57"/>
      <c r="B3017" s="57" t="s">
        <v>1452</v>
      </c>
      <c r="C3017" s="57" t="s">
        <v>1422</v>
      </c>
      <c r="D3017" s="113"/>
      <c r="E3017" s="59">
        <v>100</v>
      </c>
      <c r="F3017" s="84">
        <f t="shared" ref="F3017:F3022" si="344">D3017*E3017</f>
        <v>0</v>
      </c>
    </row>
    <row r="3018" customHeight="1" spans="1:6">
      <c r="A3018" s="57"/>
      <c r="B3018" s="57" t="s">
        <v>1424</v>
      </c>
      <c r="C3018" s="57" t="s">
        <v>267</v>
      </c>
      <c r="D3018" s="57">
        <v>38.46</v>
      </c>
      <c r="E3018" s="59">
        <v>21</v>
      </c>
      <c r="F3018" s="84">
        <f t="shared" si="344"/>
        <v>807.66</v>
      </c>
    </row>
    <row r="3019" customHeight="1" spans="1:6">
      <c r="A3019" s="57"/>
      <c r="B3019" s="57" t="s">
        <v>1425</v>
      </c>
      <c r="C3019" s="57" t="s">
        <v>1426</v>
      </c>
      <c r="D3019" s="88">
        <f t="shared" si="343"/>
        <v>144.68621</v>
      </c>
      <c r="E3019" s="57">
        <v>1</v>
      </c>
      <c r="F3019" s="84">
        <f t="shared" si="344"/>
        <v>144.68621</v>
      </c>
    </row>
    <row r="3020" customHeight="1" spans="1:6">
      <c r="A3020" s="57"/>
      <c r="B3020" s="57" t="s">
        <v>1274</v>
      </c>
      <c r="C3020" s="57" t="s">
        <v>184</v>
      </c>
      <c r="D3020" s="88">
        <f t="shared" si="343"/>
        <v>4.5</v>
      </c>
      <c r="E3020" s="59">
        <v>5</v>
      </c>
      <c r="F3020" s="84">
        <f t="shared" si="344"/>
        <v>22.5</v>
      </c>
    </row>
    <row r="3021" customHeight="1" spans="1:6">
      <c r="A3021" s="57"/>
      <c r="B3021" s="57" t="s">
        <v>1427</v>
      </c>
      <c r="C3021" s="57" t="s">
        <v>184</v>
      </c>
      <c r="D3021" s="88">
        <f t="shared" si="343"/>
        <v>7.03</v>
      </c>
      <c r="E3021" s="59">
        <v>22</v>
      </c>
      <c r="F3021" s="84">
        <f t="shared" si="344"/>
        <v>154.66</v>
      </c>
    </row>
    <row r="3022" customHeight="1" spans="1:6">
      <c r="A3022" s="57"/>
      <c r="B3022" s="57" t="s">
        <v>1272</v>
      </c>
      <c r="C3022" s="57" t="s">
        <v>1426</v>
      </c>
      <c r="D3022" s="88">
        <f t="shared" si="343"/>
        <v>2232.665025</v>
      </c>
      <c r="E3022" s="59">
        <v>0.37</v>
      </c>
      <c r="F3022" s="84">
        <f t="shared" si="344"/>
        <v>826.08605925</v>
      </c>
    </row>
    <row r="3023" customHeight="1" spans="1:6">
      <c r="A3023" s="57"/>
      <c r="B3023" s="57" t="s">
        <v>1248</v>
      </c>
      <c r="C3023" s="59" t="s">
        <v>423</v>
      </c>
      <c r="D3023" s="84">
        <f>SUM(F3017:F3022)</f>
        <v>1955.59226925</v>
      </c>
      <c r="E3023" s="59">
        <v>3</v>
      </c>
      <c r="F3023" s="84">
        <f>D3023*E3023/100</f>
        <v>58.6677680775</v>
      </c>
    </row>
    <row r="3024" customHeight="1" spans="1:6">
      <c r="A3024" s="57">
        <v>3</v>
      </c>
      <c r="B3024" s="57" t="s">
        <v>1171</v>
      </c>
      <c r="C3024" s="57"/>
      <c r="D3024" s="84"/>
      <c r="E3024" s="84"/>
      <c r="F3024" s="84">
        <f>SUM(F3025:F3027)</f>
        <v>3751.25849368169</v>
      </c>
    </row>
    <row r="3025" customHeight="1" spans="1:6">
      <c r="A3025" s="57"/>
      <c r="B3025" s="57" t="s">
        <v>1428</v>
      </c>
      <c r="C3025" s="57" t="s">
        <v>988</v>
      </c>
      <c r="D3025" s="84">
        <f>D2949</f>
        <v>160.831999202234</v>
      </c>
      <c r="E3025" s="84">
        <v>12.5</v>
      </c>
      <c r="F3025" s="84">
        <f>D3025*E3025</f>
        <v>2010.39999002792</v>
      </c>
    </row>
    <row r="3026" customHeight="1" spans="1:6">
      <c r="A3026" s="57"/>
      <c r="B3026" s="57" t="s">
        <v>1429</v>
      </c>
      <c r="C3026" s="57" t="s">
        <v>988</v>
      </c>
      <c r="D3026" s="84">
        <f>D2950</f>
        <v>74.4593087355405</v>
      </c>
      <c r="E3026" s="84">
        <v>18.8</v>
      </c>
      <c r="F3026" s="84">
        <f>D3026*E3026</f>
        <v>1399.83500422816</v>
      </c>
    </row>
    <row r="3027" customHeight="1" spans="1:6">
      <c r="A3027" s="57"/>
      <c r="B3027" s="57" t="s">
        <v>1223</v>
      </c>
      <c r="C3027" s="59" t="s">
        <v>423</v>
      </c>
      <c r="D3027" s="84">
        <f>SUM(F3025:F3026)</f>
        <v>3410.23499425609</v>
      </c>
      <c r="E3027" s="84">
        <v>10</v>
      </c>
      <c r="F3027" s="84">
        <f>D3027*E3027/100</f>
        <v>341.023499425609</v>
      </c>
    </row>
    <row r="3028" customHeight="1" spans="1:6">
      <c r="A3028" s="57" t="s">
        <v>70</v>
      </c>
      <c r="B3028" s="57" t="s">
        <v>977</v>
      </c>
      <c r="C3028" s="194">
        <f t="shared" ref="C3028:C3031" si="345">C2990</f>
        <v>0.048</v>
      </c>
      <c r="D3028" s="84"/>
      <c r="E3028" s="84">
        <f>F3012</f>
        <v>7572.21803100919</v>
      </c>
      <c r="F3028" s="84">
        <f t="shared" ref="F3028:F3031" si="346">E3028*C3028</f>
        <v>363.466465488441</v>
      </c>
    </row>
    <row r="3029" customHeight="1" spans="1:6">
      <c r="A3029" s="57"/>
      <c r="B3029" s="57"/>
      <c r="C3029" s="194"/>
      <c r="D3029" s="84"/>
      <c r="E3029" s="84"/>
      <c r="F3029" s="84"/>
    </row>
    <row r="3030" customHeight="1" spans="1:6">
      <c r="A3030" s="57" t="s">
        <v>979</v>
      </c>
      <c r="B3030" s="57" t="s">
        <v>973</v>
      </c>
      <c r="C3030" s="194">
        <f t="shared" si="345"/>
        <v>0.0725</v>
      </c>
      <c r="D3030" s="84"/>
      <c r="E3030" s="84">
        <f>F3011</f>
        <v>7935.68449649764</v>
      </c>
      <c r="F3030" s="84">
        <f t="shared" si="346"/>
        <v>575.337125996078</v>
      </c>
    </row>
    <row r="3031" customHeight="1" spans="1:6">
      <c r="A3031" s="57" t="s">
        <v>162</v>
      </c>
      <c r="B3031" s="57" t="s">
        <v>980</v>
      </c>
      <c r="C3031" s="194">
        <f t="shared" si="345"/>
        <v>0.05</v>
      </c>
      <c r="D3031" s="84"/>
      <c r="E3031" s="84">
        <f>F3030+F3011</f>
        <v>8511.02162249371</v>
      </c>
      <c r="F3031" s="84">
        <f t="shared" si="346"/>
        <v>425.551081124686</v>
      </c>
    </row>
    <row r="3032" customHeight="1" spans="1:6">
      <c r="A3032" s="57"/>
      <c r="B3032" s="57" t="s">
        <v>1430</v>
      </c>
      <c r="C3032" s="269"/>
      <c r="D3032" s="84"/>
      <c r="E3032" s="84"/>
      <c r="F3032" s="84">
        <f>F3033+F3034</f>
        <v>0</v>
      </c>
    </row>
    <row r="3033" customHeight="1" spans="1:6">
      <c r="A3033" s="57"/>
      <c r="B3033" s="57"/>
      <c r="C3033" s="57"/>
      <c r="D3033" s="84"/>
      <c r="E3033" s="84"/>
      <c r="F3033" s="84"/>
    </row>
    <row r="3034" customHeight="1" spans="1:6">
      <c r="A3034" s="57"/>
      <c r="B3034" s="57"/>
      <c r="C3034" s="57"/>
      <c r="D3034" s="84"/>
      <c r="E3034" s="84"/>
      <c r="F3034" s="84"/>
    </row>
    <row r="3035" customHeight="1" spans="1:6">
      <c r="A3035" s="57" t="s">
        <v>214</v>
      </c>
      <c r="B3035" s="57" t="s">
        <v>976</v>
      </c>
      <c r="C3035" s="195">
        <f>C2959</f>
        <v>0.09</v>
      </c>
      <c r="D3035" s="84"/>
      <c r="E3035" s="84">
        <f>E3031+F3031+F3032</f>
        <v>8936.5727036184</v>
      </c>
      <c r="F3035" s="84">
        <f>E3035*C3035</f>
        <v>804.291543325656</v>
      </c>
    </row>
    <row r="3036" customHeight="1" spans="1:6">
      <c r="A3036" s="57"/>
      <c r="B3036" s="57" t="s">
        <v>984</v>
      </c>
      <c r="C3036" s="195"/>
      <c r="D3036" s="84"/>
      <c r="E3036" s="84"/>
      <c r="F3036" s="84">
        <f>(E3035+F3035)*取费表!H12</f>
        <v>292.225927408322</v>
      </c>
    </row>
    <row r="3037" customHeight="1" spans="1:6">
      <c r="A3037" s="57"/>
      <c r="B3037" s="57" t="s">
        <v>278</v>
      </c>
      <c r="C3037" s="57"/>
      <c r="D3037" s="84"/>
      <c r="E3037" s="84"/>
      <c r="F3037" s="84">
        <f>E3035+F3035+F3036</f>
        <v>10033.0901743524</v>
      </c>
    </row>
    <row r="3038" customHeight="1" spans="1:6">
      <c r="A3038" s="57"/>
      <c r="B3038" s="57"/>
      <c r="C3038" s="57"/>
      <c r="D3038" s="84"/>
      <c r="E3038" s="84"/>
      <c r="F3038" s="84"/>
    </row>
    <row r="3039" customHeight="1" spans="1:6">
      <c r="A3039" s="57"/>
      <c r="B3039" s="57"/>
      <c r="C3039" s="57"/>
      <c r="D3039" s="84"/>
      <c r="E3039" s="84"/>
      <c r="F3039" s="84"/>
    </row>
    <row r="3040" customHeight="1" spans="1:6">
      <c r="A3040" s="57"/>
      <c r="B3040" s="57"/>
      <c r="C3040" s="57"/>
      <c r="D3040" s="84"/>
      <c r="E3040" s="84"/>
      <c r="F3040" s="84"/>
    </row>
    <row r="3041" customHeight="1" spans="1:6">
      <c r="A3041" s="57"/>
      <c r="B3041" s="57"/>
      <c r="C3041" s="57"/>
      <c r="D3041" s="84"/>
      <c r="E3041" s="84"/>
      <c r="F3041" s="84"/>
    </row>
    <row r="3042" customHeight="1" spans="1:6">
      <c r="A3042" s="57"/>
      <c r="B3042" s="57"/>
      <c r="C3042" s="57"/>
      <c r="D3042" s="84"/>
      <c r="E3042" s="84"/>
      <c r="F3042" s="84"/>
    </row>
    <row r="3043" customHeight="1" spans="1:6">
      <c r="A3043" s="57"/>
      <c r="B3043" s="57"/>
      <c r="C3043" s="57"/>
      <c r="D3043" s="84"/>
      <c r="E3043" s="84"/>
      <c r="F3043" s="84"/>
    </row>
    <row r="3044" customHeight="1" spans="1:6">
      <c r="A3044" s="176" t="s">
        <v>1204</v>
      </c>
      <c r="B3044" s="175"/>
      <c r="C3044" s="175"/>
      <c r="D3044" s="175"/>
      <c r="E3044" s="175"/>
      <c r="F3044" s="175"/>
    </row>
    <row r="3045" customHeight="1" spans="1:6">
      <c r="A3045" s="242" t="s">
        <v>1453</v>
      </c>
      <c r="C3045" s="243"/>
      <c r="D3045" s="243"/>
      <c r="E3045" s="243"/>
      <c r="F3045" s="243"/>
    </row>
    <row r="3046" customHeight="1" spans="1:6">
      <c r="A3046" s="191" t="s">
        <v>1419</v>
      </c>
      <c r="B3046" s="191"/>
      <c r="C3046" s="168"/>
      <c r="D3046" s="168"/>
      <c r="E3046" s="191" t="s">
        <v>1420</v>
      </c>
      <c r="F3046" s="191"/>
    </row>
    <row r="3047" customHeight="1" spans="1:6">
      <c r="A3047" s="117" t="s">
        <v>1243</v>
      </c>
      <c r="B3047" s="192"/>
      <c r="C3047" s="192"/>
      <c r="D3047" s="192"/>
      <c r="E3047" s="192"/>
      <c r="F3047" s="118"/>
    </row>
    <row r="3048" customHeight="1" spans="1:6">
      <c r="A3048" s="57" t="s">
        <v>354</v>
      </c>
      <c r="B3048" s="57" t="s">
        <v>956</v>
      </c>
      <c r="C3048" s="57" t="s">
        <v>52</v>
      </c>
      <c r="D3048" s="57" t="s">
        <v>855</v>
      </c>
      <c r="E3048" s="57" t="s">
        <v>53</v>
      </c>
      <c r="F3048" s="57" t="s">
        <v>306</v>
      </c>
    </row>
    <row r="3049" customHeight="1" spans="1:6">
      <c r="A3049" s="57" t="s">
        <v>959</v>
      </c>
      <c r="B3049" s="57" t="s">
        <v>960</v>
      </c>
      <c r="C3049" s="57"/>
      <c r="D3049" s="57"/>
      <c r="E3049" s="57"/>
      <c r="F3049" s="84">
        <f>F3050+F3066+F3067</f>
        <v>11757.9227666837</v>
      </c>
    </row>
    <row r="3050" customHeight="1" spans="1:6">
      <c r="A3050" s="57" t="s">
        <v>59</v>
      </c>
      <c r="B3050" s="57" t="s">
        <v>957</v>
      </c>
      <c r="C3050" s="57"/>
      <c r="D3050" s="57"/>
      <c r="E3050" s="57"/>
      <c r="F3050" s="84">
        <f>F3051+F3054+F3062</f>
        <v>11219.3919529425</v>
      </c>
    </row>
    <row r="3051" customHeight="1" spans="1:6">
      <c r="A3051" s="57">
        <v>1</v>
      </c>
      <c r="B3051" s="57" t="s">
        <v>964</v>
      </c>
      <c r="C3051" s="57" t="s">
        <v>965</v>
      </c>
      <c r="D3051" s="84"/>
      <c r="E3051" s="113">
        <f>SUM(E3052:E3053)</f>
        <v>278.9</v>
      </c>
      <c r="F3051" s="113">
        <f>SUM(F3052:F3053)</f>
        <v>2064.069</v>
      </c>
    </row>
    <row r="3052" customHeight="1" spans="1:6">
      <c r="A3052" s="57"/>
      <c r="B3052" s="57" t="s">
        <v>966</v>
      </c>
      <c r="C3052" s="57" t="s">
        <v>965</v>
      </c>
      <c r="D3052" s="113">
        <f t="shared" ref="D3052:D3060" si="347">D2976</f>
        <v>8.1</v>
      </c>
      <c r="E3052" s="113">
        <v>195.2</v>
      </c>
      <c r="F3052" s="113">
        <f>D3052*E3052</f>
        <v>1581.12</v>
      </c>
    </row>
    <row r="3053" customHeight="1" spans="1:6">
      <c r="A3053" s="57"/>
      <c r="B3053" s="57" t="s">
        <v>968</v>
      </c>
      <c r="C3053" s="57" t="s">
        <v>965</v>
      </c>
      <c r="D3053" s="113">
        <f t="shared" si="347"/>
        <v>5.77</v>
      </c>
      <c r="E3053" s="113">
        <v>83.7</v>
      </c>
      <c r="F3053" s="113">
        <f>D3053*E3053</f>
        <v>482.949</v>
      </c>
    </row>
    <row r="3054" customHeight="1" spans="1:6">
      <c r="A3054" s="57">
        <v>2</v>
      </c>
      <c r="B3054" s="57" t="s">
        <v>1219</v>
      </c>
      <c r="C3054" s="57"/>
      <c r="D3054" s="84"/>
      <c r="E3054" s="84"/>
      <c r="F3054" s="84">
        <f>SUM(F3055:F3061)</f>
        <v>2750.335584175</v>
      </c>
    </row>
    <row r="3055" customHeight="1" spans="1:6">
      <c r="A3055" s="57"/>
      <c r="B3055" s="57" t="s">
        <v>1421</v>
      </c>
      <c r="C3055" s="57" t="s">
        <v>1422</v>
      </c>
      <c r="D3055" s="113"/>
      <c r="E3055" s="59">
        <v>100</v>
      </c>
      <c r="F3055" s="84">
        <f t="shared" ref="F3055:F3060" si="348">D3055*E3055</f>
        <v>0</v>
      </c>
    </row>
    <row r="3056" customHeight="1" spans="1:6">
      <c r="A3056" s="57"/>
      <c r="B3056" s="57" t="s">
        <v>1424</v>
      </c>
      <c r="C3056" s="57" t="s">
        <v>267</v>
      </c>
      <c r="D3056" s="57">
        <v>58.12</v>
      </c>
      <c r="E3056" s="59">
        <v>21</v>
      </c>
      <c r="F3056" s="84">
        <f t="shared" si="348"/>
        <v>1220.52</v>
      </c>
    </row>
    <row r="3057" customHeight="1" spans="1:6">
      <c r="A3057" s="57"/>
      <c r="B3057" s="57" t="s">
        <v>1425</v>
      </c>
      <c r="C3057" s="57" t="s">
        <v>1426</v>
      </c>
      <c r="D3057" s="88">
        <f t="shared" si="347"/>
        <v>144.68621</v>
      </c>
      <c r="E3057" s="57">
        <v>1</v>
      </c>
      <c r="F3057" s="84">
        <f t="shared" si="348"/>
        <v>144.68621</v>
      </c>
    </row>
    <row r="3058" customHeight="1" spans="1:6">
      <c r="A3058" s="57"/>
      <c r="B3058" s="57" t="s">
        <v>1274</v>
      </c>
      <c r="C3058" s="57" t="s">
        <v>184</v>
      </c>
      <c r="D3058" s="88">
        <f t="shared" si="347"/>
        <v>4.5</v>
      </c>
      <c r="E3058" s="59">
        <v>6</v>
      </c>
      <c r="F3058" s="84">
        <f t="shared" si="348"/>
        <v>27</v>
      </c>
    </row>
    <row r="3059" customHeight="1" spans="1:6">
      <c r="A3059" s="57"/>
      <c r="B3059" s="57" t="s">
        <v>1427</v>
      </c>
      <c r="C3059" s="57" t="s">
        <v>184</v>
      </c>
      <c r="D3059" s="88">
        <f t="shared" si="347"/>
        <v>7.03</v>
      </c>
      <c r="E3059" s="59">
        <v>23</v>
      </c>
      <c r="F3059" s="84">
        <f t="shared" si="348"/>
        <v>161.69</v>
      </c>
    </row>
    <row r="3060" customHeight="1" spans="1:6">
      <c r="A3060" s="57"/>
      <c r="B3060" s="57" t="s">
        <v>1272</v>
      </c>
      <c r="C3060" s="57" t="s">
        <v>1426</v>
      </c>
      <c r="D3060" s="88">
        <f t="shared" si="347"/>
        <v>2232.665025</v>
      </c>
      <c r="E3060" s="59">
        <v>0.5</v>
      </c>
      <c r="F3060" s="84">
        <f t="shared" si="348"/>
        <v>1116.3325125</v>
      </c>
    </row>
    <row r="3061" customHeight="1" spans="1:6">
      <c r="A3061" s="57"/>
      <c r="B3061" s="57" t="s">
        <v>1248</v>
      </c>
      <c r="C3061" s="59" t="s">
        <v>423</v>
      </c>
      <c r="D3061" s="84">
        <f>SUM(F3055:F3060)</f>
        <v>2670.2287225</v>
      </c>
      <c r="E3061" s="59">
        <v>3</v>
      </c>
      <c r="F3061" s="84">
        <f>D3061*E3061/100</f>
        <v>80.106861675</v>
      </c>
    </row>
    <row r="3062" customHeight="1" spans="1:6">
      <c r="A3062" s="57">
        <v>3</v>
      </c>
      <c r="B3062" s="57" t="s">
        <v>1171</v>
      </c>
      <c r="C3062" s="57"/>
      <c r="D3062" s="84"/>
      <c r="E3062" s="84"/>
      <c r="F3062" s="84">
        <f>SUM(F3063:F3065)</f>
        <v>6404.98736876746</v>
      </c>
    </row>
    <row r="3063" customHeight="1" spans="1:6">
      <c r="A3063" s="57"/>
      <c r="B3063" s="57" t="s">
        <v>1428</v>
      </c>
      <c r="C3063" s="57" t="s">
        <v>988</v>
      </c>
      <c r="D3063" s="84">
        <f>D2987</f>
        <v>160.831999202234</v>
      </c>
      <c r="E3063" s="84">
        <v>20</v>
      </c>
      <c r="F3063" s="84">
        <f>D3063*E3063</f>
        <v>3216.63998404468</v>
      </c>
    </row>
    <row r="3064" customHeight="1" spans="1:6">
      <c r="A3064" s="57"/>
      <c r="B3064" s="57" t="s">
        <v>1429</v>
      </c>
      <c r="C3064" s="57" t="s">
        <v>988</v>
      </c>
      <c r="D3064" s="84">
        <f>D2988</f>
        <v>74.4593087355405</v>
      </c>
      <c r="E3064" s="84">
        <v>35</v>
      </c>
      <c r="F3064" s="84">
        <f>D3064*E3064</f>
        <v>2606.07580574392</v>
      </c>
    </row>
    <row r="3065" customHeight="1" spans="1:6">
      <c r="A3065" s="57"/>
      <c r="B3065" s="57" t="s">
        <v>1223</v>
      </c>
      <c r="C3065" s="59" t="s">
        <v>423</v>
      </c>
      <c r="D3065" s="84">
        <f>SUM(F3063:F3064)</f>
        <v>5822.7157897886</v>
      </c>
      <c r="E3065" s="84">
        <v>10</v>
      </c>
      <c r="F3065" s="84">
        <f>D3065*E3065/100</f>
        <v>582.27157897886</v>
      </c>
    </row>
    <row r="3066" customHeight="1" spans="1:6">
      <c r="A3066" s="57" t="s">
        <v>70</v>
      </c>
      <c r="B3066" s="57" t="s">
        <v>977</v>
      </c>
      <c r="C3066" s="194">
        <f t="shared" ref="C3066:C3069" si="349">C3028</f>
        <v>0.048</v>
      </c>
      <c r="D3066" s="84"/>
      <c r="E3066" s="84">
        <f>F3050</f>
        <v>11219.3919529425</v>
      </c>
      <c r="F3066" s="84">
        <f t="shared" ref="F3066:F3069" si="350">E3066*C3066</f>
        <v>538.530813741238</v>
      </c>
    </row>
    <row r="3067" customHeight="1" spans="1:6">
      <c r="A3067" s="57"/>
      <c r="B3067" s="57"/>
      <c r="C3067" s="194"/>
      <c r="D3067" s="84"/>
      <c r="E3067" s="84"/>
      <c r="F3067" s="84"/>
    </row>
    <row r="3068" customHeight="1" spans="1:6">
      <c r="A3068" s="57" t="s">
        <v>979</v>
      </c>
      <c r="B3068" s="57" t="s">
        <v>973</v>
      </c>
      <c r="C3068" s="194">
        <f t="shared" si="349"/>
        <v>0.0725</v>
      </c>
      <c r="D3068" s="84"/>
      <c r="E3068" s="84">
        <f>F3049</f>
        <v>11757.9227666837</v>
      </c>
      <c r="F3068" s="84">
        <f t="shared" si="350"/>
        <v>852.449400584568</v>
      </c>
    </row>
    <row r="3069" customHeight="1" spans="1:6">
      <c r="A3069" s="57" t="s">
        <v>162</v>
      </c>
      <c r="B3069" s="57" t="s">
        <v>980</v>
      </c>
      <c r="C3069" s="194">
        <f t="shared" si="349"/>
        <v>0.05</v>
      </c>
      <c r="D3069" s="84"/>
      <c r="E3069" s="84">
        <f>F3068+F3049</f>
        <v>12610.3721672683</v>
      </c>
      <c r="F3069" s="84">
        <f t="shared" si="350"/>
        <v>630.518608363413</v>
      </c>
    </row>
    <row r="3070" customHeight="1" spans="1:6">
      <c r="A3070" s="57"/>
      <c r="B3070" s="57" t="s">
        <v>1430</v>
      </c>
      <c r="C3070" s="269"/>
      <c r="D3070" s="84"/>
      <c r="E3070" s="84"/>
      <c r="F3070" s="84">
        <f>F3071+F3072</f>
        <v>0</v>
      </c>
    </row>
    <row r="3071" customHeight="1" spans="1:6">
      <c r="A3071" s="57"/>
      <c r="B3071" s="57"/>
      <c r="C3071" s="57"/>
      <c r="D3071" s="84"/>
      <c r="E3071" s="84"/>
      <c r="F3071" s="84"/>
    </row>
    <row r="3072" customHeight="1" spans="1:6">
      <c r="A3072" s="57"/>
      <c r="B3072" s="57"/>
      <c r="C3072" s="57"/>
      <c r="D3072" s="84"/>
      <c r="E3072" s="84"/>
      <c r="F3072" s="84"/>
    </row>
    <row r="3073" customHeight="1" spans="1:6">
      <c r="A3073" s="57" t="s">
        <v>214</v>
      </c>
      <c r="B3073" s="57" t="s">
        <v>976</v>
      </c>
      <c r="C3073" s="195">
        <f>C2997</f>
        <v>0.09</v>
      </c>
      <c r="D3073" s="84"/>
      <c r="E3073" s="84">
        <f>E3069+F3069+F3070</f>
        <v>13240.8907756317</v>
      </c>
      <c r="F3073" s="84">
        <f>E3073*C3073</f>
        <v>1191.68016980685</v>
      </c>
    </row>
    <row r="3074" customHeight="1" spans="1:6">
      <c r="A3074" s="57"/>
      <c r="B3074" s="57" t="s">
        <v>984</v>
      </c>
      <c r="C3074" s="195"/>
      <c r="D3074" s="84"/>
      <c r="E3074" s="84"/>
      <c r="F3074" s="84">
        <f>(E3073+F3073)*取费表!H12</f>
        <v>432.977128363156</v>
      </c>
    </row>
    <row r="3075" customHeight="1" spans="1:6">
      <c r="A3075" s="57"/>
      <c r="B3075" s="57" t="s">
        <v>278</v>
      </c>
      <c r="C3075" s="57"/>
      <c r="D3075" s="84"/>
      <c r="E3075" s="84"/>
      <c r="F3075" s="84">
        <f>E3073+F3073+F3074</f>
        <v>14865.5480738017</v>
      </c>
    </row>
    <row r="3076" customHeight="1" spans="1:6">
      <c r="A3076" s="57"/>
      <c r="B3076" s="57"/>
      <c r="C3076" s="57"/>
      <c r="D3076" s="84"/>
      <c r="E3076" s="84"/>
      <c r="F3076" s="84"/>
    </row>
    <row r="3077" customHeight="1" spans="1:6">
      <c r="A3077" s="57"/>
      <c r="B3077" s="57"/>
      <c r="C3077" s="57"/>
      <c r="D3077" s="84"/>
      <c r="E3077" s="84"/>
      <c r="F3077" s="84"/>
    </row>
    <row r="3078" customHeight="1" spans="1:6">
      <c r="A3078" s="57"/>
      <c r="B3078" s="57"/>
      <c r="C3078" s="57"/>
      <c r="D3078" s="84"/>
      <c r="E3078" s="84"/>
      <c r="F3078" s="84"/>
    </row>
    <row r="3079" customHeight="1" spans="1:6">
      <c r="A3079" s="57"/>
      <c r="B3079" s="57"/>
      <c r="C3079" s="57"/>
      <c r="D3079" s="84"/>
      <c r="E3079" s="84"/>
      <c r="F3079" s="84"/>
    </row>
    <row r="3080" customHeight="1" spans="1:6">
      <c r="A3080" s="57"/>
      <c r="B3080" s="57"/>
      <c r="C3080" s="57"/>
      <c r="D3080" s="84"/>
      <c r="E3080" s="84"/>
      <c r="F3080" s="84"/>
    </row>
    <row r="3081" customHeight="1" spans="1:6">
      <c r="A3081" s="57"/>
      <c r="B3081" s="57"/>
      <c r="C3081" s="57"/>
      <c r="D3081" s="84"/>
      <c r="E3081" s="84"/>
      <c r="F3081" s="84"/>
    </row>
    <row r="3082" customHeight="1" spans="1:6">
      <c r="A3082" s="176" t="s">
        <v>1204</v>
      </c>
      <c r="B3082" s="175"/>
      <c r="C3082" s="175"/>
      <c r="D3082" s="175"/>
      <c r="E3082" s="175"/>
      <c r="F3082" s="175"/>
    </row>
    <row r="3083" customHeight="1" spans="1:6">
      <c r="A3083" s="242" t="s">
        <v>1454</v>
      </c>
      <c r="C3083" s="243"/>
      <c r="D3083" s="243"/>
      <c r="E3083" s="243"/>
      <c r="F3083" s="243"/>
    </row>
    <row r="3084" customHeight="1" spans="1:6">
      <c r="A3084" s="191" t="s">
        <v>1455</v>
      </c>
      <c r="B3084" s="191"/>
      <c r="C3084" s="168"/>
      <c r="D3084" s="168"/>
      <c r="E3084" s="191" t="s">
        <v>1420</v>
      </c>
      <c r="F3084" s="191"/>
    </row>
    <row r="3085" customHeight="1" spans="1:6">
      <c r="A3085" s="117" t="s">
        <v>1433</v>
      </c>
      <c r="B3085" s="192"/>
      <c r="C3085" s="192"/>
      <c r="D3085" s="192"/>
      <c r="E3085" s="192"/>
      <c r="F3085" s="118"/>
    </row>
    <row r="3086" customHeight="1" spans="1:6">
      <c r="A3086" s="57" t="s">
        <v>354</v>
      </c>
      <c r="B3086" s="57" t="s">
        <v>956</v>
      </c>
      <c r="C3086" s="57" t="s">
        <v>52</v>
      </c>
      <c r="D3086" s="57" t="s">
        <v>855</v>
      </c>
      <c r="E3086" s="57" t="s">
        <v>53</v>
      </c>
      <c r="F3086" s="57" t="s">
        <v>306</v>
      </c>
    </row>
    <row r="3087" customHeight="1" spans="1:6">
      <c r="A3087" s="57" t="s">
        <v>959</v>
      </c>
      <c r="B3087" s="57" t="s">
        <v>960</v>
      </c>
      <c r="C3087" s="57"/>
      <c r="D3087" s="57"/>
      <c r="E3087" s="57"/>
      <c r="F3087" s="84">
        <f>F3088+F3104+F3105</f>
        <v>18101.5127437867</v>
      </c>
    </row>
    <row r="3088" customHeight="1" spans="1:6">
      <c r="A3088" s="57" t="s">
        <v>59</v>
      </c>
      <c r="B3088" s="57" t="s">
        <v>957</v>
      </c>
      <c r="C3088" s="57"/>
      <c r="D3088" s="57"/>
      <c r="E3088" s="57"/>
      <c r="F3088" s="84">
        <f>F3089+F3092+F3100</f>
        <v>17272.4358242239</v>
      </c>
    </row>
    <row r="3089" customHeight="1" spans="1:6">
      <c r="A3089" s="57">
        <v>1</v>
      </c>
      <c r="B3089" s="57" t="s">
        <v>964</v>
      </c>
      <c r="C3089" s="57" t="s">
        <v>965</v>
      </c>
      <c r="D3089" s="84"/>
      <c r="E3089" s="113">
        <f>SUM(E3090:E3091)</f>
        <v>398.4</v>
      </c>
      <c r="F3089" s="113">
        <f>SUM(F3090:F3091)</f>
        <v>2948.605</v>
      </c>
    </row>
    <row r="3090" customHeight="1" spans="1:6">
      <c r="A3090" s="57"/>
      <c r="B3090" s="57" t="s">
        <v>966</v>
      </c>
      <c r="C3090" s="57" t="s">
        <v>965</v>
      </c>
      <c r="D3090" s="113">
        <f t="shared" ref="D3090:D3098" si="351">D3052</f>
        <v>8.1</v>
      </c>
      <c r="E3090" s="113">
        <v>278.9</v>
      </c>
      <c r="F3090" s="113">
        <f>D3090*E3090</f>
        <v>2259.09</v>
      </c>
    </row>
    <row r="3091" customHeight="1" spans="1:6">
      <c r="A3091" s="57"/>
      <c r="B3091" s="57" t="s">
        <v>968</v>
      </c>
      <c r="C3091" s="57" t="s">
        <v>965</v>
      </c>
      <c r="D3091" s="113">
        <f t="shared" si="351"/>
        <v>5.77</v>
      </c>
      <c r="E3091" s="113">
        <v>119.5</v>
      </c>
      <c r="F3091" s="113">
        <f>D3091*E3091</f>
        <v>689.515</v>
      </c>
    </row>
    <row r="3092" customHeight="1" spans="1:6">
      <c r="A3092" s="57">
        <v>2</v>
      </c>
      <c r="B3092" s="57" t="s">
        <v>1219</v>
      </c>
      <c r="C3092" s="57"/>
      <c r="D3092" s="84"/>
      <c r="E3092" s="84"/>
      <c r="F3092" s="84">
        <f>SUM(F3093:F3099)</f>
        <v>4511.58667205</v>
      </c>
    </row>
    <row r="3093" customHeight="1" spans="1:6">
      <c r="A3093" s="57"/>
      <c r="B3093" s="57" t="s">
        <v>1456</v>
      </c>
      <c r="C3093" s="57" t="s">
        <v>1422</v>
      </c>
      <c r="D3093" s="113"/>
      <c r="E3093" s="59">
        <v>100</v>
      </c>
      <c r="F3093" s="84">
        <f t="shared" ref="F3093:F3098" si="352">D3093*E3093</f>
        <v>0</v>
      </c>
    </row>
    <row r="3094" customHeight="1" spans="1:6">
      <c r="A3094" s="57"/>
      <c r="B3094" s="57" t="s">
        <v>1424</v>
      </c>
      <c r="C3094" s="57" t="s">
        <v>267</v>
      </c>
      <c r="D3094" s="57">
        <v>84.62</v>
      </c>
      <c r="E3094" s="59">
        <v>21</v>
      </c>
      <c r="F3094" s="84">
        <f t="shared" si="352"/>
        <v>1777.02</v>
      </c>
    </row>
    <row r="3095" customHeight="1" spans="1:6">
      <c r="A3095" s="57"/>
      <c r="B3095" s="57" t="s">
        <v>1425</v>
      </c>
      <c r="C3095" s="57" t="s">
        <v>1426</v>
      </c>
      <c r="D3095" s="88">
        <f t="shared" si="351"/>
        <v>144.68621</v>
      </c>
      <c r="E3095" s="57">
        <v>1</v>
      </c>
      <c r="F3095" s="84">
        <f t="shared" si="352"/>
        <v>144.68621</v>
      </c>
    </row>
    <row r="3096" customHeight="1" spans="1:6">
      <c r="A3096" s="57"/>
      <c r="B3096" s="57" t="s">
        <v>1274</v>
      </c>
      <c r="C3096" s="57" t="s">
        <v>184</v>
      </c>
      <c r="D3096" s="88">
        <f t="shared" si="351"/>
        <v>4.5</v>
      </c>
      <c r="E3096" s="59">
        <v>8</v>
      </c>
      <c r="F3096" s="84">
        <f t="shared" si="352"/>
        <v>36</v>
      </c>
    </row>
    <row r="3097" customHeight="1" spans="1:6">
      <c r="A3097" s="57"/>
      <c r="B3097" s="57" t="s">
        <v>1427</v>
      </c>
      <c r="C3097" s="57" t="s">
        <v>184</v>
      </c>
      <c r="D3097" s="88">
        <f t="shared" si="351"/>
        <v>7.03</v>
      </c>
      <c r="E3097" s="59">
        <v>27</v>
      </c>
      <c r="F3097" s="84">
        <f t="shared" si="352"/>
        <v>189.81</v>
      </c>
    </row>
    <row r="3098" customHeight="1" spans="1:6">
      <c r="A3098" s="57"/>
      <c r="B3098" s="57" t="s">
        <v>1272</v>
      </c>
      <c r="C3098" s="57" t="s">
        <v>1426</v>
      </c>
      <c r="D3098" s="88">
        <f t="shared" si="351"/>
        <v>2232.665025</v>
      </c>
      <c r="E3098" s="59">
        <v>1</v>
      </c>
      <c r="F3098" s="84">
        <f t="shared" si="352"/>
        <v>2232.665025</v>
      </c>
    </row>
    <row r="3099" customHeight="1" spans="1:6">
      <c r="A3099" s="57"/>
      <c r="B3099" s="57" t="s">
        <v>1248</v>
      </c>
      <c r="C3099" s="59" t="s">
        <v>423</v>
      </c>
      <c r="D3099" s="84">
        <f>SUM(F3093:F3098)</f>
        <v>4380.181235</v>
      </c>
      <c r="E3099" s="59">
        <v>3</v>
      </c>
      <c r="F3099" s="84">
        <f>D3099*E3099/100</f>
        <v>131.40543705</v>
      </c>
    </row>
    <row r="3100" customHeight="1" spans="1:6">
      <c r="A3100" s="57">
        <v>3</v>
      </c>
      <c r="B3100" s="57" t="s">
        <v>1171</v>
      </c>
      <c r="C3100" s="57"/>
      <c r="D3100" s="84"/>
      <c r="E3100" s="84"/>
      <c r="F3100" s="84">
        <f>SUM(F3101:F3103)</f>
        <v>9812.24415217392</v>
      </c>
    </row>
    <row r="3101" customHeight="1" spans="1:6">
      <c r="A3101" s="57"/>
      <c r="B3101" s="57" t="s">
        <v>1428</v>
      </c>
      <c r="C3101" s="57" t="s">
        <v>988</v>
      </c>
      <c r="D3101" s="84">
        <f>D3063</f>
        <v>160.831999202234</v>
      </c>
      <c r="E3101" s="84">
        <v>30</v>
      </c>
      <c r="F3101" s="84">
        <f>D3101*E3101</f>
        <v>4824.95997606702</v>
      </c>
    </row>
    <row r="3102" customHeight="1" spans="1:6">
      <c r="A3102" s="57"/>
      <c r="B3102" s="57" t="s">
        <v>1429</v>
      </c>
      <c r="C3102" s="57" t="s">
        <v>988</v>
      </c>
      <c r="D3102" s="84">
        <f>D3064</f>
        <v>74.4593087355405</v>
      </c>
      <c r="E3102" s="84">
        <v>55</v>
      </c>
      <c r="F3102" s="84">
        <f>D3102*E3102</f>
        <v>4095.26198045473</v>
      </c>
    </row>
    <row r="3103" customHeight="1" spans="1:6">
      <c r="A3103" s="57"/>
      <c r="B3103" s="57" t="s">
        <v>1223</v>
      </c>
      <c r="C3103" s="59" t="s">
        <v>423</v>
      </c>
      <c r="D3103" s="84">
        <f>SUM(F3101:F3102)</f>
        <v>8920.22195652175</v>
      </c>
      <c r="E3103" s="84">
        <v>10</v>
      </c>
      <c r="F3103" s="84">
        <f>D3103*E3103/100</f>
        <v>892.022195652175</v>
      </c>
    </row>
    <row r="3104" customHeight="1" spans="1:6">
      <c r="A3104" s="57" t="s">
        <v>70</v>
      </c>
      <c r="B3104" s="57" t="s">
        <v>977</v>
      </c>
      <c r="C3104" s="194">
        <f>取费表!$C$12</f>
        <v>0.048</v>
      </c>
      <c r="D3104" s="84"/>
      <c r="E3104" s="84">
        <f>F3088</f>
        <v>17272.4358242239</v>
      </c>
      <c r="F3104" s="84">
        <f t="shared" ref="F3104:F3107" si="353">E3104*C3104</f>
        <v>829.076919562748</v>
      </c>
    </row>
    <row r="3105" customHeight="1" spans="1:6">
      <c r="A3105" s="57"/>
      <c r="B3105" s="57"/>
      <c r="C3105" s="194"/>
      <c r="D3105" s="84"/>
      <c r="E3105" s="84"/>
      <c r="F3105" s="84"/>
    </row>
    <row r="3106" customHeight="1" spans="1:6">
      <c r="A3106" s="57" t="s">
        <v>979</v>
      </c>
      <c r="B3106" s="57" t="s">
        <v>973</v>
      </c>
      <c r="C3106" s="194">
        <f>取费表!$E$12</f>
        <v>0.0725</v>
      </c>
      <c r="D3106" s="84"/>
      <c r="E3106" s="84">
        <f>F3087</f>
        <v>18101.5127437867</v>
      </c>
      <c r="F3106" s="84">
        <f t="shared" si="353"/>
        <v>1312.35967392453</v>
      </c>
    </row>
    <row r="3107" customHeight="1" spans="1:6">
      <c r="A3107" s="57" t="s">
        <v>162</v>
      </c>
      <c r="B3107" s="57" t="s">
        <v>980</v>
      </c>
      <c r="C3107" s="194">
        <f>取费表!$F$12</f>
        <v>0.05</v>
      </c>
      <c r="D3107" s="84"/>
      <c r="E3107" s="84">
        <f>F3106+F3087</f>
        <v>19413.8724177112</v>
      </c>
      <c r="F3107" s="84">
        <f t="shared" si="353"/>
        <v>970.69362088556</v>
      </c>
    </row>
    <row r="3108" customHeight="1" spans="1:6">
      <c r="A3108" s="57"/>
      <c r="B3108" s="57" t="s">
        <v>1430</v>
      </c>
      <c r="C3108" s="269"/>
      <c r="D3108" s="84"/>
      <c r="E3108" s="84"/>
      <c r="F3108" s="84">
        <f>F3109+F3110</f>
        <v>0</v>
      </c>
    </row>
    <row r="3109" customHeight="1" spans="1:6">
      <c r="A3109" s="57"/>
      <c r="B3109" s="57" t="s">
        <v>1456</v>
      </c>
      <c r="C3109" s="57" t="s">
        <v>1422</v>
      </c>
      <c r="D3109" s="84"/>
      <c r="E3109" s="84">
        <v>100</v>
      </c>
      <c r="F3109" s="84">
        <f>D3109*E3109</f>
        <v>0</v>
      </c>
    </row>
    <row r="3110" customHeight="1" spans="1:6">
      <c r="A3110" s="57"/>
      <c r="B3110" s="57"/>
      <c r="C3110" s="57"/>
      <c r="D3110" s="84"/>
      <c r="E3110" s="84"/>
      <c r="F3110" s="84"/>
    </row>
    <row r="3111" customHeight="1" spans="1:6">
      <c r="A3111" s="57" t="s">
        <v>214</v>
      </c>
      <c r="B3111" s="57" t="s">
        <v>976</v>
      </c>
      <c r="C3111" s="195">
        <f>C3073</f>
        <v>0.09</v>
      </c>
      <c r="D3111" s="84"/>
      <c r="E3111" s="84">
        <f>E3107+F3107+F3108</f>
        <v>20384.5660385968</v>
      </c>
      <c r="F3111" s="84">
        <f>E3111*C3111</f>
        <v>1834.61094347371</v>
      </c>
    </row>
    <row r="3112" customHeight="1" spans="1:6">
      <c r="A3112" s="57"/>
      <c r="B3112" s="57" t="s">
        <v>984</v>
      </c>
      <c r="C3112" s="195"/>
      <c r="D3112" s="84"/>
      <c r="E3112" s="84"/>
      <c r="F3112" s="84">
        <f>(E3111+F3111)*取费表!H12</f>
        <v>666.575309462114</v>
      </c>
    </row>
    <row r="3113" customHeight="1" spans="1:6">
      <c r="A3113" s="57"/>
      <c r="B3113" s="57" t="s">
        <v>278</v>
      </c>
      <c r="C3113" s="57"/>
      <c r="D3113" s="84"/>
      <c r="E3113" s="84"/>
      <c r="F3113" s="84">
        <f>E3111+F3111+F3112</f>
        <v>22885.7522915326</v>
      </c>
    </row>
    <row r="3114" customHeight="1" spans="1:6">
      <c r="A3114" s="57"/>
      <c r="B3114" s="57"/>
      <c r="C3114" s="57"/>
      <c r="D3114" s="84"/>
      <c r="E3114" s="84"/>
      <c r="F3114" s="84"/>
    </row>
    <row r="3115" customHeight="1" spans="1:6">
      <c r="A3115" s="57"/>
      <c r="B3115" s="57"/>
      <c r="C3115" s="57"/>
      <c r="D3115" s="84"/>
      <c r="E3115" s="84"/>
      <c r="F3115" s="84"/>
    </row>
    <row r="3116" customHeight="1" spans="1:6">
      <c r="A3116" s="57"/>
      <c r="B3116" s="57"/>
      <c r="C3116" s="57"/>
      <c r="D3116" s="84"/>
      <c r="E3116" s="84"/>
      <c r="F3116" s="84"/>
    </row>
    <row r="3117" customHeight="1" spans="1:6">
      <c r="A3117" s="57"/>
      <c r="B3117" s="57"/>
      <c r="C3117" s="57"/>
      <c r="D3117" s="84"/>
      <c r="E3117" s="84"/>
      <c r="F3117" s="84"/>
    </row>
    <row r="3118" customHeight="1" spans="1:6">
      <c r="A3118" s="57"/>
      <c r="B3118" s="57"/>
      <c r="C3118" s="57"/>
      <c r="D3118" s="84"/>
      <c r="E3118" s="84"/>
      <c r="F3118" s="84"/>
    </row>
    <row r="3119" customHeight="1" spans="1:6">
      <c r="A3119" s="57"/>
      <c r="B3119" s="57"/>
      <c r="C3119" s="57"/>
      <c r="D3119" s="84"/>
      <c r="E3119" s="84"/>
      <c r="F3119" s="84"/>
    </row>
    <row r="3120" customHeight="1" spans="1:6">
      <c r="A3120" s="176" t="s">
        <v>1204</v>
      </c>
      <c r="B3120" s="175"/>
      <c r="C3120" s="175"/>
      <c r="D3120" s="175"/>
      <c r="E3120" s="175"/>
      <c r="F3120" s="175"/>
    </row>
    <row r="3121" customHeight="1" spans="1:6">
      <c r="A3121" s="242" t="s">
        <v>1457</v>
      </c>
      <c r="C3121" s="243"/>
      <c r="D3121" s="243"/>
      <c r="E3121" s="243"/>
      <c r="F3121" s="243"/>
    </row>
    <row r="3122" customHeight="1" spans="1:6">
      <c r="A3122" s="190" t="s">
        <v>1458</v>
      </c>
      <c r="B3122" s="191"/>
      <c r="C3122" s="243"/>
      <c r="D3122" s="243"/>
      <c r="E3122" s="191" t="s">
        <v>1459</v>
      </c>
      <c r="F3122" s="191"/>
    </row>
    <row r="3123" customHeight="1" spans="1:6">
      <c r="A3123" s="117" t="s">
        <v>1218</v>
      </c>
      <c r="B3123" s="192" t="s">
        <v>1460</v>
      </c>
      <c r="C3123" s="192"/>
      <c r="D3123" s="192"/>
      <c r="E3123" s="192"/>
      <c r="F3123" s="118"/>
    </row>
    <row r="3124" customHeight="1" spans="1:6">
      <c r="A3124" s="57" t="s">
        <v>354</v>
      </c>
      <c r="B3124" s="57" t="s">
        <v>956</v>
      </c>
      <c r="C3124" s="57" t="s">
        <v>52</v>
      </c>
      <c r="D3124" s="57" t="s">
        <v>855</v>
      </c>
      <c r="E3124" s="57" t="s">
        <v>53</v>
      </c>
      <c r="F3124" s="57" t="s">
        <v>306</v>
      </c>
    </row>
    <row r="3125" customHeight="1" spans="1:6">
      <c r="A3125" s="57" t="s">
        <v>959</v>
      </c>
      <c r="B3125" s="57" t="s">
        <v>960</v>
      </c>
      <c r="C3125" s="57"/>
      <c r="D3125" s="57"/>
      <c r="E3125" s="57"/>
      <c r="F3125" s="84">
        <f>F3126+F3142+F3143</f>
        <v>348.859931072364</v>
      </c>
    </row>
    <row r="3126" customHeight="1" spans="1:6">
      <c r="A3126" s="57" t="s">
        <v>59</v>
      </c>
      <c r="B3126" s="57" t="s">
        <v>957</v>
      </c>
      <c r="C3126" s="57"/>
      <c r="D3126" s="57"/>
      <c r="E3126" s="57"/>
      <c r="F3126" s="84">
        <f>F3127+F3130+F3136</f>
        <v>332.881613618668</v>
      </c>
    </row>
    <row r="3127" customHeight="1" spans="1:6">
      <c r="A3127" s="57">
        <v>1</v>
      </c>
      <c r="B3127" s="57" t="s">
        <v>964</v>
      </c>
      <c r="C3127" s="57" t="s">
        <v>965</v>
      </c>
      <c r="D3127" s="84"/>
      <c r="E3127" s="113">
        <f>SUM(E3128:E3129)</f>
        <v>11.56</v>
      </c>
      <c r="F3127" s="113">
        <f>SUM(F3128:F3129)</f>
        <v>83.384</v>
      </c>
    </row>
    <row r="3128" customHeight="1" spans="1:6">
      <c r="A3128" s="57"/>
      <c r="B3128" s="57" t="s">
        <v>966</v>
      </c>
      <c r="C3128" s="57" t="s">
        <v>965</v>
      </c>
      <c r="D3128" s="113">
        <f>D2900</f>
        <v>8.1</v>
      </c>
      <c r="E3128" s="113">
        <f>35.8*0.2</f>
        <v>7.16</v>
      </c>
      <c r="F3128" s="113">
        <f t="shared" ref="F3128:F3134" si="354">D3128*E3128</f>
        <v>57.996</v>
      </c>
    </row>
    <row r="3129" customHeight="1" spans="1:6">
      <c r="A3129" s="57"/>
      <c r="B3129" s="57" t="s">
        <v>968</v>
      </c>
      <c r="C3129" s="57" t="s">
        <v>965</v>
      </c>
      <c r="D3129" s="113">
        <f>D2901</f>
        <v>5.77</v>
      </c>
      <c r="E3129" s="113">
        <v>4.4</v>
      </c>
      <c r="F3129" s="113">
        <f t="shared" si="354"/>
        <v>25.388</v>
      </c>
    </row>
    <row r="3130" customHeight="1" spans="1:6">
      <c r="A3130" s="57">
        <v>2</v>
      </c>
      <c r="B3130" s="57" t="s">
        <v>1219</v>
      </c>
      <c r="C3130" s="57"/>
      <c r="D3130" s="84"/>
      <c r="E3130" s="84"/>
      <c r="F3130" s="84">
        <f>SUM(F3131:F3135)</f>
        <v>173.6493</v>
      </c>
    </row>
    <row r="3131" customHeight="1" spans="1:6">
      <c r="A3131" s="57"/>
      <c r="B3131" s="57" t="s">
        <v>1461</v>
      </c>
      <c r="C3131" s="57" t="s">
        <v>1422</v>
      </c>
      <c r="D3131" s="84"/>
      <c r="E3131" s="59">
        <v>10</v>
      </c>
      <c r="F3131" s="84">
        <f t="shared" si="354"/>
        <v>0</v>
      </c>
    </row>
    <row r="3132" customHeight="1" spans="1:6">
      <c r="A3132" s="57"/>
      <c r="B3132" s="57" t="s">
        <v>1462</v>
      </c>
      <c r="C3132" s="57" t="s">
        <v>184</v>
      </c>
      <c r="D3132" s="57">
        <v>4.8</v>
      </c>
      <c r="E3132" s="347">
        <f>57.13*0.5</f>
        <v>28.565</v>
      </c>
      <c r="F3132" s="84">
        <f t="shared" si="354"/>
        <v>137.112</v>
      </c>
    </row>
    <row r="3133" customHeight="1" spans="1:6">
      <c r="A3133" s="57"/>
      <c r="B3133" s="57" t="s">
        <v>1463</v>
      </c>
      <c r="C3133" s="57" t="s">
        <v>184</v>
      </c>
      <c r="D3133" s="88">
        <v>4.2</v>
      </c>
      <c r="E3133" s="88">
        <v>2.75</v>
      </c>
      <c r="F3133" s="84">
        <f t="shared" si="354"/>
        <v>11.55</v>
      </c>
    </row>
    <row r="3134" customHeight="1" spans="1:6">
      <c r="A3134" s="57"/>
      <c r="B3134" s="57" t="s">
        <v>1464</v>
      </c>
      <c r="C3134" s="57" t="s">
        <v>184</v>
      </c>
      <c r="D3134" s="88">
        <f>1200/1000</f>
        <v>1.2</v>
      </c>
      <c r="E3134" s="88">
        <v>19.39</v>
      </c>
      <c r="F3134" s="84">
        <f t="shared" si="354"/>
        <v>23.268</v>
      </c>
    </row>
    <row r="3135" customHeight="1" spans="1:6">
      <c r="A3135" s="57"/>
      <c r="B3135" s="57" t="s">
        <v>1248</v>
      </c>
      <c r="C3135" s="59" t="s">
        <v>423</v>
      </c>
      <c r="D3135" s="84">
        <f>SUM(F3131:F3134)</f>
        <v>171.93</v>
      </c>
      <c r="E3135" s="59">
        <v>1</v>
      </c>
      <c r="F3135" s="84">
        <f>D3135*E3135/100</f>
        <v>1.7193</v>
      </c>
    </row>
    <row r="3136" customHeight="1" spans="1:6">
      <c r="A3136" s="57">
        <v>3</v>
      </c>
      <c r="B3136" s="57" t="s">
        <v>1171</v>
      </c>
      <c r="C3136" s="57"/>
      <c r="D3136" s="84"/>
      <c r="E3136" s="84"/>
      <c r="F3136" s="84">
        <f>SUM(F3137:F3141)</f>
        <v>75.8483136186678</v>
      </c>
    </row>
    <row r="3137" customHeight="1" spans="1:6">
      <c r="A3137" s="57"/>
      <c r="B3137" s="57" t="s">
        <v>1465</v>
      </c>
      <c r="C3137" s="57" t="s">
        <v>988</v>
      </c>
      <c r="D3137" s="84">
        <f>台时!G63</f>
        <v>90.2272672516953</v>
      </c>
      <c r="E3137" s="84">
        <v>0.5</v>
      </c>
      <c r="F3137" s="84">
        <f t="shared" ref="F3137:F3140" si="355">D3137*E3137</f>
        <v>45.1136336258477</v>
      </c>
    </row>
    <row r="3138" customHeight="1" spans="1:6">
      <c r="A3138" s="57"/>
      <c r="B3138" s="57" t="s">
        <v>1466</v>
      </c>
      <c r="C3138" s="57" t="s">
        <v>988</v>
      </c>
      <c r="D3138" s="84">
        <f>0.43/1.15+0.66/1.09+1.3*8.1+2*材料预算价!K18</f>
        <v>12.5294176306342</v>
      </c>
      <c r="E3138" s="84">
        <v>0.04</v>
      </c>
      <c r="F3138" s="84">
        <f t="shared" si="355"/>
        <v>0.501176705225369</v>
      </c>
    </row>
    <row r="3139" customHeight="1" spans="1:6">
      <c r="A3139" s="57"/>
      <c r="B3139" s="57" t="s">
        <v>1467</v>
      </c>
      <c r="C3139" s="57" t="s">
        <v>988</v>
      </c>
      <c r="D3139" s="84">
        <f>台时!F21</f>
        <v>54.6627510969286</v>
      </c>
      <c r="E3139" s="84">
        <v>0.3</v>
      </c>
      <c r="F3139" s="84">
        <f t="shared" si="355"/>
        <v>16.3988253290786</v>
      </c>
    </row>
    <row r="3140" customHeight="1" spans="1:6">
      <c r="A3140" s="57"/>
      <c r="B3140" s="57" t="s">
        <v>1329</v>
      </c>
      <c r="C3140" s="57" t="s">
        <v>988</v>
      </c>
      <c r="D3140" s="84">
        <f>台时!H42</f>
        <v>49.389824491424</v>
      </c>
      <c r="E3140" s="84">
        <v>0.25</v>
      </c>
      <c r="F3140" s="84">
        <f t="shared" si="355"/>
        <v>12.347456122856</v>
      </c>
    </row>
    <row r="3141" customHeight="1" spans="1:6">
      <c r="A3141" s="57"/>
      <c r="B3141" s="57" t="s">
        <v>1223</v>
      </c>
      <c r="C3141" s="59" t="s">
        <v>423</v>
      </c>
      <c r="D3141" s="84">
        <f>SUM(F3137:F3140)</f>
        <v>74.3610917830076</v>
      </c>
      <c r="E3141" s="84">
        <f>2</f>
        <v>2</v>
      </c>
      <c r="F3141" s="84">
        <f>D3141*E3141/100</f>
        <v>1.48722183566015</v>
      </c>
    </row>
    <row r="3142" customHeight="1" spans="1:6">
      <c r="A3142" s="57" t="s">
        <v>70</v>
      </c>
      <c r="B3142" s="57" t="s">
        <v>977</v>
      </c>
      <c r="C3142" s="194">
        <f t="shared" ref="C3142:C3145" si="356">C2914</f>
        <v>0.048</v>
      </c>
      <c r="D3142" s="84"/>
      <c r="E3142" s="331">
        <f>F3126</f>
        <v>332.881613618668</v>
      </c>
      <c r="F3142" s="84">
        <f t="shared" ref="F3142:F3145" si="357">E3142*C3142</f>
        <v>15.9783174536961</v>
      </c>
    </row>
    <row r="3143" customHeight="1" spans="1:6">
      <c r="A3143" s="57"/>
      <c r="B3143" s="57"/>
      <c r="C3143" s="194"/>
      <c r="D3143" s="84"/>
      <c r="E3143" s="331"/>
      <c r="F3143" s="84"/>
    </row>
    <row r="3144" customHeight="1" spans="1:6">
      <c r="A3144" s="57" t="s">
        <v>979</v>
      </c>
      <c r="B3144" s="57" t="s">
        <v>973</v>
      </c>
      <c r="C3144" s="194">
        <f t="shared" si="356"/>
        <v>0.0725</v>
      </c>
      <c r="D3144" s="84"/>
      <c r="E3144" s="331">
        <f>F3125</f>
        <v>348.859931072364</v>
      </c>
      <c r="F3144" s="84">
        <f t="shared" si="357"/>
        <v>25.2923450027464</v>
      </c>
    </row>
    <row r="3145" customHeight="1" spans="1:6">
      <c r="A3145" s="57" t="s">
        <v>162</v>
      </c>
      <c r="B3145" s="57" t="s">
        <v>980</v>
      </c>
      <c r="C3145" s="194">
        <f t="shared" si="356"/>
        <v>0.05</v>
      </c>
      <c r="D3145" s="84"/>
      <c r="E3145" s="331">
        <f>F3144+F3125</f>
        <v>374.15227607511</v>
      </c>
      <c r="F3145" s="84">
        <f t="shared" si="357"/>
        <v>18.7076138037555</v>
      </c>
    </row>
    <row r="3146" customHeight="1" spans="1:6">
      <c r="A3146" s="57"/>
      <c r="B3146" s="57" t="s">
        <v>1116</v>
      </c>
      <c r="C3146" s="194" t="s">
        <v>184</v>
      </c>
      <c r="D3146" s="84">
        <f>材料预算价!K12-材料预算价!L12</f>
        <v>4.86</v>
      </c>
      <c r="E3146" s="84">
        <f>E3137*12.4+E3139*7.9</f>
        <v>8.57</v>
      </c>
      <c r="F3146" s="84">
        <f>D3146*E3146</f>
        <v>41.6502</v>
      </c>
    </row>
    <row r="3147" customHeight="1" spans="1:6">
      <c r="A3147" s="57"/>
      <c r="B3147" s="57" t="s">
        <v>1118</v>
      </c>
      <c r="C3147" s="194" t="s">
        <v>184</v>
      </c>
      <c r="D3147" s="84">
        <f>材料预算价!K13-材料预算价!L13</f>
        <v>6.225</v>
      </c>
      <c r="E3147" s="84">
        <f>E3140*7.2</f>
        <v>1.8</v>
      </c>
      <c r="F3147" s="84">
        <f>D3147*E3147</f>
        <v>11.205</v>
      </c>
    </row>
    <row r="3148" customHeight="1" spans="1:6">
      <c r="A3148" s="57" t="s">
        <v>214</v>
      </c>
      <c r="B3148" s="57" t="s">
        <v>976</v>
      </c>
      <c r="C3148" s="195">
        <f>C2921</f>
        <v>0.09</v>
      </c>
      <c r="D3148" s="84"/>
      <c r="E3148" s="84">
        <f>E3145+F3145+F3146+F3147</f>
        <v>445.715089878866</v>
      </c>
      <c r="F3148" s="84">
        <f>E3148*C3148</f>
        <v>40.1143580890979</v>
      </c>
    </row>
    <row r="3149" customHeight="1" spans="1:6">
      <c r="A3149" s="57"/>
      <c r="B3149" s="57" t="s">
        <v>984</v>
      </c>
      <c r="C3149" s="195"/>
      <c r="D3149" s="84"/>
      <c r="E3149" s="84"/>
      <c r="F3149" s="84">
        <f>(E3148+F3148)*取费表!H12</f>
        <v>14.5748834390389</v>
      </c>
    </row>
    <row r="3150" customHeight="1" spans="1:6">
      <c r="A3150" s="57"/>
      <c r="B3150" s="57" t="s">
        <v>278</v>
      </c>
      <c r="C3150" s="57"/>
      <c r="D3150" s="84"/>
      <c r="E3150" s="84"/>
      <c r="F3150" s="84">
        <f>E3148+F3148+F3149</f>
        <v>500.404331407003</v>
      </c>
    </row>
    <row r="3151" customHeight="1" spans="1:6">
      <c r="A3151" s="57"/>
      <c r="B3151" s="57"/>
      <c r="C3151" s="57"/>
      <c r="D3151" s="84"/>
      <c r="E3151" s="84"/>
      <c r="F3151" s="84"/>
    </row>
    <row r="3152" customHeight="1" spans="1:6">
      <c r="A3152" s="57"/>
      <c r="B3152" s="57"/>
      <c r="C3152" s="57"/>
      <c r="D3152" s="84"/>
      <c r="E3152" s="84"/>
      <c r="F3152" s="84"/>
    </row>
    <row r="3153" customHeight="1" spans="1:6">
      <c r="A3153" s="57"/>
      <c r="B3153" s="57"/>
      <c r="C3153" s="57"/>
      <c r="D3153" s="84"/>
      <c r="E3153" s="84"/>
      <c r="F3153" s="84"/>
    </row>
    <row r="3154" customHeight="1" spans="1:6">
      <c r="A3154" s="57"/>
      <c r="B3154" s="57"/>
      <c r="C3154" s="57"/>
      <c r="D3154" s="84"/>
      <c r="E3154" s="84"/>
      <c r="F3154" s="84"/>
    </row>
    <row r="3155" customHeight="1" spans="1:6">
      <c r="A3155" s="57"/>
      <c r="B3155" s="57"/>
      <c r="C3155" s="57"/>
      <c r="D3155" s="84"/>
      <c r="E3155" s="84"/>
      <c r="F3155" s="84"/>
    </row>
    <row r="3156" customHeight="1" spans="1:6">
      <c r="A3156" s="57"/>
      <c r="B3156" s="57"/>
      <c r="C3156" s="57"/>
      <c r="D3156" s="84"/>
      <c r="E3156" s="84"/>
      <c r="F3156" s="84"/>
    </row>
    <row r="3157" customHeight="1" spans="1:6">
      <c r="A3157" s="57"/>
      <c r="B3157" s="57"/>
      <c r="C3157" s="57"/>
      <c r="D3157" s="84"/>
      <c r="E3157" s="84"/>
      <c r="F3157" s="84"/>
    </row>
    <row r="3158" customHeight="1" spans="1:6">
      <c r="A3158" s="176" t="s">
        <v>1204</v>
      </c>
      <c r="B3158" s="175"/>
      <c r="C3158" s="175"/>
      <c r="D3158" s="175"/>
      <c r="E3158" s="175"/>
      <c r="F3158" s="175"/>
    </row>
    <row r="3159" customHeight="1" spans="1:6">
      <c r="A3159" s="242" t="s">
        <v>1457</v>
      </c>
      <c r="C3159" s="243"/>
      <c r="D3159" s="243"/>
      <c r="E3159" s="243"/>
      <c r="F3159" s="243"/>
    </row>
    <row r="3160" customHeight="1" spans="1:6">
      <c r="A3160" s="190" t="s">
        <v>1468</v>
      </c>
      <c r="B3160" s="191"/>
      <c r="C3160" s="243"/>
      <c r="D3160" s="243"/>
      <c r="E3160" s="191" t="s">
        <v>1459</v>
      </c>
      <c r="F3160" s="191"/>
    </row>
    <row r="3161" customHeight="1" spans="1:6">
      <c r="A3161" s="117" t="s">
        <v>1218</v>
      </c>
      <c r="B3161" s="192" t="s">
        <v>1469</v>
      </c>
      <c r="C3161" s="192"/>
      <c r="D3161" s="192"/>
      <c r="E3161" s="192"/>
      <c r="F3161" s="118"/>
    </row>
    <row r="3162" customHeight="1" spans="1:6">
      <c r="A3162" s="57" t="s">
        <v>354</v>
      </c>
      <c r="B3162" s="57" t="s">
        <v>956</v>
      </c>
      <c r="C3162" s="57" t="s">
        <v>52</v>
      </c>
      <c r="D3162" s="57" t="s">
        <v>855</v>
      </c>
      <c r="E3162" s="57" t="s">
        <v>53</v>
      </c>
      <c r="F3162" s="57" t="s">
        <v>306</v>
      </c>
    </row>
    <row r="3163" customHeight="1" spans="1:6">
      <c r="A3163" s="57" t="s">
        <v>959</v>
      </c>
      <c r="B3163" s="57" t="s">
        <v>960</v>
      </c>
      <c r="C3163" s="57"/>
      <c r="D3163" s="57"/>
      <c r="E3163" s="57"/>
      <c r="F3163" s="84">
        <f>F3164+F3180+F3181</f>
        <v>584.376314520053</v>
      </c>
    </row>
    <row r="3164" customHeight="1" spans="1:6">
      <c r="A3164" s="57" t="s">
        <v>59</v>
      </c>
      <c r="B3164" s="57" t="s">
        <v>957</v>
      </c>
      <c r="C3164" s="57"/>
      <c r="D3164" s="57"/>
      <c r="E3164" s="57"/>
      <c r="F3164" s="84">
        <f>F3165+F3168+F3174</f>
        <v>557.610987137455</v>
      </c>
    </row>
    <row r="3165" customHeight="1" spans="1:6">
      <c r="A3165" s="57">
        <v>1</v>
      </c>
      <c r="B3165" s="57" t="s">
        <v>964</v>
      </c>
      <c r="C3165" s="57" t="s">
        <v>965</v>
      </c>
      <c r="D3165" s="84"/>
      <c r="E3165" s="113">
        <f>SUM(E3166:E3167)</f>
        <v>12.4208</v>
      </c>
      <c r="F3165" s="113">
        <f>SUM(F3166:F3167)</f>
        <v>89.33128</v>
      </c>
    </row>
    <row r="3166" customHeight="1" spans="1:6">
      <c r="A3166" s="57"/>
      <c r="B3166" s="57" t="s">
        <v>966</v>
      </c>
      <c r="C3166" s="57" t="s">
        <v>965</v>
      </c>
      <c r="D3166" s="113">
        <f>D2976</f>
        <v>8.1</v>
      </c>
      <c r="E3166" s="113">
        <f>36.8*1.03*0.2</f>
        <v>7.5808</v>
      </c>
      <c r="F3166" s="113">
        <f t="shared" ref="F3166:F3172" si="358">D3166*E3166</f>
        <v>61.40448</v>
      </c>
    </row>
    <row r="3167" customHeight="1" spans="1:6">
      <c r="A3167" s="57"/>
      <c r="B3167" s="57" t="s">
        <v>968</v>
      </c>
      <c r="C3167" s="57" t="s">
        <v>965</v>
      </c>
      <c r="D3167" s="113">
        <f>D2977</f>
        <v>5.77</v>
      </c>
      <c r="E3167" s="113">
        <f>4.4*1.1</f>
        <v>4.84</v>
      </c>
      <c r="F3167" s="113">
        <f t="shared" si="358"/>
        <v>27.9268</v>
      </c>
    </row>
    <row r="3168" customHeight="1" spans="1:6">
      <c r="A3168" s="57">
        <v>2</v>
      </c>
      <c r="B3168" s="57" t="s">
        <v>1219</v>
      </c>
      <c r="C3168" s="57"/>
      <c r="D3168" s="84"/>
      <c r="E3168" s="84"/>
      <c r="F3168" s="84">
        <f>SUM(F3169:F3173)</f>
        <v>354.476064</v>
      </c>
    </row>
    <row r="3169" customHeight="1" spans="1:6">
      <c r="A3169" s="57"/>
      <c r="B3169" s="57" t="s">
        <v>1470</v>
      </c>
      <c r="C3169" s="57" t="s">
        <v>1422</v>
      </c>
      <c r="D3169" s="84"/>
      <c r="E3169" s="59">
        <v>10</v>
      </c>
      <c r="F3169" s="84">
        <f t="shared" si="358"/>
        <v>0</v>
      </c>
    </row>
    <row r="3170" customHeight="1" spans="1:6">
      <c r="A3170" s="57"/>
      <c r="B3170" s="57" t="s">
        <v>1462</v>
      </c>
      <c r="C3170" s="57" t="s">
        <v>184</v>
      </c>
      <c r="D3170" s="57">
        <v>4.8</v>
      </c>
      <c r="E3170" s="347">
        <f>64.12</f>
        <v>64.12</v>
      </c>
      <c r="F3170" s="84">
        <f t="shared" si="358"/>
        <v>307.776</v>
      </c>
    </row>
    <row r="3171" customHeight="1" spans="1:6">
      <c r="A3171" s="57"/>
      <c r="B3171" s="57" t="s">
        <v>1463</v>
      </c>
      <c r="C3171" s="57" t="s">
        <v>184</v>
      </c>
      <c r="D3171" s="88">
        <v>4.2</v>
      </c>
      <c r="E3171" s="88">
        <f>3.12*1.1</f>
        <v>3.432</v>
      </c>
      <c r="F3171" s="84">
        <f t="shared" si="358"/>
        <v>14.4144</v>
      </c>
    </row>
    <row r="3172" customHeight="1" spans="1:6">
      <c r="A3172" s="57"/>
      <c r="B3172" s="57" t="s">
        <v>1464</v>
      </c>
      <c r="C3172" s="57" t="s">
        <v>184</v>
      </c>
      <c r="D3172" s="88">
        <f>1200/1000</f>
        <v>1.2</v>
      </c>
      <c r="E3172" s="88">
        <f>21.8*1.1</f>
        <v>23.98</v>
      </c>
      <c r="F3172" s="84">
        <f t="shared" si="358"/>
        <v>28.776</v>
      </c>
    </row>
    <row r="3173" customHeight="1" spans="1:6">
      <c r="A3173" s="57"/>
      <c r="B3173" s="57" t="s">
        <v>1248</v>
      </c>
      <c r="C3173" s="59" t="s">
        <v>423</v>
      </c>
      <c r="D3173" s="84">
        <f>SUM(F3169:F3172)</f>
        <v>350.9664</v>
      </c>
      <c r="E3173" s="59">
        <v>1</v>
      </c>
      <c r="F3173" s="84">
        <f>D3173*E3173/100</f>
        <v>3.509664</v>
      </c>
    </row>
    <row r="3174" customHeight="1" spans="1:6">
      <c r="A3174" s="57">
        <v>3</v>
      </c>
      <c r="B3174" s="57" t="s">
        <v>1171</v>
      </c>
      <c r="C3174" s="57"/>
      <c r="D3174" s="84"/>
      <c r="E3174" s="84"/>
      <c r="F3174" s="84">
        <f>SUM(F3175:F3179)</f>
        <v>113.803643137455</v>
      </c>
    </row>
    <row r="3175" customHeight="1" spans="1:6">
      <c r="A3175" s="57"/>
      <c r="B3175" s="57" t="s">
        <v>1465</v>
      </c>
      <c r="C3175" s="57" t="s">
        <v>988</v>
      </c>
      <c r="D3175" s="84">
        <f t="shared" ref="D3175:D3178" si="359">D3137</f>
        <v>90.2272672516953</v>
      </c>
      <c r="E3175" s="84">
        <f>0.8*1.1</f>
        <v>0.88</v>
      </c>
      <c r="F3175" s="84">
        <f t="shared" ref="F3175:F3178" si="360">D3175*E3175</f>
        <v>79.3999951814919</v>
      </c>
    </row>
    <row r="3176" customHeight="1" spans="1:6">
      <c r="A3176" s="57"/>
      <c r="B3176" s="57" t="s">
        <v>1466</v>
      </c>
      <c r="C3176" s="57" t="s">
        <v>988</v>
      </c>
      <c r="D3176" s="84">
        <f t="shared" si="359"/>
        <v>12.5294176306342</v>
      </c>
      <c r="E3176" s="84">
        <f>0.04*1.1</f>
        <v>0.044</v>
      </c>
      <c r="F3176" s="84">
        <f t="shared" si="360"/>
        <v>0.551294375747906</v>
      </c>
    </row>
    <row r="3177" customHeight="1" spans="1:6">
      <c r="A3177" s="57"/>
      <c r="B3177" s="57" t="s">
        <v>1467</v>
      </c>
      <c r="C3177" s="57" t="s">
        <v>988</v>
      </c>
      <c r="D3177" s="84">
        <f t="shared" si="359"/>
        <v>54.6627510969286</v>
      </c>
      <c r="E3177" s="84">
        <f>0.3*1.1</f>
        <v>0.33</v>
      </c>
      <c r="F3177" s="84">
        <f t="shared" si="360"/>
        <v>18.0387078619864</v>
      </c>
    </row>
    <row r="3178" customHeight="1" spans="1:6">
      <c r="A3178" s="57"/>
      <c r="B3178" s="57" t="s">
        <v>1329</v>
      </c>
      <c r="C3178" s="57" t="s">
        <v>988</v>
      </c>
      <c r="D3178" s="84">
        <f t="shared" si="359"/>
        <v>49.389824491424</v>
      </c>
      <c r="E3178" s="84">
        <f>0.25*1.1</f>
        <v>0.275</v>
      </c>
      <c r="F3178" s="84">
        <f t="shared" si="360"/>
        <v>13.5822017351416</v>
      </c>
    </row>
    <row r="3179" customHeight="1" spans="1:6">
      <c r="A3179" s="57"/>
      <c r="B3179" s="57" t="s">
        <v>1223</v>
      </c>
      <c r="C3179" s="59" t="s">
        <v>423</v>
      </c>
      <c r="D3179" s="84">
        <f>SUM(F3175:F3178)</f>
        <v>111.572199154368</v>
      </c>
      <c r="E3179" s="84">
        <f>2</f>
        <v>2</v>
      </c>
      <c r="F3179" s="84">
        <f>D3179*E3179/100</f>
        <v>2.23144398308736</v>
      </c>
    </row>
    <row r="3180" customHeight="1" spans="1:6">
      <c r="A3180" s="57" t="s">
        <v>70</v>
      </c>
      <c r="B3180" s="57" t="s">
        <v>977</v>
      </c>
      <c r="C3180" s="194">
        <f t="shared" ref="C3180:C3183" si="361">C2990</f>
        <v>0.048</v>
      </c>
      <c r="D3180" s="84"/>
      <c r="E3180" s="331">
        <f>F3164</f>
        <v>557.610987137455</v>
      </c>
      <c r="F3180" s="84">
        <f t="shared" ref="F3180:F3183" si="362">E3180*C3180</f>
        <v>26.7653273825978</v>
      </c>
    </row>
    <row r="3181" customHeight="1" spans="1:6">
      <c r="A3181" s="57"/>
      <c r="B3181" s="57"/>
      <c r="C3181" s="194"/>
      <c r="D3181" s="84"/>
      <c r="E3181" s="331"/>
      <c r="F3181" s="84"/>
    </row>
    <row r="3182" customHeight="1" spans="1:6">
      <c r="A3182" s="57" t="s">
        <v>979</v>
      </c>
      <c r="B3182" s="57" t="s">
        <v>973</v>
      </c>
      <c r="C3182" s="194">
        <f t="shared" si="361"/>
        <v>0.0725</v>
      </c>
      <c r="D3182" s="84"/>
      <c r="E3182" s="331">
        <f>F3163</f>
        <v>584.376314520053</v>
      </c>
      <c r="F3182" s="84">
        <f t="shared" si="362"/>
        <v>42.3672828027038</v>
      </c>
    </row>
    <row r="3183" customHeight="1" spans="1:6">
      <c r="A3183" s="57" t="s">
        <v>162</v>
      </c>
      <c r="B3183" s="57" t="s">
        <v>980</v>
      </c>
      <c r="C3183" s="194">
        <f t="shared" si="361"/>
        <v>0.05</v>
      </c>
      <c r="D3183" s="84"/>
      <c r="E3183" s="331">
        <f>F3182+F3163</f>
        <v>626.743597322757</v>
      </c>
      <c r="F3183" s="84">
        <f t="shared" si="362"/>
        <v>31.3371798661378</v>
      </c>
    </row>
    <row r="3184" customHeight="1" spans="1:6">
      <c r="A3184" s="57"/>
      <c r="B3184" s="57" t="s">
        <v>1116</v>
      </c>
      <c r="C3184" s="194" t="s">
        <v>184</v>
      </c>
      <c r="D3184" s="84">
        <f>D3146</f>
        <v>4.86</v>
      </c>
      <c r="E3184" s="84">
        <f>E3175*12.4+E3177*7.9</f>
        <v>13.519</v>
      </c>
      <c r="F3184" s="84">
        <f>D3184*E3184</f>
        <v>65.70234</v>
      </c>
    </row>
    <row r="3185" customHeight="1" spans="1:6">
      <c r="A3185" s="57"/>
      <c r="B3185" s="57" t="s">
        <v>1118</v>
      </c>
      <c r="C3185" s="194" t="s">
        <v>184</v>
      </c>
      <c r="D3185" s="84">
        <f>D3147</f>
        <v>6.225</v>
      </c>
      <c r="E3185" s="84">
        <f>E3178*7.2</f>
        <v>1.98</v>
      </c>
      <c r="F3185" s="84">
        <f>D3185*E3185</f>
        <v>12.3255</v>
      </c>
    </row>
    <row r="3186" customHeight="1" spans="1:6">
      <c r="A3186" s="57" t="s">
        <v>214</v>
      </c>
      <c r="B3186" s="57" t="s">
        <v>976</v>
      </c>
      <c r="C3186" s="195">
        <f>C2997</f>
        <v>0.09</v>
      </c>
      <c r="D3186" s="84"/>
      <c r="E3186" s="84">
        <f>E3183+F3183+F3184+F3185</f>
        <v>736.108617188895</v>
      </c>
      <c r="F3186" s="84">
        <f>E3186*C3186</f>
        <v>66.2497755470005</v>
      </c>
    </row>
    <row r="3187" customHeight="1" spans="1:6">
      <c r="A3187" s="57"/>
      <c r="B3187" s="57" t="s">
        <v>1471</v>
      </c>
      <c r="C3187" s="195"/>
      <c r="D3187" s="84"/>
      <c r="E3187" s="84"/>
      <c r="F3187" s="84">
        <f>(E3186+F3186)*取费表!H12</f>
        <v>24.0707517820769</v>
      </c>
    </row>
    <row r="3188" customHeight="1" spans="1:6">
      <c r="A3188" s="57"/>
      <c r="B3188" s="57" t="s">
        <v>278</v>
      </c>
      <c r="C3188" s="57"/>
      <c r="D3188" s="84"/>
      <c r="E3188" s="84"/>
      <c r="F3188" s="84">
        <f>E3186+F3186+F3187</f>
        <v>826.429144517972</v>
      </c>
    </row>
    <row r="3189" customHeight="1" spans="1:6">
      <c r="A3189" s="57"/>
      <c r="B3189" s="57"/>
      <c r="C3189" s="57"/>
      <c r="D3189" s="84"/>
      <c r="E3189" s="84"/>
      <c r="F3189" s="84"/>
    </row>
    <row r="3190" customHeight="1" spans="1:6">
      <c r="A3190" s="57"/>
      <c r="B3190" s="57"/>
      <c r="C3190" s="57"/>
      <c r="D3190" s="84"/>
      <c r="E3190" s="84"/>
      <c r="F3190" s="84"/>
    </row>
    <row r="3191" customHeight="1" spans="1:6">
      <c r="A3191" s="57"/>
      <c r="B3191" s="57"/>
      <c r="C3191" s="57"/>
      <c r="D3191" s="84"/>
      <c r="E3191" s="84"/>
      <c r="F3191" s="84"/>
    </row>
    <row r="3192" customHeight="1" spans="1:6">
      <c r="A3192" s="57"/>
      <c r="B3192" s="57"/>
      <c r="C3192" s="57"/>
      <c r="D3192" s="84"/>
      <c r="E3192" s="84"/>
      <c r="F3192" s="84"/>
    </row>
    <row r="3193" customHeight="1" spans="1:6">
      <c r="A3193" s="57"/>
      <c r="B3193" s="57"/>
      <c r="C3193" s="57"/>
      <c r="D3193" s="84"/>
      <c r="E3193" s="84"/>
      <c r="F3193" s="84"/>
    </row>
    <row r="3194" customHeight="1" spans="1:6">
      <c r="A3194" s="57"/>
      <c r="B3194" s="57"/>
      <c r="C3194" s="57"/>
      <c r="D3194" s="84"/>
      <c r="E3194" s="84"/>
      <c r="F3194" s="84"/>
    </row>
    <row r="3195" customHeight="1" spans="1:6">
      <c r="A3195" s="168"/>
      <c r="B3195" s="168"/>
      <c r="C3195" s="168"/>
      <c r="D3195" s="327"/>
      <c r="E3195" s="327"/>
      <c r="F3195" s="327"/>
    </row>
    <row r="3196" customHeight="1" spans="1:6">
      <c r="A3196" s="176" t="s">
        <v>1204</v>
      </c>
      <c r="B3196" s="175"/>
      <c r="C3196" s="175"/>
      <c r="D3196" s="175"/>
      <c r="E3196" s="175"/>
      <c r="F3196" s="175"/>
    </row>
    <row r="3197" customHeight="1" spans="1:6">
      <c r="A3197" s="242" t="s">
        <v>1457</v>
      </c>
      <c r="C3197" s="243"/>
      <c r="D3197" s="243"/>
      <c r="E3197" s="243"/>
      <c r="F3197" s="243"/>
    </row>
    <row r="3198" customHeight="1" spans="1:6">
      <c r="A3198" s="190" t="s">
        <v>1472</v>
      </c>
      <c r="B3198" s="191"/>
      <c r="C3198" s="243"/>
      <c r="D3198" s="243"/>
      <c r="E3198" s="191" t="s">
        <v>1459</v>
      </c>
      <c r="F3198" s="191"/>
    </row>
    <row r="3199" customHeight="1" spans="1:6">
      <c r="A3199" s="117" t="s">
        <v>1218</v>
      </c>
      <c r="B3199" s="192" t="s">
        <v>1473</v>
      </c>
      <c r="C3199" s="192"/>
      <c r="D3199" s="192"/>
      <c r="E3199" s="192"/>
      <c r="F3199" s="118"/>
    </row>
    <row r="3200" customHeight="1" spans="1:6">
      <c r="A3200" s="57" t="s">
        <v>354</v>
      </c>
      <c r="B3200" s="57" t="s">
        <v>956</v>
      </c>
      <c r="C3200" s="57" t="s">
        <v>52</v>
      </c>
      <c r="D3200" s="57" t="s">
        <v>855</v>
      </c>
      <c r="E3200" s="57" t="s">
        <v>53</v>
      </c>
      <c r="F3200" s="57" t="s">
        <v>306</v>
      </c>
    </row>
    <row r="3201" customHeight="1" spans="1:6">
      <c r="A3201" s="57" t="s">
        <v>959</v>
      </c>
      <c r="B3201" s="57" t="s">
        <v>960</v>
      </c>
      <c r="C3201" s="57"/>
      <c r="D3201" s="57"/>
      <c r="E3201" s="57"/>
      <c r="F3201" s="84">
        <f>F3202+F3218+F3219</f>
        <v>677.735700866607</v>
      </c>
    </row>
    <row r="3202" customHeight="1" spans="1:6">
      <c r="A3202" s="57" t="s">
        <v>59</v>
      </c>
      <c r="B3202" s="57" t="s">
        <v>957</v>
      </c>
      <c r="C3202" s="57"/>
      <c r="D3202" s="57"/>
      <c r="E3202" s="57"/>
      <c r="F3202" s="84">
        <f>F3203+F3206+F3212</f>
        <v>646.694371055923</v>
      </c>
    </row>
    <row r="3203" customHeight="1" spans="1:6">
      <c r="A3203" s="57">
        <v>1</v>
      </c>
      <c r="B3203" s="57" t="s">
        <v>964</v>
      </c>
      <c r="C3203" s="57" t="s">
        <v>965</v>
      </c>
      <c r="D3203" s="84"/>
      <c r="E3203" s="113">
        <f>SUM(E3204:E3205)</f>
        <v>13.156</v>
      </c>
      <c r="F3203" s="113">
        <f>SUM(F3204:F3205)</f>
        <v>94.2612</v>
      </c>
    </row>
    <row r="3204" customHeight="1" spans="1:6">
      <c r="A3204" s="57"/>
      <c r="B3204" s="57" t="s">
        <v>966</v>
      </c>
      <c r="C3204" s="57" t="s">
        <v>965</v>
      </c>
      <c r="D3204" s="113">
        <f>D3014</f>
        <v>8.1</v>
      </c>
      <c r="E3204" s="113">
        <f>35.8*1.1*0.2</f>
        <v>7.876</v>
      </c>
      <c r="F3204" s="113">
        <f t="shared" ref="F3204:F3210" si="363">D3204*E3204</f>
        <v>63.7956</v>
      </c>
    </row>
    <row r="3205" customHeight="1" spans="1:6">
      <c r="A3205" s="57"/>
      <c r="B3205" s="57" t="s">
        <v>968</v>
      </c>
      <c r="C3205" s="57" t="s">
        <v>965</v>
      </c>
      <c r="D3205" s="113">
        <f>D3015</f>
        <v>5.77</v>
      </c>
      <c r="E3205" s="113">
        <f>4.4*1.2</f>
        <v>5.28</v>
      </c>
      <c r="F3205" s="113">
        <f t="shared" si="363"/>
        <v>30.4656</v>
      </c>
    </row>
    <row r="3206" customHeight="1" spans="1:6">
      <c r="A3206" s="57">
        <v>2</v>
      </c>
      <c r="B3206" s="57" t="s">
        <v>1219</v>
      </c>
      <c r="C3206" s="57"/>
      <c r="D3206" s="84"/>
      <c r="E3206" s="84"/>
      <c r="F3206" s="84">
        <f>SUM(F3207:F3211)</f>
        <v>420.61248</v>
      </c>
    </row>
    <row r="3207" customHeight="1" spans="1:6">
      <c r="A3207" s="57"/>
      <c r="B3207" s="57" t="s">
        <v>1474</v>
      </c>
      <c r="C3207" s="57" t="s">
        <v>1422</v>
      </c>
      <c r="D3207" s="84"/>
      <c r="E3207" s="59">
        <v>10</v>
      </c>
      <c r="F3207" s="84">
        <f t="shared" si="363"/>
        <v>0</v>
      </c>
    </row>
    <row r="3208" customHeight="1" spans="1:6">
      <c r="A3208" s="57"/>
      <c r="B3208" s="57" t="s">
        <v>1462</v>
      </c>
      <c r="C3208" s="57" t="s">
        <v>184</v>
      </c>
      <c r="D3208" s="57">
        <v>4.8</v>
      </c>
      <c r="E3208" s="347">
        <f>64.12*1.2</f>
        <v>76.944</v>
      </c>
      <c r="F3208" s="84">
        <f t="shared" si="363"/>
        <v>369.3312</v>
      </c>
    </row>
    <row r="3209" customHeight="1" spans="1:6">
      <c r="A3209" s="57"/>
      <c r="B3209" s="57" t="s">
        <v>1463</v>
      </c>
      <c r="C3209" s="57" t="s">
        <v>184</v>
      </c>
      <c r="D3209" s="88">
        <v>4.2</v>
      </c>
      <c r="E3209" s="88">
        <f>3.12*1.2</f>
        <v>3.744</v>
      </c>
      <c r="F3209" s="84">
        <f t="shared" si="363"/>
        <v>15.7248</v>
      </c>
    </row>
    <row r="3210" customHeight="1" spans="1:6">
      <c r="A3210" s="57"/>
      <c r="B3210" s="57" t="s">
        <v>1464</v>
      </c>
      <c r="C3210" s="57" t="s">
        <v>184</v>
      </c>
      <c r="D3210" s="88">
        <f>1200/1000</f>
        <v>1.2</v>
      </c>
      <c r="E3210" s="88">
        <f>21.8*1.2</f>
        <v>26.16</v>
      </c>
      <c r="F3210" s="84">
        <f t="shared" si="363"/>
        <v>31.392</v>
      </c>
    </row>
    <row r="3211" customHeight="1" spans="1:6">
      <c r="A3211" s="57"/>
      <c r="B3211" s="57" t="s">
        <v>1248</v>
      </c>
      <c r="C3211" s="59" t="s">
        <v>423</v>
      </c>
      <c r="D3211" s="84">
        <f>SUM(F3207:F3210)</f>
        <v>416.448</v>
      </c>
      <c r="E3211" s="59">
        <v>1</v>
      </c>
      <c r="F3211" s="84">
        <f>D3211*E3211/100</f>
        <v>4.16448</v>
      </c>
    </row>
    <row r="3212" customHeight="1" spans="1:6">
      <c r="A3212" s="57">
        <v>3</v>
      </c>
      <c r="B3212" s="57" t="s">
        <v>1171</v>
      </c>
      <c r="C3212" s="57"/>
      <c r="D3212" s="84"/>
      <c r="E3212" s="84"/>
      <c r="F3212" s="84">
        <f>SUM(F3213:F3217)</f>
        <v>131.820691055923</v>
      </c>
    </row>
    <row r="3213" customHeight="1" spans="1:6">
      <c r="A3213" s="57"/>
      <c r="B3213" s="57" t="s">
        <v>1465</v>
      </c>
      <c r="C3213" s="57" t="s">
        <v>988</v>
      </c>
      <c r="D3213" s="84">
        <f t="shared" ref="D3213:D3215" si="364">D3175</f>
        <v>90.2272672516953</v>
      </c>
      <c r="E3213" s="84">
        <f>0.8*1.2</f>
        <v>0.96</v>
      </c>
      <c r="F3213" s="84">
        <f t="shared" ref="F3213:F3216" si="365">D3213*E3213</f>
        <v>86.6181765616275</v>
      </c>
    </row>
    <row r="3214" customHeight="1" spans="1:6">
      <c r="A3214" s="57"/>
      <c r="B3214" s="57" t="s">
        <v>1466</v>
      </c>
      <c r="C3214" s="57" t="s">
        <v>988</v>
      </c>
      <c r="D3214" s="84">
        <f t="shared" si="364"/>
        <v>12.5294176306342</v>
      </c>
      <c r="E3214" s="84">
        <f>0.04*1.2</f>
        <v>0.048</v>
      </c>
      <c r="F3214" s="84">
        <f t="shared" si="365"/>
        <v>0.601412046270443</v>
      </c>
    </row>
    <row r="3215" customHeight="1" spans="1:6">
      <c r="A3215" s="57"/>
      <c r="B3215" s="57" t="s">
        <v>1467</v>
      </c>
      <c r="C3215" s="57" t="s">
        <v>988</v>
      </c>
      <c r="D3215" s="84">
        <f t="shared" si="364"/>
        <v>54.6627510969286</v>
      </c>
      <c r="E3215" s="84">
        <f>0.3*1.2</f>
        <v>0.36</v>
      </c>
      <c r="F3215" s="84">
        <f t="shared" si="365"/>
        <v>19.6785903948943</v>
      </c>
    </row>
    <row r="3216" customHeight="1" spans="1:6">
      <c r="A3216" s="57"/>
      <c r="B3216" s="57" t="s">
        <v>1475</v>
      </c>
      <c r="C3216" s="57" t="s">
        <v>988</v>
      </c>
      <c r="D3216" s="84">
        <f>台时!C63</f>
        <v>74.4593087355405</v>
      </c>
      <c r="E3216" s="84">
        <f>0.25*1.2</f>
        <v>0.3</v>
      </c>
      <c r="F3216" s="84">
        <f t="shared" si="365"/>
        <v>22.3377926206621</v>
      </c>
    </row>
    <row r="3217" customHeight="1" spans="1:6">
      <c r="A3217" s="57"/>
      <c r="B3217" s="57" t="s">
        <v>1223</v>
      </c>
      <c r="C3217" s="59" t="s">
        <v>423</v>
      </c>
      <c r="D3217" s="84">
        <f>SUM(F3213:F3216)</f>
        <v>129.235971623454</v>
      </c>
      <c r="E3217" s="84">
        <f>2</f>
        <v>2</v>
      </c>
      <c r="F3217" s="84">
        <f>D3217*E3217/100</f>
        <v>2.58471943246909</v>
      </c>
    </row>
    <row r="3218" customHeight="1" spans="1:6">
      <c r="A3218" s="57" t="s">
        <v>70</v>
      </c>
      <c r="B3218" s="57" t="s">
        <v>977</v>
      </c>
      <c r="C3218" s="194">
        <f t="shared" ref="C3218:C3221" si="366">C3028</f>
        <v>0.048</v>
      </c>
      <c r="D3218" s="84"/>
      <c r="E3218" s="331">
        <f>F3202</f>
        <v>646.694371055923</v>
      </c>
      <c r="F3218" s="84">
        <f t="shared" ref="F3218:F3221" si="367">E3218*C3218</f>
        <v>31.0413298106843</v>
      </c>
    </row>
    <row r="3219" customHeight="1" spans="1:6">
      <c r="A3219" s="57"/>
      <c r="B3219" s="57"/>
      <c r="C3219" s="194"/>
      <c r="D3219" s="84"/>
      <c r="E3219" s="331"/>
      <c r="F3219" s="84"/>
    </row>
    <row r="3220" customHeight="1" spans="1:6">
      <c r="A3220" s="57" t="s">
        <v>979</v>
      </c>
      <c r="B3220" s="57" t="s">
        <v>973</v>
      </c>
      <c r="C3220" s="194">
        <f t="shared" si="366"/>
        <v>0.0725</v>
      </c>
      <c r="D3220" s="84"/>
      <c r="E3220" s="331">
        <f>F3201</f>
        <v>677.735700866607</v>
      </c>
      <c r="F3220" s="84">
        <f t="shared" si="367"/>
        <v>49.135838312829</v>
      </c>
    </row>
    <row r="3221" customHeight="1" spans="1:6">
      <c r="A3221" s="57" t="s">
        <v>162</v>
      </c>
      <c r="B3221" s="57" t="s">
        <v>980</v>
      </c>
      <c r="C3221" s="194">
        <f t="shared" si="366"/>
        <v>0.05</v>
      </c>
      <c r="D3221" s="84"/>
      <c r="E3221" s="331">
        <f>F3220+F3201</f>
        <v>726.871539179436</v>
      </c>
      <c r="F3221" s="84">
        <f t="shared" si="367"/>
        <v>36.3435769589718</v>
      </c>
    </row>
    <row r="3222" customHeight="1" spans="1:6">
      <c r="A3222" s="57"/>
      <c r="B3222" s="57" t="s">
        <v>1116</v>
      </c>
      <c r="C3222" s="194" t="s">
        <v>184</v>
      </c>
      <c r="D3222" s="84">
        <f>D3184</f>
        <v>4.86</v>
      </c>
      <c r="E3222" s="84">
        <f>E3213*12.4+E3215*7.9+E3216*8.9</f>
        <v>17.418</v>
      </c>
      <c r="F3222" s="84">
        <f>D3222*E3222</f>
        <v>84.65148</v>
      </c>
    </row>
    <row r="3223" customHeight="1" spans="1:6">
      <c r="A3223" s="57"/>
      <c r="B3223" s="57" t="s">
        <v>1118</v>
      </c>
      <c r="C3223" s="194" t="s">
        <v>184</v>
      </c>
      <c r="D3223" s="84">
        <f>D3185</f>
        <v>6.225</v>
      </c>
      <c r="E3223" s="84"/>
      <c r="F3223" s="84">
        <f>D3223*E3223</f>
        <v>0</v>
      </c>
    </row>
    <row r="3224" customHeight="1" spans="1:6">
      <c r="A3224" s="57" t="s">
        <v>214</v>
      </c>
      <c r="B3224" s="57" t="s">
        <v>976</v>
      </c>
      <c r="C3224" s="195">
        <f>C3035</f>
        <v>0.09</v>
      </c>
      <c r="D3224" s="84"/>
      <c r="E3224" s="84">
        <f>E3221+F3221+F3222+F3223</f>
        <v>847.866596138408</v>
      </c>
      <c r="F3224" s="84">
        <f>E3224*C3224</f>
        <v>76.3079936524567</v>
      </c>
    </row>
    <row r="3225" customHeight="1" spans="1:6">
      <c r="A3225" s="57"/>
      <c r="B3225" s="57" t="s">
        <v>1471</v>
      </c>
      <c r="C3225" s="195"/>
      <c r="D3225" s="84"/>
      <c r="E3225" s="84"/>
      <c r="F3225" s="84">
        <f>(E3224+F3224)*取费表!H12</f>
        <v>27.7252376937259</v>
      </c>
    </row>
    <row r="3226" customHeight="1" spans="1:6">
      <c r="A3226" s="57"/>
      <c r="B3226" s="57" t="s">
        <v>278</v>
      </c>
      <c r="C3226" s="57"/>
      <c r="D3226" s="84"/>
      <c r="E3226" s="84"/>
      <c r="F3226" s="84">
        <f>E3224+F3224+F3225</f>
        <v>951.899827484591</v>
      </c>
    </row>
    <row r="3227" customHeight="1" spans="1:6">
      <c r="A3227" s="57"/>
      <c r="B3227" s="57"/>
      <c r="C3227" s="57"/>
      <c r="D3227" s="84"/>
      <c r="E3227" s="84"/>
      <c r="F3227" s="84"/>
    </row>
    <row r="3228" customHeight="1" spans="1:6">
      <c r="A3228" s="57"/>
      <c r="B3228" s="57"/>
      <c r="C3228" s="57"/>
      <c r="D3228" s="84"/>
      <c r="E3228" s="84"/>
      <c r="F3228" s="84"/>
    </row>
    <row r="3229" customHeight="1" spans="1:6">
      <c r="A3229" s="57"/>
      <c r="B3229" s="57"/>
      <c r="C3229" s="57"/>
      <c r="D3229" s="84"/>
      <c r="E3229" s="84"/>
      <c r="F3229" s="84"/>
    </row>
    <row r="3230" customHeight="1" spans="1:6">
      <c r="A3230" s="57"/>
      <c r="B3230" s="57"/>
      <c r="C3230" s="57"/>
      <c r="D3230" s="84"/>
      <c r="E3230" s="84"/>
      <c r="F3230" s="84"/>
    </row>
    <row r="3231" customHeight="1" spans="1:6">
      <c r="A3231" s="57"/>
      <c r="B3231" s="57"/>
      <c r="C3231" s="57"/>
      <c r="D3231" s="84"/>
      <c r="E3231" s="84"/>
      <c r="F3231" s="84"/>
    </row>
    <row r="3232" customHeight="1" spans="1:6">
      <c r="A3232" s="57"/>
      <c r="B3232" s="57"/>
      <c r="C3232" s="57"/>
      <c r="D3232" s="84"/>
      <c r="E3232" s="84"/>
      <c r="F3232" s="84"/>
    </row>
    <row r="3233" customHeight="1" spans="1:6">
      <c r="A3233" s="57"/>
      <c r="B3233" s="57"/>
      <c r="C3233" s="57"/>
      <c r="D3233" s="84"/>
      <c r="E3233" s="84"/>
      <c r="F3233" s="84"/>
    </row>
    <row r="3234" customHeight="1" spans="1:18">
      <c r="A3234"/>
      <c r="B3234"/>
      <c r="C3234"/>
      <c r="D3234"/>
      <c r="E3234"/>
      <c r="F3234"/>
      <c r="G3234" s="175"/>
      <c r="H3234" s="175"/>
      <c r="I3234" s="175"/>
      <c r="J3234" s="175"/>
      <c r="K3234" s="175"/>
      <c r="M3234"/>
      <c r="N3234"/>
      <c r="O3234"/>
      <c r="P3234"/>
      <c r="Q3234"/>
      <c r="R3234"/>
    </row>
    <row r="3235" customHeight="1" spans="1:18">
      <c r="A3235"/>
      <c r="B3235"/>
      <c r="C3235"/>
      <c r="D3235"/>
      <c r="E3235"/>
      <c r="F3235"/>
      <c r="G3235" s="243"/>
      <c r="H3235" s="243"/>
      <c r="I3235" s="243"/>
      <c r="J3235" s="243"/>
      <c r="K3235" s="243"/>
      <c r="M3235"/>
      <c r="N3235"/>
      <c r="O3235"/>
      <c r="P3235"/>
      <c r="Q3235"/>
      <c r="R3235"/>
    </row>
    <row r="3236" customHeight="1" spans="1:18">
      <c r="A3236"/>
      <c r="B3236"/>
      <c r="C3236"/>
      <c r="D3236"/>
      <c r="E3236"/>
      <c r="F3236"/>
      <c r="G3236"/>
      <c r="H3236"/>
      <c r="I3236"/>
      <c r="J3236"/>
      <c r="K3236"/>
      <c r="M3236"/>
      <c r="N3236"/>
      <c r="O3236"/>
      <c r="P3236"/>
      <c r="Q3236"/>
      <c r="R3236"/>
    </row>
    <row r="3237" customHeight="1" spans="1:18">
      <c r="A3237"/>
      <c r="B3237"/>
      <c r="C3237"/>
      <c r="D3237"/>
      <c r="E3237"/>
      <c r="F3237"/>
      <c r="G3237"/>
      <c r="H3237"/>
      <c r="I3237"/>
      <c r="J3237"/>
      <c r="K3237"/>
      <c r="M3237"/>
      <c r="N3237"/>
      <c r="O3237"/>
      <c r="P3237"/>
      <c r="Q3237"/>
      <c r="R3237"/>
    </row>
    <row r="3238" customHeight="1" spans="1:18">
      <c r="A3238"/>
      <c r="B3238"/>
      <c r="C3238"/>
      <c r="D3238"/>
      <c r="E3238"/>
      <c r="F3238"/>
      <c r="G3238"/>
      <c r="H3238"/>
      <c r="I3238"/>
      <c r="J3238"/>
      <c r="K3238"/>
      <c r="M3238"/>
      <c r="N3238"/>
      <c r="O3238"/>
      <c r="P3238"/>
      <c r="Q3238"/>
      <c r="R3238"/>
    </row>
    <row r="3239" customHeight="1" spans="1:18">
      <c r="A3239"/>
      <c r="B3239"/>
      <c r="C3239"/>
      <c r="D3239"/>
      <c r="E3239"/>
      <c r="F3239"/>
      <c r="G3239"/>
      <c r="H3239"/>
      <c r="I3239"/>
      <c r="J3239"/>
      <c r="K3239"/>
      <c r="M3239"/>
      <c r="N3239"/>
      <c r="O3239"/>
      <c r="P3239"/>
      <c r="Q3239"/>
      <c r="R3239"/>
    </row>
    <row r="3240" customHeight="1" spans="1:18">
      <c r="A3240"/>
      <c r="B3240"/>
      <c r="C3240"/>
      <c r="D3240"/>
      <c r="E3240"/>
      <c r="F3240"/>
      <c r="G3240"/>
      <c r="H3240"/>
      <c r="I3240"/>
      <c r="J3240"/>
      <c r="K3240"/>
      <c r="M3240"/>
      <c r="N3240"/>
      <c r="O3240"/>
      <c r="P3240"/>
      <c r="Q3240"/>
      <c r="R3240"/>
    </row>
    <row r="3241" customHeight="1" spans="1:18">
      <c r="A3241"/>
      <c r="B3241"/>
      <c r="C3241"/>
      <c r="D3241"/>
      <c r="E3241"/>
      <c r="F3241"/>
      <c r="G3241"/>
      <c r="H3241"/>
      <c r="I3241"/>
      <c r="J3241"/>
      <c r="K3241"/>
      <c r="M3241"/>
      <c r="N3241"/>
      <c r="O3241"/>
      <c r="P3241"/>
      <c r="Q3241"/>
      <c r="R3241"/>
    </row>
    <row r="3242" customHeight="1" spans="1:18">
      <c r="A3242"/>
      <c r="B3242"/>
      <c r="C3242"/>
      <c r="D3242"/>
      <c r="E3242"/>
      <c r="F3242"/>
      <c r="G3242"/>
      <c r="H3242"/>
      <c r="I3242"/>
      <c r="J3242"/>
      <c r="K3242"/>
      <c r="M3242"/>
      <c r="N3242"/>
      <c r="O3242"/>
      <c r="P3242"/>
      <c r="Q3242"/>
      <c r="R3242"/>
    </row>
    <row r="3243" customHeight="1" spans="1:18">
      <c r="A3243"/>
      <c r="B3243"/>
      <c r="C3243"/>
      <c r="D3243"/>
      <c r="E3243"/>
      <c r="F3243"/>
      <c r="G3243"/>
      <c r="H3243"/>
      <c r="I3243"/>
      <c r="J3243"/>
      <c r="K3243"/>
      <c r="M3243"/>
      <c r="N3243"/>
      <c r="O3243"/>
      <c r="P3243"/>
      <c r="Q3243"/>
      <c r="R3243"/>
    </row>
    <row r="3244" customHeight="1" spans="1:18">
      <c r="A3244"/>
      <c r="B3244"/>
      <c r="C3244"/>
      <c r="D3244"/>
      <c r="E3244"/>
      <c r="F3244"/>
      <c r="G3244"/>
      <c r="H3244"/>
      <c r="I3244"/>
      <c r="J3244"/>
      <c r="K3244"/>
      <c r="M3244"/>
      <c r="N3244"/>
      <c r="O3244"/>
      <c r="P3244"/>
      <c r="Q3244"/>
      <c r="R3244"/>
    </row>
    <row r="3245" customHeight="1" spans="1:18">
      <c r="A3245"/>
      <c r="B3245"/>
      <c r="C3245"/>
      <c r="D3245"/>
      <c r="E3245"/>
      <c r="F3245"/>
      <c r="G3245"/>
      <c r="H3245"/>
      <c r="I3245"/>
      <c r="J3245"/>
      <c r="K3245"/>
      <c r="M3245"/>
      <c r="N3245"/>
      <c r="O3245"/>
      <c r="P3245"/>
      <c r="Q3245"/>
      <c r="R3245"/>
    </row>
    <row r="3246" customHeight="1" spans="1:18">
      <c r="A3246"/>
      <c r="B3246"/>
      <c r="C3246"/>
      <c r="D3246"/>
      <c r="E3246"/>
      <c r="F3246"/>
      <c r="G3246"/>
      <c r="H3246"/>
      <c r="I3246"/>
      <c r="J3246"/>
      <c r="K3246"/>
      <c r="M3246"/>
      <c r="N3246"/>
      <c r="O3246"/>
      <c r="P3246"/>
      <c r="Q3246"/>
      <c r="R3246"/>
    </row>
    <row r="3247" customHeight="1" spans="1:18">
      <c r="A3247"/>
      <c r="B3247"/>
      <c r="C3247"/>
      <c r="D3247"/>
      <c r="E3247"/>
      <c r="F3247"/>
      <c r="G3247"/>
      <c r="H3247"/>
      <c r="I3247"/>
      <c r="J3247"/>
      <c r="K3247"/>
      <c r="M3247"/>
      <c r="N3247"/>
      <c r="O3247"/>
      <c r="P3247"/>
      <c r="Q3247"/>
      <c r="R3247"/>
    </row>
    <row r="3248" customHeight="1" spans="1:18">
      <c r="A3248"/>
      <c r="B3248"/>
      <c r="C3248"/>
      <c r="D3248"/>
      <c r="E3248"/>
      <c r="F3248"/>
      <c r="G3248"/>
      <c r="H3248"/>
      <c r="I3248"/>
      <c r="J3248"/>
      <c r="K3248"/>
      <c r="M3248"/>
      <c r="N3248"/>
      <c r="O3248"/>
      <c r="P3248"/>
      <c r="Q3248"/>
      <c r="R3248"/>
    </row>
    <row r="3249" customHeight="1" spans="1:18">
      <c r="A3249"/>
      <c r="B3249"/>
      <c r="C3249"/>
      <c r="D3249"/>
      <c r="E3249"/>
      <c r="F3249"/>
      <c r="G3249"/>
      <c r="H3249"/>
      <c r="I3249"/>
      <c r="J3249"/>
      <c r="K3249"/>
      <c r="M3249"/>
      <c r="N3249"/>
      <c r="O3249"/>
      <c r="P3249"/>
      <c r="Q3249"/>
      <c r="R3249"/>
    </row>
    <row r="3250" customHeight="1" spans="1:18">
      <c r="A3250"/>
      <c r="B3250"/>
      <c r="C3250"/>
      <c r="D3250"/>
      <c r="E3250"/>
      <c r="F3250"/>
      <c r="G3250"/>
      <c r="H3250"/>
      <c r="I3250"/>
      <c r="J3250"/>
      <c r="K3250"/>
      <c r="M3250"/>
      <c r="N3250"/>
      <c r="O3250"/>
      <c r="P3250"/>
      <c r="Q3250"/>
      <c r="R3250"/>
    </row>
    <row r="3251" customHeight="1" spans="1:18">
      <c r="A3251"/>
      <c r="B3251"/>
      <c r="C3251"/>
      <c r="D3251"/>
      <c r="E3251"/>
      <c r="F3251"/>
      <c r="G3251"/>
      <c r="H3251"/>
      <c r="I3251"/>
      <c r="J3251"/>
      <c r="K3251"/>
      <c r="M3251"/>
      <c r="N3251"/>
      <c r="O3251"/>
      <c r="P3251"/>
      <c r="Q3251"/>
      <c r="R3251"/>
    </row>
    <row r="3252" customHeight="1" spans="1:18">
      <c r="A3252"/>
      <c r="B3252"/>
      <c r="C3252"/>
      <c r="D3252"/>
      <c r="E3252"/>
      <c r="F3252"/>
      <c r="G3252"/>
      <c r="H3252"/>
      <c r="I3252"/>
      <c r="J3252"/>
      <c r="K3252"/>
      <c r="M3252"/>
      <c r="N3252"/>
      <c r="O3252"/>
      <c r="P3252"/>
      <c r="Q3252"/>
      <c r="R3252"/>
    </row>
    <row r="3253" customHeight="1" spans="1:18">
      <c r="A3253"/>
      <c r="B3253"/>
      <c r="C3253"/>
      <c r="D3253"/>
      <c r="E3253"/>
      <c r="F3253"/>
      <c r="G3253"/>
      <c r="H3253"/>
      <c r="I3253"/>
      <c r="J3253"/>
      <c r="K3253"/>
      <c r="M3253"/>
      <c r="N3253"/>
      <c r="O3253"/>
      <c r="P3253"/>
      <c r="Q3253"/>
      <c r="R3253"/>
    </row>
    <row r="3254" customHeight="1" spans="1:18">
      <c r="A3254"/>
      <c r="B3254"/>
      <c r="C3254"/>
      <c r="D3254"/>
      <c r="E3254"/>
      <c r="F3254"/>
      <c r="G3254"/>
      <c r="H3254"/>
      <c r="I3254"/>
      <c r="J3254"/>
      <c r="K3254"/>
      <c r="M3254"/>
      <c r="N3254"/>
      <c r="O3254"/>
      <c r="P3254"/>
      <c r="Q3254"/>
      <c r="R3254"/>
    </row>
    <row r="3255" customHeight="1" spans="1:18">
      <c r="A3255"/>
      <c r="B3255"/>
      <c r="C3255"/>
      <c r="D3255"/>
      <c r="E3255"/>
      <c r="F3255"/>
      <c r="G3255"/>
      <c r="H3255"/>
      <c r="I3255"/>
      <c r="J3255"/>
      <c r="K3255"/>
      <c r="M3255"/>
      <c r="N3255"/>
      <c r="O3255"/>
      <c r="P3255"/>
      <c r="Q3255"/>
      <c r="R3255"/>
    </row>
    <row r="3256" customHeight="1" spans="1:18">
      <c r="A3256"/>
      <c r="B3256"/>
      <c r="C3256"/>
      <c r="D3256"/>
      <c r="E3256"/>
      <c r="F3256"/>
      <c r="G3256"/>
      <c r="H3256"/>
      <c r="I3256"/>
      <c r="J3256"/>
      <c r="K3256"/>
      <c r="M3256"/>
      <c r="N3256"/>
      <c r="O3256"/>
      <c r="P3256"/>
      <c r="Q3256"/>
      <c r="R3256"/>
    </row>
    <row r="3257" customHeight="1" spans="1:18">
      <c r="A3257"/>
      <c r="B3257"/>
      <c r="C3257"/>
      <c r="D3257"/>
      <c r="E3257"/>
      <c r="F3257"/>
      <c r="G3257"/>
      <c r="H3257"/>
      <c r="I3257"/>
      <c r="J3257"/>
      <c r="K3257"/>
      <c r="M3257"/>
      <c r="N3257"/>
      <c r="O3257"/>
      <c r="P3257"/>
      <c r="Q3257"/>
      <c r="R3257"/>
    </row>
    <row r="3258" customHeight="1" spans="1:18">
      <c r="A3258"/>
      <c r="B3258"/>
      <c r="C3258"/>
      <c r="D3258"/>
      <c r="E3258"/>
      <c r="F3258"/>
      <c r="G3258"/>
      <c r="H3258"/>
      <c r="I3258"/>
      <c r="J3258"/>
      <c r="K3258"/>
      <c r="M3258"/>
      <c r="N3258"/>
      <c r="O3258"/>
      <c r="P3258"/>
      <c r="Q3258"/>
      <c r="R3258"/>
    </row>
    <row r="3259" customHeight="1" spans="1:18">
      <c r="A3259"/>
      <c r="B3259"/>
      <c r="C3259"/>
      <c r="D3259"/>
      <c r="E3259"/>
      <c r="F3259"/>
      <c r="G3259"/>
      <c r="H3259"/>
      <c r="I3259"/>
      <c r="J3259"/>
      <c r="K3259"/>
      <c r="M3259"/>
      <c r="N3259"/>
      <c r="O3259"/>
      <c r="P3259"/>
      <c r="Q3259"/>
      <c r="R3259"/>
    </row>
    <row r="3260" customHeight="1" spans="1:18">
      <c r="A3260"/>
      <c r="B3260"/>
      <c r="C3260"/>
      <c r="D3260"/>
      <c r="E3260"/>
      <c r="F3260"/>
      <c r="G3260"/>
      <c r="H3260"/>
      <c r="I3260"/>
      <c r="J3260"/>
      <c r="K3260"/>
      <c r="M3260"/>
      <c r="N3260"/>
      <c r="O3260"/>
      <c r="P3260"/>
      <c r="Q3260"/>
      <c r="R3260"/>
    </row>
    <row r="3261" customHeight="1" spans="1:18">
      <c r="A3261"/>
      <c r="B3261"/>
      <c r="C3261"/>
      <c r="D3261"/>
      <c r="E3261"/>
      <c r="F3261"/>
      <c r="G3261"/>
      <c r="H3261"/>
      <c r="I3261"/>
      <c r="J3261"/>
      <c r="K3261"/>
      <c r="M3261"/>
      <c r="N3261"/>
      <c r="O3261"/>
      <c r="P3261"/>
      <c r="Q3261"/>
      <c r="R3261"/>
    </row>
    <row r="3262" customHeight="1" spans="1:18">
      <c r="A3262"/>
      <c r="B3262"/>
      <c r="C3262"/>
      <c r="D3262"/>
      <c r="E3262"/>
      <c r="F3262"/>
      <c r="G3262"/>
      <c r="H3262"/>
      <c r="I3262"/>
      <c r="J3262"/>
      <c r="K3262"/>
      <c r="M3262"/>
      <c r="N3262"/>
      <c r="O3262"/>
      <c r="P3262"/>
      <c r="Q3262"/>
      <c r="R3262"/>
    </row>
    <row r="3263" customHeight="1" spans="1:18">
      <c r="A3263"/>
      <c r="B3263"/>
      <c r="C3263"/>
      <c r="D3263"/>
      <c r="E3263"/>
      <c r="F3263"/>
      <c r="G3263"/>
      <c r="H3263"/>
      <c r="I3263"/>
      <c r="J3263"/>
      <c r="K3263"/>
      <c r="M3263"/>
      <c r="N3263"/>
      <c r="O3263"/>
      <c r="P3263"/>
      <c r="Q3263"/>
      <c r="R3263"/>
    </row>
    <row r="3264" customHeight="1" spans="1:18">
      <c r="A3264"/>
      <c r="B3264"/>
      <c r="C3264"/>
      <c r="D3264"/>
      <c r="E3264"/>
      <c r="F3264"/>
      <c r="G3264"/>
      <c r="H3264"/>
      <c r="I3264"/>
      <c r="J3264"/>
      <c r="K3264"/>
      <c r="M3264"/>
      <c r="N3264"/>
      <c r="O3264"/>
      <c r="P3264"/>
      <c r="Q3264"/>
      <c r="R3264"/>
    </row>
    <row r="3265" customHeight="1" spans="1:18">
      <c r="A3265"/>
      <c r="B3265"/>
      <c r="C3265"/>
      <c r="D3265"/>
      <c r="E3265"/>
      <c r="F3265"/>
      <c r="G3265"/>
      <c r="H3265"/>
      <c r="I3265"/>
      <c r="J3265"/>
      <c r="K3265"/>
      <c r="M3265"/>
      <c r="N3265"/>
      <c r="O3265"/>
      <c r="P3265"/>
      <c r="Q3265"/>
      <c r="R3265"/>
    </row>
    <row r="3266" customHeight="1" spans="1:18">
      <c r="A3266"/>
      <c r="B3266"/>
      <c r="C3266"/>
      <c r="D3266"/>
      <c r="E3266"/>
      <c r="F3266"/>
      <c r="G3266"/>
      <c r="H3266"/>
      <c r="I3266"/>
      <c r="J3266"/>
      <c r="K3266"/>
      <c r="M3266"/>
      <c r="N3266"/>
      <c r="O3266"/>
      <c r="P3266"/>
      <c r="Q3266"/>
      <c r="R3266"/>
    </row>
    <row r="3267" customHeight="1" spans="1:18">
      <c r="A3267"/>
      <c r="B3267"/>
      <c r="C3267"/>
      <c r="D3267"/>
      <c r="E3267"/>
      <c r="F3267"/>
      <c r="G3267"/>
      <c r="H3267"/>
      <c r="I3267"/>
      <c r="J3267"/>
      <c r="K3267"/>
      <c r="M3267"/>
      <c r="N3267"/>
      <c r="O3267"/>
      <c r="P3267"/>
      <c r="Q3267"/>
      <c r="R3267"/>
    </row>
    <row r="3268" customHeight="1" spans="1:18">
      <c r="A3268"/>
      <c r="B3268"/>
      <c r="C3268"/>
      <c r="D3268"/>
      <c r="E3268"/>
      <c r="F3268"/>
      <c r="G3268"/>
      <c r="H3268"/>
      <c r="I3268"/>
      <c r="J3268"/>
      <c r="K3268"/>
      <c r="M3268"/>
      <c r="N3268"/>
      <c r="O3268"/>
      <c r="P3268"/>
      <c r="Q3268"/>
      <c r="R3268"/>
    </row>
    <row r="3269" customHeight="1" spans="1:18">
      <c r="A3269"/>
      <c r="B3269"/>
      <c r="C3269"/>
      <c r="D3269"/>
      <c r="E3269"/>
      <c r="F3269"/>
      <c r="G3269"/>
      <c r="H3269"/>
      <c r="I3269"/>
      <c r="J3269"/>
      <c r="K3269"/>
      <c r="M3269"/>
      <c r="N3269"/>
      <c r="O3269"/>
      <c r="P3269"/>
      <c r="Q3269"/>
      <c r="R3269"/>
    </row>
    <row r="3270" customHeight="1" spans="1:18">
      <c r="A3270"/>
      <c r="B3270"/>
      <c r="C3270"/>
      <c r="D3270"/>
      <c r="E3270"/>
      <c r="F3270"/>
      <c r="G3270"/>
      <c r="H3270"/>
      <c r="I3270"/>
      <c r="J3270"/>
      <c r="K3270"/>
      <c r="M3270"/>
      <c r="N3270"/>
      <c r="O3270"/>
      <c r="P3270"/>
      <c r="Q3270"/>
      <c r="R3270"/>
    </row>
    <row r="3271" customHeight="1" spans="1:18">
      <c r="A3271"/>
      <c r="B3271"/>
      <c r="C3271"/>
      <c r="D3271"/>
      <c r="E3271"/>
      <c r="F3271"/>
      <c r="G3271"/>
      <c r="H3271"/>
      <c r="I3271"/>
      <c r="J3271"/>
      <c r="K3271"/>
      <c r="M3271"/>
      <c r="N3271"/>
      <c r="O3271"/>
      <c r="P3271"/>
      <c r="Q3271"/>
      <c r="R3271"/>
    </row>
    <row r="3272" customHeight="1" spans="1:18">
      <c r="A3272"/>
      <c r="B3272"/>
      <c r="C3272"/>
      <c r="D3272"/>
      <c r="E3272"/>
      <c r="F3272"/>
      <c r="G3272"/>
      <c r="H3272"/>
      <c r="I3272"/>
      <c r="J3272"/>
      <c r="K3272"/>
      <c r="M3272"/>
      <c r="N3272"/>
      <c r="O3272"/>
      <c r="P3272"/>
      <c r="Q3272"/>
      <c r="R3272"/>
    </row>
    <row r="3273" customHeight="1" spans="1:12">
      <c r="A3273" s="176" t="s">
        <v>1204</v>
      </c>
      <c r="B3273" s="175"/>
      <c r="C3273" s="175"/>
      <c r="D3273" s="175"/>
      <c r="E3273" s="175"/>
      <c r="F3273" s="175"/>
      <c r="G3273" s="176" t="s">
        <v>1204</v>
      </c>
      <c r="H3273" s="175"/>
      <c r="I3273" s="175"/>
      <c r="J3273" s="175"/>
      <c r="K3273" s="175"/>
      <c r="L3273" s="175"/>
    </row>
    <row r="3274" customHeight="1" spans="1:12">
      <c r="A3274" s="242" t="s">
        <v>1476</v>
      </c>
      <c r="C3274" s="243"/>
      <c r="D3274" s="243"/>
      <c r="E3274" s="243"/>
      <c r="F3274" s="243"/>
      <c r="G3274" s="242" t="s">
        <v>1477</v>
      </c>
      <c r="H3274" s="243"/>
      <c r="I3274" s="243"/>
      <c r="J3274" s="243"/>
      <c r="K3274" s="243"/>
      <c r="L3274" s="243"/>
    </row>
    <row r="3275" customHeight="1" spans="1:12">
      <c r="A3275" s="190" t="s">
        <v>1478</v>
      </c>
      <c r="B3275" s="191"/>
      <c r="C3275" s="243"/>
      <c r="D3275" s="243"/>
      <c r="E3275" s="191" t="s">
        <v>1479</v>
      </c>
      <c r="F3275" s="191"/>
      <c r="G3275" s="190" t="s">
        <v>1480</v>
      </c>
      <c r="H3275" s="191"/>
      <c r="I3275" s="243"/>
      <c r="J3275" s="243"/>
      <c r="K3275" s="191" t="s">
        <v>1479</v>
      </c>
      <c r="L3275" s="191"/>
    </row>
    <row r="3276" customHeight="1" spans="1:12">
      <c r="A3276" s="197" t="s">
        <v>1481</v>
      </c>
      <c r="B3276" s="192"/>
      <c r="C3276" s="192"/>
      <c r="D3276" s="192"/>
      <c r="E3276" s="192"/>
      <c r="F3276" s="118"/>
      <c r="G3276" s="197" t="s">
        <v>1482</v>
      </c>
      <c r="H3276" s="192"/>
      <c r="I3276" s="192"/>
      <c r="J3276" s="192"/>
      <c r="K3276" s="192"/>
      <c r="L3276" s="118"/>
    </row>
    <row r="3277" customHeight="1" spans="1:12">
      <c r="A3277" s="57" t="s">
        <v>354</v>
      </c>
      <c r="B3277" s="57" t="s">
        <v>956</v>
      </c>
      <c r="C3277" s="57" t="s">
        <v>52</v>
      </c>
      <c r="D3277" s="57" t="s">
        <v>855</v>
      </c>
      <c r="E3277" s="57" t="s">
        <v>53</v>
      </c>
      <c r="F3277" s="57" t="s">
        <v>306</v>
      </c>
      <c r="G3277" s="57" t="s">
        <v>354</v>
      </c>
      <c r="H3277" s="57" t="s">
        <v>956</v>
      </c>
      <c r="I3277" s="57" t="s">
        <v>52</v>
      </c>
      <c r="J3277" s="57" t="s">
        <v>855</v>
      </c>
      <c r="K3277" s="57" t="s">
        <v>53</v>
      </c>
      <c r="L3277" s="57" t="s">
        <v>306</v>
      </c>
    </row>
    <row r="3278" customHeight="1" spans="1:12">
      <c r="A3278" s="57" t="s">
        <v>959</v>
      </c>
      <c r="B3278" s="57" t="s">
        <v>960</v>
      </c>
      <c r="C3278" s="57"/>
      <c r="D3278" s="57"/>
      <c r="E3278" s="57"/>
      <c r="F3278" s="84">
        <f>F3279+F3295+F3296</f>
        <v>49497.3265610754</v>
      </c>
      <c r="G3278" s="57" t="s">
        <v>959</v>
      </c>
      <c r="H3278" s="57" t="s">
        <v>960</v>
      </c>
      <c r="I3278" s="57"/>
      <c r="J3278" s="57"/>
      <c r="K3278" s="57"/>
      <c r="L3278" s="84">
        <f>L3279+L3295+L3296</f>
        <v>52583.2131351529</v>
      </c>
    </row>
    <row r="3279" customHeight="1" spans="1:12">
      <c r="A3279" s="57" t="s">
        <v>59</v>
      </c>
      <c r="B3279" s="57" t="s">
        <v>957</v>
      </c>
      <c r="C3279" s="57"/>
      <c r="D3279" s="57"/>
      <c r="E3279" s="57"/>
      <c r="F3279" s="84">
        <f>F3280+F3283+F3290</f>
        <v>47230.2734361407</v>
      </c>
      <c r="G3279" s="57" t="s">
        <v>59</v>
      </c>
      <c r="H3279" s="57" t="s">
        <v>957</v>
      </c>
      <c r="I3279" s="57"/>
      <c r="J3279" s="57"/>
      <c r="K3279" s="57"/>
      <c r="L3279" s="84">
        <f>L3280+L3283+L3290</f>
        <v>50174.8216938481</v>
      </c>
    </row>
    <row r="3280" customHeight="1" spans="1:12">
      <c r="A3280" s="57">
        <v>1</v>
      </c>
      <c r="B3280" s="57" t="s">
        <v>964</v>
      </c>
      <c r="C3280" s="57" t="s">
        <v>965</v>
      </c>
      <c r="D3280" s="84"/>
      <c r="E3280" s="113">
        <f>SUM(E3281:E3282)</f>
        <v>1821</v>
      </c>
      <c r="F3280" s="113">
        <f>SUM(F3281:F3282)</f>
        <v>12205.74</v>
      </c>
      <c r="G3280" s="57">
        <v>1</v>
      </c>
      <c r="H3280" s="57" t="s">
        <v>964</v>
      </c>
      <c r="I3280" s="57" t="s">
        <v>965</v>
      </c>
      <c r="J3280" s="84"/>
      <c r="K3280" s="113">
        <f>SUM(K3281:K3282)</f>
        <v>632</v>
      </c>
      <c r="L3280" s="113">
        <f>SUM(L3281:L3282)</f>
        <v>4236.13</v>
      </c>
    </row>
    <row r="3281" s="307" customFormat="1" customHeight="1" spans="1:12">
      <c r="A3281" s="57"/>
      <c r="B3281" s="57" t="s">
        <v>966</v>
      </c>
      <c r="C3281" s="57" t="s">
        <v>965</v>
      </c>
      <c r="D3281" s="113">
        <f>建筑工程单价分析表!D961</f>
        <v>8.1</v>
      </c>
      <c r="E3281" s="113">
        <f>636+31*3</f>
        <v>729</v>
      </c>
      <c r="F3281" s="113">
        <f t="shared" ref="F3281:F3285" si="368">D3281*E3281</f>
        <v>5904.9</v>
      </c>
      <c r="G3281" s="57"/>
      <c r="H3281" s="57" t="s">
        <v>966</v>
      </c>
      <c r="I3281" s="57" t="s">
        <v>965</v>
      </c>
      <c r="J3281" s="113">
        <f t="shared" ref="J3281:J3284" si="369">D3281</f>
        <v>8.1</v>
      </c>
      <c r="K3281" s="113">
        <v>253</v>
      </c>
      <c r="L3281" s="113">
        <f t="shared" ref="L3281:L3286" si="370">J3281*K3281</f>
        <v>2049.3</v>
      </c>
    </row>
    <row r="3282" s="307" customFormat="1" customHeight="1" spans="1:12">
      <c r="A3282" s="57"/>
      <c r="B3282" s="57" t="s">
        <v>968</v>
      </c>
      <c r="C3282" s="57" t="s">
        <v>965</v>
      </c>
      <c r="D3282" s="113">
        <f>建筑工程单价分析表!D962</f>
        <v>5.77</v>
      </c>
      <c r="E3282" s="113">
        <f>954+46*3</f>
        <v>1092</v>
      </c>
      <c r="F3282" s="113">
        <f t="shared" si="368"/>
        <v>6300.84</v>
      </c>
      <c r="G3282" s="57"/>
      <c r="H3282" s="57" t="s">
        <v>968</v>
      </c>
      <c r="I3282" s="57" t="s">
        <v>965</v>
      </c>
      <c r="J3282" s="113">
        <f t="shared" si="369"/>
        <v>5.77</v>
      </c>
      <c r="K3282" s="113">
        <v>379</v>
      </c>
      <c r="L3282" s="113">
        <f t="shared" si="370"/>
        <v>2186.83</v>
      </c>
    </row>
    <row r="3283" customHeight="1" spans="1:12">
      <c r="A3283" s="57">
        <v>2</v>
      </c>
      <c r="B3283" s="57" t="s">
        <v>1219</v>
      </c>
      <c r="C3283" s="57"/>
      <c r="D3283" s="84"/>
      <c r="E3283" s="84"/>
      <c r="F3283" s="84">
        <f>SUM(F3284:F3289)</f>
        <v>34935.146748522</v>
      </c>
      <c r="G3283" s="57">
        <v>2</v>
      </c>
      <c r="H3283" s="57" t="s">
        <v>1219</v>
      </c>
      <c r="I3283" s="57"/>
      <c r="J3283" s="84"/>
      <c r="K3283" s="84"/>
      <c r="L3283" s="84">
        <f>SUM(L3284:L3289)</f>
        <v>44370.519819975</v>
      </c>
    </row>
    <row r="3284" customHeight="1" spans="1:12">
      <c r="A3284" s="57"/>
      <c r="B3284" s="244" t="s">
        <v>1272</v>
      </c>
      <c r="C3284" s="57" t="s">
        <v>1188</v>
      </c>
      <c r="D3284" s="84">
        <f>材料预算价!K10</f>
        <v>2232.665025</v>
      </c>
      <c r="E3284" s="84">
        <f>0.23+0.01*3</f>
        <v>0.26</v>
      </c>
      <c r="F3284" s="84">
        <f t="shared" si="368"/>
        <v>580.4929065</v>
      </c>
      <c r="G3284" s="57"/>
      <c r="H3284" s="244" t="s">
        <v>1272</v>
      </c>
      <c r="I3284" s="57" t="s">
        <v>1188</v>
      </c>
      <c r="J3284" s="84">
        <f t="shared" si="369"/>
        <v>2232.665025</v>
      </c>
      <c r="K3284" s="84">
        <v>0.1</v>
      </c>
      <c r="L3284" s="84">
        <f t="shared" si="370"/>
        <v>223.2665025</v>
      </c>
    </row>
    <row r="3285" customHeight="1" spans="1:12">
      <c r="A3285" s="57"/>
      <c r="B3285" s="57" t="s">
        <v>1292</v>
      </c>
      <c r="C3285" s="57" t="s">
        <v>1188</v>
      </c>
      <c r="D3285" s="84">
        <f>配合比!M10</f>
        <v>183.3858985</v>
      </c>
      <c r="E3285" s="84">
        <f>153+10.2*3</f>
        <v>183.6</v>
      </c>
      <c r="F3285" s="84">
        <f t="shared" si="368"/>
        <v>33669.6509646</v>
      </c>
      <c r="G3285" s="57"/>
      <c r="H3285" s="57" t="s">
        <v>1120</v>
      </c>
      <c r="I3285" s="57" t="s">
        <v>1188</v>
      </c>
      <c r="J3285" s="84">
        <f>建筑工程单价分析表!D694</f>
        <v>52.80696</v>
      </c>
      <c r="K3285" s="84">
        <f>11+62</f>
        <v>73</v>
      </c>
      <c r="L3285" s="84">
        <f t="shared" si="370"/>
        <v>3854.90808</v>
      </c>
    </row>
    <row r="3286" customHeight="1" spans="1:12">
      <c r="A3286" s="57"/>
      <c r="B3286" s="57"/>
      <c r="C3286" s="57"/>
      <c r="D3286" s="84"/>
      <c r="E3286" s="84"/>
      <c r="F3286" s="84"/>
      <c r="G3286" s="57"/>
      <c r="H3286" s="57" t="s">
        <v>1483</v>
      </c>
      <c r="I3286" s="57" t="s">
        <v>1188</v>
      </c>
      <c r="J3286" s="84">
        <v>350</v>
      </c>
      <c r="K3286" s="84">
        <v>21</v>
      </c>
      <c r="L3286" s="84">
        <f t="shared" si="370"/>
        <v>7350</v>
      </c>
    </row>
    <row r="3287" customHeight="1" spans="1:12">
      <c r="A3287" s="57"/>
      <c r="B3287" s="57"/>
      <c r="C3287" s="57"/>
      <c r="D3287" s="84"/>
      <c r="E3287" s="84"/>
      <c r="F3287" s="84"/>
      <c r="G3287" s="57"/>
      <c r="H3287" s="57" t="s">
        <v>1484</v>
      </c>
      <c r="I3287" s="57" t="s">
        <v>69</v>
      </c>
      <c r="J3287" s="84">
        <v>750</v>
      </c>
      <c r="K3287" s="84">
        <v>3</v>
      </c>
      <c r="L3287" s="84">
        <f t="shared" ref="L3287:L3293" si="371">J3287*K3287</f>
        <v>2250</v>
      </c>
    </row>
    <row r="3288" customHeight="1" spans="1:12">
      <c r="A3288" s="57"/>
      <c r="B3288" s="57"/>
      <c r="C3288" s="57"/>
      <c r="D3288" s="84"/>
      <c r="E3288" s="84"/>
      <c r="F3288" s="84"/>
      <c r="G3288" s="57"/>
      <c r="H3288" s="57" t="s">
        <v>1403</v>
      </c>
      <c r="I3288" s="57" t="s">
        <v>69</v>
      </c>
      <c r="J3288" s="84">
        <v>4200</v>
      </c>
      <c r="K3288" s="84">
        <v>7</v>
      </c>
      <c r="L3288" s="84">
        <f t="shared" si="371"/>
        <v>29400</v>
      </c>
    </row>
    <row r="3289" customHeight="1" spans="1:12">
      <c r="A3289" s="57"/>
      <c r="B3289" s="57" t="s">
        <v>1163</v>
      </c>
      <c r="C3289" s="59" t="s">
        <v>423</v>
      </c>
      <c r="D3289" s="84">
        <f>F3284+F3285</f>
        <v>34250.1438711</v>
      </c>
      <c r="E3289" s="84">
        <v>2</v>
      </c>
      <c r="F3289" s="84">
        <f>D3289*E3289/100</f>
        <v>685.002877422</v>
      </c>
      <c r="G3289" s="57"/>
      <c r="H3289" s="57" t="s">
        <v>1163</v>
      </c>
      <c r="I3289" s="59" t="s">
        <v>423</v>
      </c>
      <c r="J3289" s="84">
        <f>L3284+L3285+L3286+L3287+L3288</f>
        <v>43078.1745825</v>
      </c>
      <c r="K3289" s="84">
        <v>3</v>
      </c>
      <c r="L3289" s="84">
        <f>J3289*K3289/100</f>
        <v>1292.345237475</v>
      </c>
    </row>
    <row r="3290" customHeight="1" spans="1:12">
      <c r="A3290" s="57">
        <v>3</v>
      </c>
      <c r="B3290" s="57" t="s">
        <v>1171</v>
      </c>
      <c r="C3290" s="57"/>
      <c r="D3290" s="84"/>
      <c r="E3290" s="84"/>
      <c r="F3290" s="84">
        <f>SUM(F3294:F3294)</f>
        <v>89.3866876186677</v>
      </c>
      <c r="G3290" s="57">
        <v>3</v>
      </c>
      <c r="H3290" s="57" t="s">
        <v>1171</v>
      </c>
      <c r="I3290" s="57"/>
      <c r="J3290" s="84"/>
      <c r="K3290" s="84"/>
      <c r="L3290" s="84">
        <f>SUM(L3291:L3294)</f>
        <v>1568.17187387315</v>
      </c>
    </row>
    <row r="3291" customHeight="1" spans="1:12">
      <c r="A3291" s="57"/>
      <c r="B3291" s="57" t="s">
        <v>1485</v>
      </c>
      <c r="C3291" s="57" t="s">
        <v>988</v>
      </c>
      <c r="D3291" s="84">
        <f>台时!D42</f>
        <v>23.7459521340247</v>
      </c>
      <c r="E3291" s="348">
        <f>24+1.6*3</f>
        <v>28.8</v>
      </c>
      <c r="F3291" s="84">
        <f>D3291*E3291</f>
        <v>683.883421459912</v>
      </c>
      <c r="G3291" s="57"/>
      <c r="H3291" s="57" t="s">
        <v>1485</v>
      </c>
      <c r="I3291" s="57" t="s">
        <v>988</v>
      </c>
      <c r="J3291" s="84">
        <f>D3291</f>
        <v>23.7459521340247</v>
      </c>
      <c r="K3291" s="348">
        <v>13</v>
      </c>
      <c r="L3291" s="84">
        <f t="shared" si="371"/>
        <v>308.697377742321</v>
      </c>
    </row>
    <row r="3292" customHeight="1" spans="1:12">
      <c r="A3292" s="57"/>
      <c r="B3292" s="57"/>
      <c r="C3292" s="57"/>
      <c r="D3292" s="84"/>
      <c r="E3292" s="348"/>
      <c r="F3292" s="84"/>
      <c r="G3292" s="57"/>
      <c r="H3292" s="57" t="s">
        <v>1486</v>
      </c>
      <c r="I3292" s="57" t="s">
        <v>988</v>
      </c>
      <c r="J3292" s="84">
        <f>建筑工程单价分析表!D699</f>
        <v>63.5282110091743</v>
      </c>
      <c r="K3292" s="348">
        <f>7.5</f>
        <v>7.5</v>
      </c>
      <c r="L3292" s="84">
        <f t="shared" si="371"/>
        <v>476.461582568807</v>
      </c>
    </row>
    <row r="3293" customHeight="1" spans="1:12">
      <c r="A3293" s="57"/>
      <c r="B3293" s="57" t="s">
        <v>1210</v>
      </c>
      <c r="C3293" s="57" t="s">
        <v>988</v>
      </c>
      <c r="D3293" s="84">
        <f>台时!G189</f>
        <v>73.10267092142</v>
      </c>
      <c r="E3293" s="348">
        <f>10+1.7*3</f>
        <v>15.1</v>
      </c>
      <c r="F3293" s="84">
        <f>D3293*E3293</f>
        <v>1103.85033091344</v>
      </c>
      <c r="G3293" s="57"/>
      <c r="H3293" s="57" t="s">
        <v>1210</v>
      </c>
      <c r="I3293" s="57" t="s">
        <v>988</v>
      </c>
      <c r="J3293" s="84">
        <f>D3293</f>
        <v>73.10267092142</v>
      </c>
      <c r="K3293" s="348">
        <v>10</v>
      </c>
      <c r="L3293" s="84">
        <f t="shared" si="371"/>
        <v>731.0267092142</v>
      </c>
    </row>
    <row r="3294" customHeight="1" spans="1:12">
      <c r="A3294" s="57"/>
      <c r="B3294" s="57" t="s">
        <v>1223</v>
      </c>
      <c r="C3294" s="59" t="s">
        <v>423</v>
      </c>
      <c r="D3294" s="84">
        <f>F3291+F3293</f>
        <v>1787.73375237335</v>
      </c>
      <c r="E3294" s="84">
        <v>5</v>
      </c>
      <c r="F3294" s="84">
        <f>D3294*E3294/100</f>
        <v>89.3866876186677</v>
      </c>
      <c r="G3294" s="57"/>
      <c r="H3294" s="57" t="s">
        <v>1223</v>
      </c>
      <c r="I3294" s="59" t="s">
        <v>423</v>
      </c>
      <c r="J3294" s="84">
        <f>L3291+L3293</f>
        <v>1039.72408695652</v>
      </c>
      <c r="K3294" s="84">
        <v>5</v>
      </c>
      <c r="L3294" s="84">
        <f>J3294*K3294/100</f>
        <v>51.9862043478261</v>
      </c>
    </row>
    <row r="3295" customHeight="1" spans="1:12">
      <c r="A3295" s="57" t="s">
        <v>70</v>
      </c>
      <c r="B3295" s="57" t="s">
        <v>977</v>
      </c>
      <c r="C3295" s="194">
        <f>取费表!$C$7</f>
        <v>0.048</v>
      </c>
      <c r="D3295" s="84"/>
      <c r="E3295" s="84">
        <f>F3279</f>
        <v>47230.2734361407</v>
      </c>
      <c r="F3295" s="84">
        <f t="shared" ref="F3295:F3298" si="372">E3295*C3295</f>
        <v>2267.05312493475</v>
      </c>
      <c r="G3295" s="57" t="s">
        <v>70</v>
      </c>
      <c r="H3295" s="57" t="s">
        <v>977</v>
      </c>
      <c r="I3295" s="194">
        <f>取费表!$C$7</f>
        <v>0.048</v>
      </c>
      <c r="J3295" s="84"/>
      <c r="K3295" s="84">
        <f>L3279</f>
        <v>50174.8216938481</v>
      </c>
      <c r="L3295" s="84">
        <f t="shared" ref="L3295:L3298" si="373">K3295*I3295</f>
        <v>2408.39144130471</v>
      </c>
    </row>
    <row r="3296" customHeight="1" spans="1:12">
      <c r="A3296" s="57"/>
      <c r="B3296" s="57"/>
      <c r="C3296" s="194"/>
      <c r="D3296" s="84"/>
      <c r="E3296" s="84"/>
      <c r="F3296" s="84"/>
      <c r="G3296" s="57"/>
      <c r="H3296" s="57"/>
      <c r="I3296" s="194"/>
      <c r="J3296" s="84"/>
      <c r="K3296" s="84"/>
      <c r="L3296" s="84"/>
    </row>
    <row r="3297" customHeight="1" spans="1:12">
      <c r="A3297" s="57" t="s">
        <v>979</v>
      </c>
      <c r="B3297" s="57" t="s">
        <v>973</v>
      </c>
      <c r="C3297" s="194">
        <f>取费表!E12</f>
        <v>0.0725</v>
      </c>
      <c r="D3297" s="84"/>
      <c r="E3297" s="84">
        <f>F3278</f>
        <v>49497.3265610754</v>
      </c>
      <c r="F3297" s="84">
        <f t="shared" si="372"/>
        <v>3588.55617567797</v>
      </c>
      <c r="G3297" s="57" t="s">
        <v>979</v>
      </c>
      <c r="H3297" s="57" t="s">
        <v>973</v>
      </c>
      <c r="I3297" s="194">
        <f>C3297</f>
        <v>0.0725</v>
      </c>
      <c r="J3297" s="84"/>
      <c r="K3297" s="84">
        <f>L3278</f>
        <v>52583.2131351529</v>
      </c>
      <c r="L3297" s="84">
        <f t="shared" si="373"/>
        <v>3812.28295229858</v>
      </c>
    </row>
    <row r="3298" customHeight="1" spans="1:12">
      <c r="A3298" s="57" t="s">
        <v>162</v>
      </c>
      <c r="B3298" s="57" t="s">
        <v>980</v>
      </c>
      <c r="C3298" s="194">
        <f>取费表!F12</f>
        <v>0.05</v>
      </c>
      <c r="D3298" s="84"/>
      <c r="E3298" s="84">
        <f>F3297+F3278</f>
        <v>53085.8827367534</v>
      </c>
      <c r="F3298" s="84">
        <f t="shared" si="372"/>
        <v>2654.29413683767</v>
      </c>
      <c r="G3298" s="57" t="s">
        <v>162</v>
      </c>
      <c r="H3298" s="57" t="s">
        <v>980</v>
      </c>
      <c r="I3298" s="194">
        <f>C3298</f>
        <v>0.05</v>
      </c>
      <c r="J3298" s="84"/>
      <c r="K3298" s="84">
        <f>L3297+L3278</f>
        <v>56395.4960874514</v>
      </c>
      <c r="L3298" s="84">
        <f t="shared" si="373"/>
        <v>2819.77480437257</v>
      </c>
    </row>
    <row r="3299" s="310" customFormat="1" customHeight="1" spans="1:12">
      <c r="A3299" s="55" t="s">
        <v>214</v>
      </c>
      <c r="B3299" s="55" t="s">
        <v>1173</v>
      </c>
      <c r="C3299" s="253"/>
      <c r="D3299" s="254"/>
      <c r="E3299" s="55"/>
      <c r="F3299" s="255">
        <f>F3300+F3305</f>
        <v>18061.4426845955</v>
      </c>
      <c r="G3299" s="55" t="s">
        <v>214</v>
      </c>
      <c r="H3299" s="55" t="s">
        <v>1173</v>
      </c>
      <c r="I3299" s="253"/>
      <c r="J3299" s="254"/>
      <c r="K3299" s="55"/>
      <c r="L3299" s="255">
        <f>L3300+L3305</f>
        <v>7310.02461105885</v>
      </c>
    </row>
    <row r="3300" customHeight="1" spans="1:12">
      <c r="A3300" s="57">
        <v>1</v>
      </c>
      <c r="B3300" s="57" t="s">
        <v>1288</v>
      </c>
      <c r="C3300" s="59"/>
      <c r="D3300" s="84"/>
      <c r="E3300" s="57"/>
      <c r="F3300" s="113">
        <f>SUM(F3301:F3304)</f>
        <v>17312.9054845955</v>
      </c>
      <c r="G3300" s="57">
        <v>1</v>
      </c>
      <c r="H3300" s="57" t="s">
        <v>1288</v>
      </c>
      <c r="I3300" s="59"/>
      <c r="J3300" s="84"/>
      <c r="K3300" s="57"/>
      <c r="L3300" s="113">
        <f>SUM(L3301:L3304)</f>
        <v>6577.37961105885</v>
      </c>
    </row>
    <row r="3301" customHeight="1" spans="1:12">
      <c r="A3301" s="57"/>
      <c r="B3301" s="57" t="s">
        <v>1141</v>
      </c>
      <c r="C3301" s="57" t="s">
        <v>1188</v>
      </c>
      <c r="D3301" s="84">
        <f>材料预算价!K5-材料预算价!L5</f>
        <v>156.64017</v>
      </c>
      <c r="E3301" s="88">
        <f>E3285*配合比!E10</f>
        <v>62.4520908</v>
      </c>
      <c r="F3301" s="113">
        <f t="shared" ref="F3301:F3303" si="374">E3301*D3301</f>
        <v>9782.50611976744</v>
      </c>
      <c r="G3301" s="57"/>
      <c r="H3301" s="57" t="s">
        <v>1141</v>
      </c>
      <c r="I3301" s="57" t="s">
        <v>1188</v>
      </c>
      <c r="J3301" s="84">
        <f t="shared" ref="J3301:J3303" si="375">D3301</f>
        <v>156.64017</v>
      </c>
      <c r="K3301" s="88">
        <f>K3285*配合比!E8</f>
        <v>22.425381</v>
      </c>
      <c r="L3301" s="113">
        <f t="shared" ref="L3301:L3303" si="376">K3301*J3301</f>
        <v>3512.71549215477</v>
      </c>
    </row>
    <row r="3302" customHeight="1" spans="1:12">
      <c r="A3302" s="57"/>
      <c r="B3302" s="57" t="s">
        <v>1142</v>
      </c>
      <c r="C3302" s="57" t="s">
        <v>1188</v>
      </c>
      <c r="D3302" s="348">
        <f>材料预算价!K7-材料预算价!L7</f>
        <v>44.826214</v>
      </c>
      <c r="E3302" s="88">
        <f>E3285*配合比!G10</f>
        <v>96.981192</v>
      </c>
      <c r="F3302" s="113">
        <f t="shared" si="374"/>
        <v>4347.29966656709</v>
      </c>
      <c r="G3302" s="57"/>
      <c r="H3302" s="57" t="s">
        <v>1142</v>
      </c>
      <c r="I3302" s="57" t="s">
        <v>1188</v>
      </c>
      <c r="J3302" s="348">
        <f t="shared" si="375"/>
        <v>44.826214</v>
      </c>
      <c r="K3302" s="88">
        <f>K3285*配合比!G8</f>
        <v>40.13394</v>
      </c>
      <c r="L3302" s="113">
        <f t="shared" si="376"/>
        <v>1799.05258310316</v>
      </c>
    </row>
    <row r="3303" customHeight="1" spans="1:12">
      <c r="A3303" s="57"/>
      <c r="B3303" s="57" t="s">
        <v>1110</v>
      </c>
      <c r="C3303" s="57" t="s">
        <v>1188</v>
      </c>
      <c r="D3303" s="84">
        <f>材料预算价!K8-材料预算价!L8</f>
        <v>20.60443</v>
      </c>
      <c r="E3303" s="88">
        <f>E3285*配合比!I10</f>
        <v>154.4861808</v>
      </c>
      <c r="F3303" s="113">
        <f t="shared" si="374"/>
        <v>3183.09969826095</v>
      </c>
      <c r="G3303" s="57"/>
      <c r="H3303" s="57" t="s">
        <v>1110</v>
      </c>
      <c r="I3303" s="57" t="s">
        <v>1188</v>
      </c>
      <c r="J3303" s="84">
        <f t="shared" si="375"/>
        <v>20.60443</v>
      </c>
      <c r="K3303" s="88">
        <f>K3285*配合比!I8</f>
        <v>61.424244</v>
      </c>
      <c r="L3303" s="113">
        <f t="shared" si="376"/>
        <v>1265.61153580092</v>
      </c>
    </row>
    <row r="3304" customHeight="1" spans="1:12">
      <c r="A3304" s="57"/>
      <c r="B3304" s="57"/>
      <c r="C3304" s="57"/>
      <c r="D3304" s="84"/>
      <c r="E3304" s="84"/>
      <c r="F3304" s="113"/>
      <c r="G3304" s="57"/>
      <c r="H3304" s="57"/>
      <c r="I3304" s="57"/>
      <c r="J3304" s="84"/>
      <c r="K3304" s="84"/>
      <c r="L3304" s="113"/>
    </row>
    <row r="3305" customHeight="1" spans="1:12">
      <c r="A3305" s="57">
        <v>2</v>
      </c>
      <c r="B3305" s="57" t="s">
        <v>1289</v>
      </c>
      <c r="C3305" s="57"/>
      <c r="D3305" s="84"/>
      <c r="E3305" s="88"/>
      <c r="F3305" s="113">
        <f>SUM(F3306:F3307)</f>
        <v>748.5372</v>
      </c>
      <c r="G3305" s="57">
        <v>2</v>
      </c>
      <c r="H3305" s="57" t="s">
        <v>1289</v>
      </c>
      <c r="I3305" s="57"/>
      <c r="J3305" s="84"/>
      <c r="K3305" s="88"/>
      <c r="L3305" s="113">
        <f>SUM(L3306:L3307)</f>
        <v>732.645</v>
      </c>
    </row>
    <row r="3306" customHeight="1" spans="1:12">
      <c r="A3306" s="57"/>
      <c r="B3306" s="57" t="s">
        <v>1290</v>
      </c>
      <c r="C3306" s="57" t="s">
        <v>184</v>
      </c>
      <c r="D3306" s="84">
        <f>材料预算价!K13-材料预算价!L13</f>
        <v>6.225</v>
      </c>
      <c r="E3306" s="88">
        <v>0</v>
      </c>
      <c r="F3306" s="113">
        <f>D3306*E3306</f>
        <v>0</v>
      </c>
      <c r="G3306" s="57"/>
      <c r="H3306" s="57" t="s">
        <v>1290</v>
      </c>
      <c r="I3306" s="57" t="s">
        <v>184</v>
      </c>
      <c r="J3306" s="84">
        <f>D3306</f>
        <v>6.225</v>
      </c>
      <c r="K3306" s="88">
        <v>0</v>
      </c>
      <c r="L3306" s="113">
        <f>J3306*K3306</f>
        <v>0</v>
      </c>
    </row>
    <row r="3307" customHeight="1" spans="1:12">
      <c r="A3307" s="57"/>
      <c r="B3307" s="57" t="s">
        <v>1174</v>
      </c>
      <c r="C3307" s="59" t="s">
        <v>184</v>
      </c>
      <c r="D3307" s="84">
        <f>材料预算价!K12-材料预算价!L12</f>
        <v>4.86</v>
      </c>
      <c r="E3307" s="88">
        <f>(E3293*10.2)</f>
        <v>154.02</v>
      </c>
      <c r="F3307" s="113">
        <f>D3307*E3307</f>
        <v>748.5372</v>
      </c>
      <c r="G3307" s="57"/>
      <c r="H3307" s="57" t="s">
        <v>1174</v>
      </c>
      <c r="I3307" s="59" t="s">
        <v>184</v>
      </c>
      <c r="J3307" s="84">
        <f>D3307</f>
        <v>4.86</v>
      </c>
      <c r="K3307" s="88">
        <f>(K3293*10.2)+K3292*6.5</f>
        <v>150.75</v>
      </c>
      <c r="L3307" s="113">
        <f>J3307*K3307</f>
        <v>732.645</v>
      </c>
    </row>
    <row r="3308" customHeight="1" spans="1:12">
      <c r="A3308" s="57" t="s">
        <v>327</v>
      </c>
      <c r="B3308" s="57" t="s">
        <v>976</v>
      </c>
      <c r="C3308" s="195">
        <f>建筑工程单价分析表!C981</f>
        <v>0.09</v>
      </c>
      <c r="D3308" s="84"/>
      <c r="E3308" s="84">
        <f>F3299+F3298+F3297+F3278</f>
        <v>73801.6195581866</v>
      </c>
      <c r="F3308" s="84">
        <f>E3308*C3308</f>
        <v>6642.14576023679</v>
      </c>
      <c r="G3308" s="57" t="s">
        <v>327</v>
      </c>
      <c r="H3308" s="57" t="s">
        <v>976</v>
      </c>
      <c r="I3308" s="195">
        <f>C3308</f>
        <v>0.09</v>
      </c>
      <c r="J3308" s="84"/>
      <c r="K3308" s="84">
        <f>L3299+L3298+L3297+L3278</f>
        <v>66525.2955028829</v>
      </c>
      <c r="L3308" s="84">
        <f>K3308*I3308</f>
        <v>5987.27659525946</v>
      </c>
    </row>
    <row r="3309" customHeight="1" spans="1:12">
      <c r="A3309" s="57"/>
      <c r="B3309" s="57" t="s">
        <v>984</v>
      </c>
      <c r="C3309" s="195"/>
      <c r="D3309" s="84"/>
      <c r="E3309" s="84"/>
      <c r="F3309" s="84">
        <f>(F3278+F3297+F3298+F3299+F3308)*取费表!H4</f>
        <v>2413.3129595527</v>
      </c>
      <c r="G3309" s="57"/>
      <c r="H3309" s="57" t="s">
        <v>984</v>
      </c>
      <c r="I3309" s="195"/>
      <c r="J3309" s="84"/>
      <c r="K3309" s="84"/>
      <c r="L3309" s="84">
        <f>(L3278+L3297+L3298+L3299+L3308)*取费表!H12</f>
        <v>2175.37716294427</v>
      </c>
    </row>
    <row r="3310" customHeight="1" spans="1:12">
      <c r="A3310" s="57"/>
      <c r="B3310" s="57" t="s">
        <v>278</v>
      </c>
      <c r="C3310" s="57"/>
      <c r="D3310" s="84"/>
      <c r="E3310" s="84"/>
      <c r="F3310" s="84">
        <f>F3308+E3308+F3309</f>
        <v>82857.078277976</v>
      </c>
      <c r="G3310" s="57"/>
      <c r="H3310" s="57" t="s">
        <v>278</v>
      </c>
      <c r="I3310" s="57"/>
      <c r="J3310" s="84"/>
      <c r="K3310" s="84"/>
      <c r="L3310" s="84">
        <f>L3308+K3308+L3309</f>
        <v>74687.9492610866</v>
      </c>
    </row>
    <row r="3311" customHeight="1" spans="1:12">
      <c r="A3311" s="57"/>
      <c r="B3311" s="57"/>
      <c r="C3311" s="57"/>
      <c r="D3311" s="84"/>
      <c r="E3311" s="84"/>
      <c r="F3311" s="84"/>
      <c r="G3311" s="57"/>
      <c r="H3311" s="57"/>
      <c r="I3311" s="57"/>
      <c r="J3311" s="84"/>
      <c r="K3311" s="84"/>
      <c r="L3311" s="84"/>
    </row>
    <row r="3312" customHeight="1" spans="1:12">
      <c r="A3312" s="57"/>
      <c r="B3312" s="57"/>
      <c r="C3312" s="57"/>
      <c r="D3312" s="84"/>
      <c r="E3312" s="84"/>
      <c r="F3312" s="84"/>
      <c r="G3312" s="57"/>
      <c r="H3312" s="57"/>
      <c r="I3312" s="57"/>
      <c r="J3312" s="84"/>
      <c r="K3312" s="84"/>
      <c r="L3312" s="84"/>
    </row>
    <row r="3313" customHeight="1" spans="1:12">
      <c r="A3313" s="57"/>
      <c r="B3313" s="57"/>
      <c r="C3313" s="57"/>
      <c r="D3313" s="84"/>
      <c r="E3313" s="84"/>
      <c r="F3313" s="84"/>
      <c r="G3313" s="57"/>
      <c r="H3313" s="57"/>
      <c r="I3313" s="57"/>
      <c r="J3313" s="84"/>
      <c r="K3313" s="84"/>
      <c r="L3313" s="84"/>
    </row>
    <row r="3314" customHeight="1" spans="1:12">
      <c r="A3314" s="57"/>
      <c r="B3314" s="57"/>
      <c r="C3314" s="57"/>
      <c r="D3314" s="84"/>
      <c r="E3314" s="84"/>
      <c r="F3314" s="84"/>
      <c r="G3314" s="57"/>
      <c r="H3314" s="57"/>
      <c r="I3314" s="57"/>
      <c r="J3314" s="84"/>
      <c r="K3314" s="84"/>
      <c r="L3314" s="84"/>
    </row>
    <row r="3315" ht="15.95" customHeight="1" spans="1:6">
      <c r="A3315" s="349" t="s">
        <v>944</v>
      </c>
      <c r="B3315" s="349"/>
      <c r="C3315" s="349"/>
      <c r="D3315" s="349"/>
      <c r="E3315" s="349"/>
      <c r="F3315" s="349"/>
    </row>
    <row r="3316" ht="15.95" customHeight="1" spans="1:6">
      <c r="A3316" s="247" t="s">
        <v>1487</v>
      </c>
      <c r="B3316" s="256"/>
      <c r="C3316" s="256"/>
      <c r="D3316" s="256"/>
      <c r="E3316" s="256"/>
      <c r="F3316" s="256"/>
    </row>
    <row r="3317" ht="15.95" customHeight="1" spans="1:6">
      <c r="A3317" s="317" t="s">
        <v>1488</v>
      </c>
      <c r="B3317" s="168"/>
      <c r="C3317" s="243"/>
      <c r="D3317" s="243"/>
      <c r="E3317" s="168" t="s">
        <v>1489</v>
      </c>
      <c r="F3317" s="168"/>
    </row>
    <row r="3318" ht="15.95" customHeight="1" spans="1:6">
      <c r="A3318" s="61" t="s">
        <v>1184</v>
      </c>
      <c r="B3318" s="57"/>
      <c r="C3318" s="61"/>
      <c r="D3318" s="61"/>
      <c r="E3318" s="61"/>
      <c r="F3318" s="61"/>
    </row>
    <row r="3319" ht="15.95" customHeight="1" spans="1:6">
      <c r="A3319" s="57" t="s">
        <v>354</v>
      </c>
      <c r="B3319" s="57" t="s">
        <v>956</v>
      </c>
      <c r="C3319" s="57" t="s">
        <v>52</v>
      </c>
      <c r="D3319" s="57" t="s">
        <v>855</v>
      </c>
      <c r="E3319" s="57" t="s">
        <v>53</v>
      </c>
      <c r="F3319" s="57" t="s">
        <v>306</v>
      </c>
    </row>
    <row r="3320" ht="15.95" customHeight="1" spans="1:6">
      <c r="A3320" s="57" t="s">
        <v>959</v>
      </c>
      <c r="B3320" s="57" t="s">
        <v>960</v>
      </c>
      <c r="C3320" s="57"/>
      <c r="D3320" s="57"/>
      <c r="E3320" s="57"/>
      <c r="F3320" s="196">
        <f>F3321+F3322+F3323</f>
        <v>19.912</v>
      </c>
    </row>
    <row r="3321" ht="15.95" customHeight="1" spans="1:6">
      <c r="A3321" s="57" t="s">
        <v>59</v>
      </c>
      <c r="B3321" s="57" t="s">
        <v>957</v>
      </c>
      <c r="C3321" s="57"/>
      <c r="D3321" s="57"/>
      <c r="E3321" s="57"/>
      <c r="F3321" s="113">
        <v>19</v>
      </c>
    </row>
    <row r="3322" ht="15.95" customHeight="1" spans="1:6">
      <c r="A3322" s="57" t="s">
        <v>70</v>
      </c>
      <c r="B3322" s="57" t="s">
        <v>977</v>
      </c>
      <c r="C3322" s="194">
        <f>取费表!$C$7</f>
        <v>0.048</v>
      </c>
      <c r="D3322" s="57"/>
      <c r="E3322" s="113">
        <f>F3321</f>
        <v>19</v>
      </c>
      <c r="F3322" s="113">
        <f t="shared" ref="F3322:F3326" si="377">E3322*C3322</f>
        <v>0.912</v>
      </c>
    </row>
    <row r="3323" ht="15.95" customHeight="1" spans="1:6">
      <c r="A3323" s="57"/>
      <c r="B3323" s="57"/>
      <c r="C3323" s="194"/>
      <c r="D3323" s="57"/>
      <c r="E3323" s="113"/>
      <c r="F3323" s="113"/>
    </row>
    <row r="3324" ht="15.95" customHeight="1" spans="1:6">
      <c r="A3324" s="57" t="s">
        <v>979</v>
      </c>
      <c r="B3324" s="57" t="s">
        <v>973</v>
      </c>
      <c r="C3324" s="194">
        <f>取费表!$E$7</f>
        <v>0.07</v>
      </c>
      <c r="D3324" s="57"/>
      <c r="E3324" s="196">
        <f>F3320</f>
        <v>19.912</v>
      </c>
      <c r="F3324" s="113">
        <f t="shared" si="377"/>
        <v>1.39384</v>
      </c>
    </row>
    <row r="3325" ht="15.95" customHeight="1" spans="1:6">
      <c r="A3325" s="57" t="s">
        <v>162</v>
      </c>
      <c r="B3325" s="57" t="s">
        <v>980</v>
      </c>
      <c r="C3325" s="194">
        <f>取费表!$F$7</f>
        <v>0.07</v>
      </c>
      <c r="D3325" s="57"/>
      <c r="E3325" s="196">
        <f>F3324+F3320</f>
        <v>21.30584</v>
      </c>
      <c r="F3325" s="113">
        <f t="shared" si="377"/>
        <v>1.4914088</v>
      </c>
    </row>
    <row r="3326" ht="15.95" customHeight="1" spans="1:6">
      <c r="A3326" s="57" t="s">
        <v>214</v>
      </c>
      <c r="B3326" s="57" t="s">
        <v>976</v>
      </c>
      <c r="C3326" s="102">
        <f>C3308</f>
        <v>0.09</v>
      </c>
      <c r="D3326" s="57"/>
      <c r="E3326" s="84">
        <f>F3325+F3324+F3320</f>
        <v>22.7972488</v>
      </c>
      <c r="F3326" s="113">
        <f t="shared" si="377"/>
        <v>2.051752392</v>
      </c>
    </row>
    <row r="3327" ht="15.95" customHeight="1" spans="1:6">
      <c r="A3327" s="57"/>
      <c r="B3327" s="57" t="s">
        <v>984</v>
      </c>
      <c r="C3327" s="102"/>
      <c r="D3327" s="57"/>
      <c r="E3327" s="84"/>
      <c r="F3327" s="113">
        <f>(F3320+F3324+F3325+F3326)*取费表!H4</f>
        <v>0.74547003576</v>
      </c>
    </row>
    <row r="3328" ht="15.95" customHeight="1" spans="1:6">
      <c r="A3328" s="57"/>
      <c r="B3328" s="57" t="s">
        <v>278</v>
      </c>
      <c r="C3328" s="57"/>
      <c r="D3328" s="57"/>
      <c r="E3328" s="57"/>
      <c r="F3328" s="113">
        <f>E3326+F3326+F3327</f>
        <v>25.59447122776</v>
      </c>
    </row>
    <row r="3329" ht="15.95" customHeight="1" spans="1:6">
      <c r="A3329" s="349" t="s">
        <v>944</v>
      </c>
      <c r="B3329" s="349"/>
      <c r="C3329" s="349"/>
      <c r="D3329" s="349"/>
      <c r="E3329" s="349"/>
      <c r="F3329" s="349"/>
    </row>
    <row r="3330" ht="15.95" customHeight="1" spans="1:6">
      <c r="A3330" s="256" t="s">
        <v>1490</v>
      </c>
      <c r="B3330" s="256"/>
      <c r="C3330" s="256"/>
      <c r="D3330" s="256"/>
      <c r="E3330" s="256"/>
      <c r="F3330" s="256"/>
    </row>
    <row r="3331" ht="15.95" customHeight="1" spans="1:6">
      <c r="A3331" s="317" t="s">
        <v>1488</v>
      </c>
      <c r="B3331" s="168"/>
      <c r="C3331" s="243"/>
      <c r="D3331" s="243"/>
      <c r="E3331" s="168" t="s">
        <v>1489</v>
      </c>
      <c r="F3331" s="168"/>
    </row>
    <row r="3332" ht="15.95" customHeight="1" spans="1:6">
      <c r="A3332" s="61" t="s">
        <v>1184</v>
      </c>
      <c r="B3332" s="57"/>
      <c r="C3332" s="61"/>
      <c r="D3332" s="61"/>
      <c r="E3332" s="61"/>
      <c r="F3332" s="61"/>
    </row>
    <row r="3333" ht="15.95" customHeight="1" spans="1:6">
      <c r="A3333" s="57" t="s">
        <v>354</v>
      </c>
      <c r="B3333" s="57" t="s">
        <v>956</v>
      </c>
      <c r="C3333" s="57" t="s">
        <v>52</v>
      </c>
      <c r="D3333" s="57" t="s">
        <v>855</v>
      </c>
      <c r="E3333" s="57" t="s">
        <v>53</v>
      </c>
      <c r="F3333" s="57" t="s">
        <v>306</v>
      </c>
    </row>
    <row r="3334" ht="15.95" customHeight="1" spans="1:6">
      <c r="A3334" s="57" t="s">
        <v>959</v>
      </c>
      <c r="B3334" s="57" t="s">
        <v>960</v>
      </c>
      <c r="C3334" s="57"/>
      <c r="D3334" s="57"/>
      <c r="E3334" s="57"/>
      <c r="F3334" s="196">
        <f>F3335+F3336+F3337</f>
        <v>8.8556</v>
      </c>
    </row>
    <row r="3335" ht="15.95" customHeight="1" spans="1:6">
      <c r="A3335" s="57" t="s">
        <v>59</v>
      </c>
      <c r="B3335" s="57" t="s">
        <v>957</v>
      </c>
      <c r="C3335" s="57"/>
      <c r="D3335" s="57"/>
      <c r="E3335" s="57"/>
      <c r="F3335" s="113">
        <v>8.45</v>
      </c>
    </row>
    <row r="3336" ht="15.95" customHeight="1" spans="1:6">
      <c r="A3336" s="57" t="s">
        <v>70</v>
      </c>
      <c r="B3336" s="57" t="s">
        <v>977</v>
      </c>
      <c r="C3336" s="194">
        <f>取费表!$C$7</f>
        <v>0.048</v>
      </c>
      <c r="D3336" s="57"/>
      <c r="E3336" s="113">
        <f>F3335</f>
        <v>8.45</v>
      </c>
      <c r="F3336" s="113">
        <f t="shared" ref="F3336:F3340" si="378">E3336*C3336</f>
        <v>0.4056</v>
      </c>
    </row>
    <row r="3337" ht="15.95" customHeight="1" spans="1:6">
      <c r="A3337" s="57"/>
      <c r="B3337" s="57"/>
      <c r="C3337" s="194"/>
      <c r="D3337" s="57"/>
      <c r="E3337" s="113"/>
      <c r="F3337" s="113"/>
    </row>
    <row r="3338" ht="15.95" customHeight="1" spans="1:6">
      <c r="A3338" s="57" t="s">
        <v>979</v>
      </c>
      <c r="B3338" s="57" t="s">
        <v>973</v>
      </c>
      <c r="C3338" s="194">
        <f>取费表!$E$7</f>
        <v>0.07</v>
      </c>
      <c r="D3338" s="57"/>
      <c r="E3338" s="196">
        <f>F3334</f>
        <v>8.8556</v>
      </c>
      <c r="F3338" s="113">
        <f t="shared" si="378"/>
        <v>0.619892</v>
      </c>
    </row>
    <row r="3339" ht="19.5" customHeight="1" spans="1:6">
      <c r="A3339" s="57" t="s">
        <v>162</v>
      </c>
      <c r="B3339" s="57" t="s">
        <v>980</v>
      </c>
      <c r="C3339" s="194">
        <f>取费表!$F$7</f>
        <v>0.07</v>
      </c>
      <c r="D3339" s="57"/>
      <c r="E3339" s="196">
        <f>F3338+F3334</f>
        <v>9.475492</v>
      </c>
      <c r="F3339" s="113">
        <f t="shared" si="378"/>
        <v>0.66328444</v>
      </c>
    </row>
    <row r="3340" ht="15.95" customHeight="1" spans="1:6">
      <c r="A3340" s="57" t="s">
        <v>214</v>
      </c>
      <c r="B3340" s="57" t="s">
        <v>976</v>
      </c>
      <c r="C3340" s="102">
        <f>C3326</f>
        <v>0.09</v>
      </c>
      <c r="D3340" s="57"/>
      <c r="E3340" s="84">
        <f>F3339+F3338+F3334</f>
        <v>10.13877644</v>
      </c>
      <c r="F3340" s="113">
        <f t="shared" si="378"/>
        <v>0.9124898796</v>
      </c>
    </row>
    <row r="3341" ht="19.5" customHeight="1" spans="1:6">
      <c r="A3341" s="57"/>
      <c r="B3341" s="57" t="s">
        <v>984</v>
      </c>
      <c r="C3341" s="102"/>
      <c r="D3341" s="57"/>
      <c r="E3341" s="84"/>
      <c r="F3341" s="113">
        <f>(F3334+F3338+F3339+F3340)*取费表!H4</f>
        <v>0.331537989588</v>
      </c>
    </row>
    <row r="3342" ht="15.95" customHeight="1" spans="1:6">
      <c r="A3342" s="57"/>
      <c r="B3342" s="57" t="s">
        <v>278</v>
      </c>
      <c r="C3342" s="57"/>
      <c r="D3342" s="57"/>
      <c r="E3342" s="57"/>
      <c r="F3342" s="113">
        <f>E3340+F3340+F3341</f>
        <v>11.382804309188</v>
      </c>
    </row>
    <row r="3343" ht="15.95" customHeight="1" spans="1:6">
      <c r="A3343" s="349" t="s">
        <v>944</v>
      </c>
      <c r="B3343" s="349"/>
      <c r="C3343" s="349"/>
      <c r="D3343" s="349"/>
      <c r="E3343" s="349"/>
      <c r="F3343" s="349"/>
    </row>
    <row r="3344" ht="19.5" customHeight="1" spans="1:6">
      <c r="A3344" s="256" t="s">
        <v>1491</v>
      </c>
      <c r="B3344" s="256"/>
      <c r="C3344" s="256"/>
      <c r="D3344" s="256"/>
      <c r="E3344" s="256"/>
      <c r="F3344" s="256"/>
    </row>
    <row r="3345" ht="15.95" customHeight="1" spans="1:6">
      <c r="A3345" s="317" t="s">
        <v>1488</v>
      </c>
      <c r="B3345" s="168"/>
      <c r="C3345" s="243"/>
      <c r="D3345" s="243"/>
      <c r="E3345" s="168" t="s">
        <v>1489</v>
      </c>
      <c r="F3345" s="168"/>
    </row>
    <row r="3346" ht="15.95" customHeight="1" spans="1:6">
      <c r="A3346" s="61" t="s">
        <v>1184</v>
      </c>
      <c r="B3346" s="57"/>
      <c r="C3346" s="61"/>
      <c r="D3346" s="61"/>
      <c r="E3346" s="61"/>
      <c r="F3346" s="61"/>
    </row>
    <row r="3347" ht="15.95" customHeight="1" spans="1:6">
      <c r="A3347" s="57" t="s">
        <v>354</v>
      </c>
      <c r="B3347" s="57" t="s">
        <v>956</v>
      </c>
      <c r="C3347" s="57" t="s">
        <v>52</v>
      </c>
      <c r="D3347" s="57" t="s">
        <v>855</v>
      </c>
      <c r="E3347" s="57" t="s">
        <v>53</v>
      </c>
      <c r="F3347" s="57" t="s">
        <v>306</v>
      </c>
    </row>
    <row r="3348" ht="15.95" customHeight="1" spans="1:6">
      <c r="A3348" s="57" t="s">
        <v>959</v>
      </c>
      <c r="B3348" s="57" t="s">
        <v>960</v>
      </c>
      <c r="C3348" s="57"/>
      <c r="D3348" s="57"/>
      <c r="E3348" s="57"/>
      <c r="F3348" s="196">
        <f>F3349+F3350+F3351</f>
        <v>38.776</v>
      </c>
    </row>
    <row r="3349" ht="15.95" customHeight="1" spans="1:6">
      <c r="A3349" s="57" t="s">
        <v>59</v>
      </c>
      <c r="B3349" s="57" t="s">
        <v>957</v>
      </c>
      <c r="C3349" s="57"/>
      <c r="D3349" s="57"/>
      <c r="E3349" s="57"/>
      <c r="F3349" s="113">
        <v>37</v>
      </c>
    </row>
    <row r="3350" ht="15.95" customHeight="1" spans="1:6">
      <c r="A3350" s="57" t="s">
        <v>70</v>
      </c>
      <c r="B3350" s="57" t="s">
        <v>977</v>
      </c>
      <c r="C3350" s="194">
        <f>取费表!$C$7</f>
        <v>0.048</v>
      </c>
      <c r="D3350" s="57"/>
      <c r="E3350" s="113">
        <f>F3349</f>
        <v>37</v>
      </c>
      <c r="F3350" s="113">
        <f t="shared" ref="F3350:F3354" si="379">E3350*C3350</f>
        <v>1.776</v>
      </c>
    </row>
    <row r="3351" ht="15.95" customHeight="1" spans="1:6">
      <c r="A3351" s="57"/>
      <c r="B3351" s="57"/>
      <c r="C3351" s="194"/>
      <c r="D3351" s="57"/>
      <c r="E3351" s="113"/>
      <c r="F3351" s="113"/>
    </row>
    <row r="3352" ht="15.95" customHeight="1" spans="1:6">
      <c r="A3352" s="57" t="s">
        <v>979</v>
      </c>
      <c r="B3352" s="57" t="s">
        <v>973</v>
      </c>
      <c r="C3352" s="194">
        <f>取费表!$E$7</f>
        <v>0.07</v>
      </c>
      <c r="D3352" s="57"/>
      <c r="E3352" s="196">
        <f>F3348</f>
        <v>38.776</v>
      </c>
      <c r="F3352" s="113">
        <f t="shared" si="379"/>
        <v>2.71432</v>
      </c>
    </row>
    <row r="3353" ht="15.95" customHeight="1" spans="1:6">
      <c r="A3353" s="57" t="s">
        <v>162</v>
      </c>
      <c r="B3353" s="57" t="s">
        <v>980</v>
      </c>
      <c r="C3353" s="194">
        <f>取费表!$F$7</f>
        <v>0.07</v>
      </c>
      <c r="D3353" s="57"/>
      <c r="E3353" s="196">
        <f>F3352+F3348</f>
        <v>41.49032</v>
      </c>
      <c r="F3353" s="113">
        <f t="shared" si="379"/>
        <v>2.9043224</v>
      </c>
    </row>
    <row r="3354" ht="15.95" customHeight="1" spans="1:6">
      <c r="A3354" s="57" t="s">
        <v>214</v>
      </c>
      <c r="B3354" s="57" t="s">
        <v>976</v>
      </c>
      <c r="C3354" s="102">
        <f>C3340</f>
        <v>0.09</v>
      </c>
      <c r="D3354" s="57"/>
      <c r="E3354" s="84">
        <f>F3353+F3352+F3348</f>
        <v>44.3946424</v>
      </c>
      <c r="F3354" s="113">
        <f t="shared" si="379"/>
        <v>3.995517816</v>
      </c>
    </row>
    <row r="3355" ht="15.95" customHeight="1" spans="1:6">
      <c r="A3355" s="57"/>
      <c r="B3355" s="57" t="s">
        <v>984</v>
      </c>
      <c r="C3355" s="102"/>
      <c r="D3355" s="57"/>
      <c r="E3355" s="84"/>
      <c r="F3355" s="113">
        <f>(F3348+F3352+F3353+F3354)*取费表!H4</f>
        <v>1.45170480648</v>
      </c>
    </row>
    <row r="3356" ht="18.75" customHeight="1" spans="1:6">
      <c r="A3356" s="57"/>
      <c r="B3356" s="57" t="s">
        <v>278</v>
      </c>
      <c r="C3356" s="57"/>
      <c r="D3356" s="57"/>
      <c r="E3356" s="57"/>
      <c r="F3356" s="113">
        <f>E3354+F3354+F3355</f>
        <v>49.84186502248</v>
      </c>
    </row>
    <row r="3357" ht="14.1" customHeight="1" spans="1:6">
      <c r="A3357" s="176" t="s">
        <v>1204</v>
      </c>
      <c r="B3357" s="175"/>
      <c r="C3357" s="175"/>
      <c r="D3357" s="175"/>
      <c r="E3357" s="175"/>
      <c r="F3357" s="175"/>
    </row>
    <row r="3358" ht="14.1" customHeight="1" spans="1:6">
      <c r="A3358" s="242" t="s">
        <v>1492</v>
      </c>
      <c r="C3358" s="243"/>
      <c r="D3358" s="243"/>
      <c r="E3358" s="243"/>
      <c r="F3358" s="243"/>
    </row>
    <row r="3359" ht="14.1" customHeight="1" spans="1:6">
      <c r="A3359" s="190" t="s">
        <v>1493</v>
      </c>
      <c r="B3359" s="191"/>
      <c r="C3359" s="243"/>
      <c r="D3359" s="243"/>
      <c r="E3359" s="191" t="s">
        <v>1159</v>
      </c>
      <c r="F3359" s="191"/>
    </row>
    <row r="3360" ht="14.1" customHeight="1" spans="1:6">
      <c r="A3360" s="197" t="s">
        <v>1218</v>
      </c>
      <c r="B3360" s="192"/>
      <c r="C3360" s="201"/>
      <c r="D3360" s="201"/>
      <c r="E3360" s="201"/>
      <c r="F3360" s="202"/>
    </row>
    <row r="3361" ht="14.1" customHeight="1" spans="1:6">
      <c r="A3361" s="57" t="s">
        <v>354</v>
      </c>
      <c r="B3361" s="57" t="s">
        <v>956</v>
      </c>
      <c r="C3361" s="57" t="s">
        <v>52</v>
      </c>
      <c r="D3361" s="57" t="s">
        <v>855</v>
      </c>
      <c r="E3361" s="57" t="s">
        <v>53</v>
      </c>
      <c r="F3361" s="57" t="s">
        <v>306</v>
      </c>
    </row>
    <row r="3362" ht="14.1" customHeight="1" spans="1:6">
      <c r="A3362" s="57" t="s">
        <v>959</v>
      </c>
      <c r="B3362" s="57" t="s">
        <v>960</v>
      </c>
      <c r="C3362" s="57"/>
      <c r="D3362" s="57"/>
      <c r="E3362" s="57"/>
      <c r="F3362" s="196">
        <f>F3363+F3390+F3391</f>
        <v>36854.2098002903</v>
      </c>
    </row>
    <row r="3363" ht="14.1" customHeight="1" spans="1:6">
      <c r="A3363" s="57" t="s">
        <v>59</v>
      </c>
      <c r="B3363" s="57" t="s">
        <v>957</v>
      </c>
      <c r="C3363" s="57"/>
      <c r="D3363" s="57"/>
      <c r="E3363" s="57"/>
      <c r="F3363" s="113">
        <f>F3364+F3367+F3378+F3387</f>
        <v>35166.2307254678</v>
      </c>
    </row>
    <row r="3364" ht="14.1" customHeight="1" spans="1:6">
      <c r="A3364" s="57">
        <v>1</v>
      </c>
      <c r="B3364" s="57" t="s">
        <v>964</v>
      </c>
      <c r="C3364" s="57" t="s">
        <v>965</v>
      </c>
      <c r="D3364" s="84"/>
      <c r="E3364" s="92">
        <f>SUM(E3365:E3366)</f>
        <v>1351</v>
      </c>
      <c r="F3364" s="113">
        <f>SUM(F3365:F3366)</f>
        <v>9851.262</v>
      </c>
    </row>
    <row r="3365" ht="14.1" customHeight="1" spans="1:6">
      <c r="A3365" s="57"/>
      <c r="B3365" s="57" t="s">
        <v>966</v>
      </c>
      <c r="C3365" s="57" t="s">
        <v>965</v>
      </c>
      <c r="D3365" s="113">
        <f>材料预算价!K20</f>
        <v>8.1</v>
      </c>
      <c r="E3365" s="92">
        <v>882.4</v>
      </c>
      <c r="F3365" s="113">
        <f>D3365*E3365</f>
        <v>7147.44</v>
      </c>
    </row>
    <row r="3366" ht="14.1" customHeight="1" spans="1:6">
      <c r="A3366" s="57"/>
      <c r="B3366" s="57" t="s">
        <v>968</v>
      </c>
      <c r="C3366" s="57" t="s">
        <v>965</v>
      </c>
      <c r="D3366" s="113">
        <f>材料预算价!K19</f>
        <v>5.77</v>
      </c>
      <c r="E3366" s="92">
        <v>468.6</v>
      </c>
      <c r="F3366" s="113">
        <f>D3366*E3366</f>
        <v>2703.822</v>
      </c>
    </row>
    <row r="3367" ht="14.1" customHeight="1" spans="1:6">
      <c r="A3367" s="57">
        <v>2</v>
      </c>
      <c r="B3367" s="57" t="s">
        <v>1219</v>
      </c>
      <c r="C3367" s="57"/>
      <c r="D3367" s="84"/>
      <c r="E3367" s="84"/>
      <c r="F3367" s="84">
        <f>SUM(F3368:F3377)</f>
        <v>22406.6891151137</v>
      </c>
    </row>
    <row r="3368" ht="14.1" customHeight="1" spans="1:6">
      <c r="A3368" s="57"/>
      <c r="B3368" s="244" t="s">
        <v>1272</v>
      </c>
      <c r="C3368" s="244" t="s">
        <v>1188</v>
      </c>
      <c r="D3368" s="84">
        <f>材料预算价!K10</f>
        <v>2232.665025</v>
      </c>
      <c r="E3368" s="84">
        <v>0.91</v>
      </c>
      <c r="F3368" s="84">
        <f t="shared" ref="F3368:F3376" si="380">D3368*E3368</f>
        <v>2031.72517275</v>
      </c>
    </row>
    <row r="3369" ht="14.1" customHeight="1" spans="1:6">
      <c r="A3369" s="57"/>
      <c r="B3369" s="244" t="s">
        <v>1273</v>
      </c>
      <c r="C3369" s="244" t="s">
        <v>184</v>
      </c>
      <c r="D3369" s="84">
        <v>4.44</v>
      </c>
      <c r="E3369" s="84">
        <v>21.02</v>
      </c>
      <c r="F3369" s="84">
        <f t="shared" si="380"/>
        <v>93.3288</v>
      </c>
    </row>
    <row r="3370" ht="14.1" customHeight="1" spans="1:6">
      <c r="A3370" s="57"/>
      <c r="B3370" s="244" t="s">
        <v>1274</v>
      </c>
      <c r="C3370" s="244" t="s">
        <v>184</v>
      </c>
      <c r="D3370" s="84">
        <v>4.5</v>
      </c>
      <c r="E3370" s="84">
        <v>50.23</v>
      </c>
      <c r="F3370" s="84">
        <f t="shared" si="380"/>
        <v>226.035</v>
      </c>
    </row>
    <row r="3371" ht="14.1" customHeight="1" spans="1:6">
      <c r="A3371" s="57"/>
      <c r="B3371" s="244" t="s">
        <v>1275</v>
      </c>
      <c r="C3371" s="244" t="s">
        <v>184</v>
      </c>
      <c r="D3371" s="84">
        <v>5.15</v>
      </c>
      <c r="E3371" s="84">
        <v>67.48</v>
      </c>
      <c r="F3371" s="84">
        <f t="shared" si="380"/>
        <v>347.522</v>
      </c>
    </row>
    <row r="3372" ht="14.1" customHeight="1" spans="1:6">
      <c r="A3372" s="57"/>
      <c r="B3372" s="244" t="s">
        <v>1276</v>
      </c>
      <c r="C3372" s="244" t="s">
        <v>184</v>
      </c>
      <c r="D3372" s="84">
        <v>4.5</v>
      </c>
      <c r="E3372" s="84">
        <v>1.56</v>
      </c>
      <c r="F3372" s="84">
        <f t="shared" si="380"/>
        <v>7.02</v>
      </c>
    </row>
    <row r="3373" ht="14.1" customHeight="1" spans="1:6">
      <c r="A3373" s="57"/>
      <c r="B3373" s="244" t="s">
        <v>1277</v>
      </c>
      <c r="C3373" s="244" t="s">
        <v>184</v>
      </c>
      <c r="D3373" s="84">
        <v>6.39</v>
      </c>
      <c r="E3373" s="84">
        <v>78.38</v>
      </c>
      <c r="F3373" s="84">
        <f t="shared" si="380"/>
        <v>500.8482</v>
      </c>
    </row>
    <row r="3374" ht="14.1" customHeight="1" spans="1:6">
      <c r="A3374" s="57"/>
      <c r="B3374" s="244" t="s">
        <v>1278</v>
      </c>
      <c r="C3374" s="244" t="s">
        <v>184</v>
      </c>
      <c r="D3374" s="84">
        <v>5.97</v>
      </c>
      <c r="E3374" s="84">
        <v>1.66</v>
      </c>
      <c r="F3374" s="84">
        <f t="shared" si="380"/>
        <v>9.9102</v>
      </c>
    </row>
    <row r="3375" ht="14.1" customHeight="1" spans="1:6">
      <c r="A3375" s="57"/>
      <c r="B3375" s="57" t="s">
        <v>1292</v>
      </c>
      <c r="C3375" s="57" t="s">
        <v>1188</v>
      </c>
      <c r="D3375" s="84">
        <f>配合比!M10</f>
        <v>183.3858985</v>
      </c>
      <c r="E3375" s="84">
        <v>103</v>
      </c>
      <c r="F3375" s="84">
        <f t="shared" si="380"/>
        <v>18888.7475455</v>
      </c>
    </row>
    <row r="3376" ht="14.1" customHeight="1" spans="1:6">
      <c r="A3376" s="57"/>
      <c r="B3376" s="57" t="s">
        <v>1022</v>
      </c>
      <c r="C3376" s="57" t="s">
        <v>1188</v>
      </c>
      <c r="D3376" s="84">
        <f>材料预算价!K14</f>
        <v>4.37</v>
      </c>
      <c r="E3376" s="84">
        <v>65</v>
      </c>
      <c r="F3376" s="84">
        <f t="shared" si="380"/>
        <v>284.05</v>
      </c>
    </row>
    <row r="3377" ht="14.1" customHeight="1" spans="1:6">
      <c r="A3377" s="57"/>
      <c r="B3377" s="57" t="s">
        <v>1163</v>
      </c>
      <c r="C3377" s="59" t="s">
        <v>423</v>
      </c>
      <c r="D3377" s="84">
        <f>F3368+F3369+F3370+F3371+F3372+F3373+F3374+F3376</f>
        <v>3500.43937275</v>
      </c>
      <c r="E3377" s="84">
        <v>0.5</v>
      </c>
      <c r="F3377" s="84">
        <f>D3377*E3377/100</f>
        <v>17.50219686375</v>
      </c>
    </row>
    <row r="3378" ht="14.1" customHeight="1" spans="1:6">
      <c r="A3378" s="57">
        <v>3</v>
      </c>
      <c r="B3378" s="57" t="s">
        <v>1171</v>
      </c>
      <c r="C3378" s="57"/>
      <c r="D3378" s="350"/>
      <c r="E3378" s="350"/>
      <c r="F3378" s="350">
        <f>SUM(F3379:F3386)</f>
        <v>921.868189681372</v>
      </c>
    </row>
    <row r="3379" ht="14.1" customHeight="1" spans="1:6">
      <c r="A3379" s="57"/>
      <c r="B3379" s="57" t="s">
        <v>1280</v>
      </c>
      <c r="C3379" s="57" t="s">
        <v>988</v>
      </c>
      <c r="D3379" s="84">
        <f>台时!H42</f>
        <v>49.389824491424</v>
      </c>
      <c r="E3379" s="351">
        <v>1.42</v>
      </c>
      <c r="F3379" s="84">
        <f t="shared" ref="F3379:F3385" si="381">D3379*E3379</f>
        <v>70.1335507778221</v>
      </c>
    </row>
    <row r="3380" ht="14.1" customHeight="1" spans="1:6">
      <c r="A3380" s="57"/>
      <c r="B3380" s="57" t="s">
        <v>1281</v>
      </c>
      <c r="C3380" s="57" t="s">
        <v>988</v>
      </c>
      <c r="D3380" s="84">
        <f>台时!F84</f>
        <v>62.3342780215397</v>
      </c>
      <c r="E3380" s="351">
        <v>0.12</v>
      </c>
      <c r="F3380" s="84">
        <f t="shared" si="381"/>
        <v>7.48011336258476</v>
      </c>
    </row>
    <row r="3381" ht="14.1" customHeight="1" spans="1:6">
      <c r="A3381" s="57"/>
      <c r="B3381" s="245" t="s">
        <v>1494</v>
      </c>
      <c r="C3381" s="245" t="s">
        <v>988</v>
      </c>
      <c r="D3381" s="84">
        <f>台时!G63</f>
        <v>90.2272672516953</v>
      </c>
      <c r="E3381" s="351">
        <v>1.23</v>
      </c>
      <c r="F3381" s="84">
        <f t="shared" si="381"/>
        <v>110.979538719585</v>
      </c>
    </row>
    <row r="3382" ht="14.1" customHeight="1" spans="1:6">
      <c r="A3382" s="57"/>
      <c r="B3382" s="57" t="s">
        <v>1495</v>
      </c>
      <c r="C3382" s="57" t="s">
        <v>988</v>
      </c>
      <c r="D3382" s="84">
        <f>台时!D84</f>
        <v>17.0095053849222</v>
      </c>
      <c r="E3382" s="351">
        <v>2.86</v>
      </c>
      <c r="F3382" s="84">
        <f t="shared" si="381"/>
        <v>48.6471854008776</v>
      </c>
    </row>
    <row r="3383" ht="14.1" customHeight="1" spans="1:6">
      <c r="A3383" s="57"/>
      <c r="B3383" s="57" t="s">
        <v>1284</v>
      </c>
      <c r="C3383" s="57" t="s">
        <v>988</v>
      </c>
      <c r="D3383" s="84">
        <f>台时!F42</f>
        <v>1.80552692461109</v>
      </c>
      <c r="E3383" s="351">
        <v>43.26</v>
      </c>
      <c r="F3383" s="84">
        <f t="shared" si="381"/>
        <v>78.1070947586757</v>
      </c>
    </row>
    <row r="3384" ht="14.1" customHeight="1" spans="1:6">
      <c r="A3384" s="57"/>
      <c r="B3384" s="57" t="s">
        <v>1343</v>
      </c>
      <c r="C3384" s="57" t="s">
        <v>988</v>
      </c>
      <c r="D3384" s="84">
        <f>台时!D42</f>
        <v>23.7459521340247</v>
      </c>
      <c r="E3384" s="351">
        <v>18.54</v>
      </c>
      <c r="F3384" s="84">
        <f t="shared" si="381"/>
        <v>440.249952564819</v>
      </c>
    </row>
    <row r="3385" ht="14.1" customHeight="1" spans="1:6">
      <c r="A3385" s="57"/>
      <c r="B3385" s="57" t="s">
        <v>1190</v>
      </c>
      <c r="C3385" s="57" t="s">
        <v>988</v>
      </c>
      <c r="D3385" s="84">
        <f>台时!C42</f>
        <v>0.813242919824491</v>
      </c>
      <c r="E3385" s="351">
        <v>83</v>
      </c>
      <c r="F3385" s="84">
        <f t="shared" si="381"/>
        <v>67.4991623454328</v>
      </c>
    </row>
    <row r="3386" ht="14.1" customHeight="1" spans="1:6">
      <c r="A3386" s="57"/>
      <c r="B3386" s="57" t="s">
        <v>1223</v>
      </c>
      <c r="C3386" s="59" t="s">
        <v>423</v>
      </c>
      <c r="D3386" s="84">
        <f>SUM(F3379:F3385)</f>
        <v>823.096597929797</v>
      </c>
      <c r="E3386" s="351">
        <v>12</v>
      </c>
      <c r="F3386" s="84">
        <f>D3386*E3386/100</f>
        <v>98.7715917515756</v>
      </c>
    </row>
    <row r="3387" ht="14.1" customHeight="1" spans="1:6">
      <c r="A3387" s="57">
        <v>4</v>
      </c>
      <c r="B3387" s="57" t="s">
        <v>1285</v>
      </c>
      <c r="C3387" s="59"/>
      <c r="D3387" s="84"/>
      <c r="E3387" s="84"/>
      <c r="F3387" s="84">
        <f>SUM(F3388:F3389)</f>
        <v>1986.41142067271</v>
      </c>
    </row>
    <row r="3388" ht="14.1" customHeight="1" spans="1:6">
      <c r="A3388" s="57"/>
      <c r="B3388" s="245" t="s">
        <v>1286</v>
      </c>
      <c r="C3388" s="245" t="s">
        <v>1188</v>
      </c>
      <c r="D3388" s="246">
        <f>D1854</f>
        <v>5.03319379720782</v>
      </c>
      <c r="E3388" s="246">
        <v>103</v>
      </c>
      <c r="F3388" s="84">
        <f>D3388*E3388</f>
        <v>518.418961112405</v>
      </c>
    </row>
    <row r="3389" ht="14.1" customHeight="1" spans="1:6">
      <c r="A3389" s="57"/>
      <c r="B3389" s="245" t="s">
        <v>1287</v>
      </c>
      <c r="C3389" s="245" t="s">
        <v>1188</v>
      </c>
      <c r="D3389" s="246">
        <f>D1855</f>
        <v>14.2523539763136</v>
      </c>
      <c r="E3389" s="246">
        <v>103</v>
      </c>
      <c r="F3389" s="84">
        <f>D3389*E3389</f>
        <v>1467.99245956031</v>
      </c>
    </row>
    <row r="3390" ht="14.1" customHeight="1" spans="1:6">
      <c r="A3390" s="57" t="s">
        <v>70</v>
      </c>
      <c r="B3390" s="57" t="s">
        <v>977</v>
      </c>
      <c r="C3390" s="194">
        <f>取费表!C7</f>
        <v>0.048</v>
      </c>
      <c r="D3390" s="203"/>
      <c r="E3390" s="113">
        <f>F3363</f>
        <v>35166.2307254678</v>
      </c>
      <c r="F3390" s="113">
        <f t="shared" ref="F3390:F3393" si="382">E3390*C3390</f>
        <v>1687.97907482246</v>
      </c>
    </row>
    <row r="3391" ht="14.1" customHeight="1" spans="1:6">
      <c r="A3391" s="57"/>
      <c r="B3391" s="57"/>
      <c r="C3391" s="194"/>
      <c r="D3391" s="203"/>
      <c r="E3391" s="113"/>
      <c r="F3391" s="113"/>
    </row>
    <row r="3392" ht="14.1" customHeight="1" spans="1:6">
      <c r="A3392" s="57" t="s">
        <v>979</v>
      </c>
      <c r="B3392" s="57" t="s">
        <v>973</v>
      </c>
      <c r="C3392" s="194">
        <f>取费表!E7</f>
        <v>0.07</v>
      </c>
      <c r="D3392" s="203"/>
      <c r="E3392" s="113">
        <f>F3362</f>
        <v>36854.2098002903</v>
      </c>
      <c r="F3392" s="113">
        <f t="shared" si="382"/>
        <v>2579.79468602032</v>
      </c>
    </row>
    <row r="3393" ht="14.1" customHeight="1" spans="1:6">
      <c r="A3393" s="57" t="s">
        <v>162</v>
      </c>
      <c r="B3393" s="57" t="s">
        <v>980</v>
      </c>
      <c r="C3393" s="194">
        <f>取费表!F7</f>
        <v>0.07</v>
      </c>
      <c r="D3393" s="203"/>
      <c r="E3393" s="113">
        <f>E3392+F3392</f>
        <v>39434.0044863106</v>
      </c>
      <c r="F3393" s="113">
        <f t="shared" si="382"/>
        <v>2760.38031404174</v>
      </c>
    </row>
    <row r="3394" ht="14.1" customHeight="1" spans="1:6">
      <c r="A3394" s="55" t="s">
        <v>327</v>
      </c>
      <c r="B3394" s="55" t="s">
        <v>1173</v>
      </c>
      <c r="C3394" s="253"/>
      <c r="D3394" s="254"/>
      <c r="E3394" s="55"/>
      <c r="F3394" s="255">
        <f>F3395+F3400</f>
        <v>9780.55469560639</v>
      </c>
    </row>
    <row r="3395" ht="14.1" customHeight="1" spans="1:6">
      <c r="A3395" s="57">
        <v>1</v>
      </c>
      <c r="B3395" s="57" t="s">
        <v>1288</v>
      </c>
      <c r="C3395" s="59"/>
      <c r="D3395" s="84"/>
      <c r="E3395" s="57"/>
      <c r="F3395" s="113">
        <f>SUM(F3396:F3399)</f>
        <v>9712.57769560639</v>
      </c>
    </row>
    <row r="3396" ht="14.1" customHeight="1" spans="1:6">
      <c r="A3396" s="57"/>
      <c r="B3396" s="57"/>
      <c r="C3396" s="57"/>
      <c r="D3396" s="84"/>
      <c r="E3396" s="84"/>
      <c r="F3396" s="113"/>
    </row>
    <row r="3397" ht="14.1" customHeight="1" spans="1:6">
      <c r="A3397" s="57"/>
      <c r="B3397" s="57" t="s">
        <v>1141</v>
      </c>
      <c r="C3397" s="57" t="s">
        <v>1188</v>
      </c>
      <c r="D3397" s="84">
        <f>材料预算价!K5-材料预算价!L5</f>
        <v>156.64017</v>
      </c>
      <c r="E3397" s="84">
        <f>E3375*配合比!E10</f>
        <v>35.035759</v>
      </c>
      <c r="F3397" s="113">
        <f t="shared" ref="F3397:F3399" si="383">D3397*E3397</f>
        <v>5488.00724583903</v>
      </c>
    </row>
    <row r="3398" ht="14.1" customHeight="1" spans="1:6">
      <c r="A3398" s="57"/>
      <c r="B3398" s="57" t="s">
        <v>1142</v>
      </c>
      <c r="C3398" s="57" t="s">
        <v>1188</v>
      </c>
      <c r="D3398" s="84">
        <f>材料预算价!K7-材料预算价!L7</f>
        <v>44.826214</v>
      </c>
      <c r="E3398" s="84">
        <f>E3375*配合比!G10</f>
        <v>54.40666</v>
      </c>
      <c r="F3398" s="113">
        <f t="shared" si="383"/>
        <v>2438.84458418524</v>
      </c>
    </row>
    <row r="3399" ht="14.1" customHeight="1" spans="1:6">
      <c r="A3399" s="57"/>
      <c r="B3399" s="57" t="s">
        <v>1496</v>
      </c>
      <c r="C3399" s="57" t="s">
        <v>1188</v>
      </c>
      <c r="D3399" s="84">
        <f>材料预算价!K8-材料预算价!L8</f>
        <v>20.60443</v>
      </c>
      <c r="E3399" s="84">
        <f>E3375*配合比!I10</f>
        <v>86.667084</v>
      </c>
      <c r="F3399" s="113">
        <f t="shared" si="383"/>
        <v>1785.72586558212</v>
      </c>
    </row>
    <row r="3400" ht="14.1" customHeight="1" spans="1:6">
      <c r="A3400" s="57">
        <v>2</v>
      </c>
      <c r="B3400" s="57" t="s">
        <v>1289</v>
      </c>
      <c r="C3400" s="57"/>
      <c r="D3400" s="84"/>
      <c r="E3400" s="88"/>
      <c r="F3400" s="113">
        <f>SUM(F3401:F3402)</f>
        <v>67.977</v>
      </c>
    </row>
    <row r="3401" ht="14.1" customHeight="1" spans="1:6">
      <c r="A3401" s="57"/>
      <c r="B3401" s="57" t="s">
        <v>1290</v>
      </c>
      <c r="C3401" s="57" t="s">
        <v>184</v>
      </c>
      <c r="D3401" s="84">
        <f>材料预算价!K13-材料预算价!L13</f>
        <v>6.225</v>
      </c>
      <c r="E3401" s="88">
        <f>(E3379*7.2+E3380*5.8)</f>
        <v>10.92</v>
      </c>
      <c r="F3401" s="113">
        <f>D3401*E3401</f>
        <v>67.977</v>
      </c>
    </row>
    <row r="3402" ht="14.1" customHeight="1" spans="1:6">
      <c r="A3402" s="57"/>
      <c r="B3402" s="57" t="s">
        <v>1174</v>
      </c>
      <c r="C3402" s="57" t="s">
        <v>184</v>
      </c>
      <c r="D3402" s="84">
        <f>材料预算价!K12-材料预算价!L12</f>
        <v>4.86</v>
      </c>
      <c r="E3402" s="88"/>
      <c r="F3402" s="113">
        <f>D3402*E3402</f>
        <v>0</v>
      </c>
    </row>
    <row r="3403" ht="14.1" customHeight="1" spans="1:6">
      <c r="A3403" s="57"/>
      <c r="B3403" s="57" t="s">
        <v>976</v>
      </c>
      <c r="C3403" s="195">
        <f>取费表!G7</f>
        <v>0.09</v>
      </c>
      <c r="D3403" s="275"/>
      <c r="E3403" s="84">
        <f>E3393+F3393+F3394</f>
        <v>51974.9394959587</v>
      </c>
      <c r="F3403" s="84">
        <f>C3403*E3403</f>
        <v>4677.74455463629</v>
      </c>
    </row>
    <row r="3404" ht="14.1" customHeight="1" spans="1:6">
      <c r="A3404" s="57"/>
      <c r="B3404" s="57" t="s">
        <v>984</v>
      </c>
      <c r="C3404" s="195"/>
      <c r="D3404" s="275"/>
      <c r="E3404" s="84"/>
      <c r="F3404" s="84">
        <f>(E3403+F3403)*取费表!H4</f>
        <v>1699.58052151785</v>
      </c>
    </row>
    <row r="3405" ht="14.1" customHeight="1" spans="1:6">
      <c r="A3405" s="57"/>
      <c r="B3405" s="57" t="s">
        <v>278</v>
      </c>
      <c r="C3405" s="58"/>
      <c r="D3405" s="275"/>
      <c r="E3405" s="275"/>
      <c r="F3405" s="84">
        <f>E3403+F3403+F3404</f>
        <v>58352.2645721129</v>
      </c>
    </row>
    <row r="3406" customHeight="1" spans="1:6">
      <c r="A3406"/>
      <c r="B3406"/>
      <c r="C3406"/>
      <c r="D3406"/>
      <c r="E3406"/>
      <c r="F3406"/>
    </row>
    <row r="3407" customHeight="1" spans="1:6">
      <c r="A3407"/>
      <c r="B3407"/>
      <c r="C3407"/>
      <c r="D3407"/>
      <c r="E3407"/>
      <c r="F3407"/>
    </row>
    <row r="3408" customHeight="1" spans="1:6">
      <c r="A3408"/>
      <c r="B3408"/>
      <c r="C3408"/>
      <c r="D3408"/>
      <c r="E3408"/>
      <c r="F3408"/>
    </row>
    <row r="3409" customHeight="1" spans="1:6">
      <c r="A3409"/>
      <c r="B3409"/>
      <c r="C3409"/>
      <c r="D3409"/>
      <c r="E3409"/>
      <c r="F3409"/>
    </row>
    <row r="3410" customHeight="1" spans="1:6">
      <c r="A3410"/>
      <c r="B3410"/>
      <c r="C3410"/>
      <c r="D3410"/>
      <c r="E3410"/>
      <c r="F3410"/>
    </row>
    <row r="3411" customHeight="1" spans="1:6">
      <c r="A3411"/>
      <c r="B3411"/>
      <c r="C3411"/>
      <c r="D3411"/>
      <c r="E3411"/>
      <c r="F3411"/>
    </row>
    <row r="3412" customHeight="1" spans="1:6">
      <c r="A3412"/>
      <c r="B3412"/>
      <c r="C3412"/>
      <c r="D3412"/>
      <c r="E3412"/>
      <c r="F3412"/>
    </row>
    <row r="3413" customHeight="1" spans="1:6">
      <c r="A3413"/>
      <c r="B3413"/>
      <c r="C3413"/>
      <c r="D3413"/>
      <c r="E3413"/>
      <c r="F3413"/>
    </row>
    <row r="3414" customHeight="1" spans="1:6">
      <c r="A3414"/>
      <c r="B3414"/>
      <c r="C3414"/>
      <c r="D3414"/>
      <c r="E3414"/>
      <c r="F3414"/>
    </row>
    <row r="3415" customHeight="1" spans="1:6">
      <c r="A3415"/>
      <c r="B3415"/>
      <c r="C3415"/>
      <c r="D3415"/>
      <c r="E3415"/>
      <c r="F3415"/>
    </row>
    <row r="3416" customHeight="1" spans="1:6">
      <c r="A3416"/>
      <c r="B3416"/>
      <c r="C3416"/>
      <c r="D3416"/>
      <c r="E3416"/>
      <c r="F3416"/>
    </row>
    <row r="3417" customHeight="1" spans="1:6">
      <c r="A3417"/>
      <c r="B3417"/>
      <c r="C3417"/>
      <c r="D3417"/>
      <c r="E3417"/>
      <c r="F3417"/>
    </row>
    <row r="3418" customHeight="1" spans="1:6">
      <c r="A3418"/>
      <c r="B3418"/>
      <c r="C3418"/>
      <c r="D3418"/>
      <c r="E3418"/>
      <c r="F3418"/>
    </row>
    <row r="3419" customHeight="1" spans="1:6">
      <c r="A3419"/>
      <c r="B3419"/>
      <c r="C3419"/>
      <c r="D3419"/>
      <c r="E3419"/>
      <c r="F3419"/>
    </row>
    <row r="3420" customHeight="1" spans="1:6">
      <c r="A3420"/>
      <c r="B3420"/>
      <c r="C3420"/>
      <c r="D3420"/>
      <c r="E3420"/>
      <c r="F3420"/>
    </row>
    <row r="3421" customHeight="1" spans="1:6">
      <c r="A3421"/>
      <c r="B3421"/>
      <c r="C3421"/>
      <c r="D3421"/>
      <c r="E3421"/>
      <c r="F3421"/>
    </row>
    <row r="3422" customHeight="1" spans="1:6">
      <c r="A3422"/>
      <c r="B3422"/>
      <c r="C3422"/>
      <c r="D3422"/>
      <c r="E3422"/>
      <c r="F3422"/>
    </row>
    <row r="3423" customHeight="1" spans="1:6">
      <c r="A3423"/>
      <c r="B3423"/>
      <c r="C3423"/>
      <c r="D3423"/>
      <c r="E3423"/>
      <c r="F3423"/>
    </row>
    <row r="3424" customHeight="1" spans="1:6">
      <c r="A3424"/>
      <c r="B3424"/>
      <c r="C3424"/>
      <c r="D3424"/>
      <c r="E3424"/>
      <c r="F3424"/>
    </row>
    <row r="3425" customHeight="1" spans="1:6">
      <c r="A3425"/>
      <c r="B3425"/>
      <c r="C3425"/>
      <c r="D3425"/>
      <c r="E3425"/>
      <c r="F3425"/>
    </row>
    <row r="3426" customHeight="1" spans="1:6">
      <c r="A3426"/>
      <c r="B3426"/>
      <c r="C3426"/>
      <c r="D3426"/>
      <c r="E3426"/>
      <c r="F3426"/>
    </row>
    <row r="3427" customHeight="1" spans="1:6">
      <c r="A3427"/>
      <c r="B3427"/>
      <c r="C3427"/>
      <c r="D3427"/>
      <c r="E3427"/>
      <c r="F3427"/>
    </row>
    <row r="3428" customHeight="1" spans="1:6">
      <c r="A3428"/>
      <c r="B3428"/>
      <c r="C3428"/>
      <c r="D3428"/>
      <c r="E3428"/>
      <c r="F3428"/>
    </row>
    <row r="3429" customHeight="1" spans="1:6">
      <c r="A3429"/>
      <c r="B3429"/>
      <c r="C3429"/>
      <c r="D3429"/>
      <c r="E3429"/>
      <c r="F3429"/>
    </row>
    <row r="3430" customHeight="1" spans="1:6">
      <c r="A3430"/>
      <c r="B3430"/>
      <c r="C3430"/>
      <c r="D3430"/>
      <c r="E3430"/>
      <c r="F3430"/>
    </row>
    <row r="3431" customHeight="1" spans="1:6">
      <c r="A3431"/>
      <c r="B3431"/>
      <c r="C3431"/>
      <c r="D3431"/>
      <c r="E3431"/>
      <c r="F3431"/>
    </row>
    <row r="3432" customHeight="1" spans="1:6">
      <c r="A3432"/>
      <c r="B3432"/>
      <c r="C3432"/>
      <c r="D3432"/>
      <c r="E3432"/>
      <c r="F3432"/>
    </row>
    <row r="3433" customHeight="1" spans="1:6">
      <c r="A3433"/>
      <c r="B3433"/>
      <c r="C3433"/>
      <c r="D3433"/>
      <c r="E3433"/>
      <c r="F3433"/>
    </row>
    <row r="3434" customHeight="1" spans="1:6">
      <c r="A3434"/>
      <c r="B3434"/>
      <c r="C3434"/>
      <c r="D3434"/>
      <c r="E3434"/>
      <c r="F3434"/>
    </row>
    <row r="3435" customHeight="1" spans="1:6">
      <c r="A3435"/>
      <c r="B3435"/>
      <c r="C3435"/>
      <c r="D3435"/>
      <c r="E3435"/>
      <c r="F3435"/>
    </row>
    <row r="3436" customHeight="1" spans="1:6">
      <c r="A3436"/>
      <c r="B3436"/>
      <c r="C3436"/>
      <c r="D3436"/>
      <c r="E3436"/>
      <c r="F3436"/>
    </row>
    <row r="3437" customHeight="1" spans="1:6">
      <c r="A3437"/>
      <c r="B3437"/>
      <c r="C3437"/>
      <c r="D3437"/>
      <c r="E3437"/>
      <c r="F3437"/>
    </row>
    <row r="3438" customHeight="1" spans="1:6">
      <c r="A3438"/>
      <c r="B3438"/>
      <c r="C3438"/>
      <c r="D3438"/>
      <c r="E3438"/>
      <c r="F3438"/>
    </row>
    <row r="3439" customHeight="1" spans="1:6">
      <c r="A3439"/>
      <c r="B3439"/>
      <c r="C3439"/>
      <c r="D3439"/>
      <c r="E3439"/>
      <c r="F3439"/>
    </row>
    <row r="3440" customHeight="1" spans="1:6">
      <c r="A3440"/>
      <c r="B3440"/>
      <c r="C3440"/>
      <c r="D3440"/>
      <c r="E3440"/>
      <c r="F3440"/>
    </row>
    <row r="3441" customHeight="1" spans="1:6">
      <c r="A3441"/>
      <c r="B3441"/>
      <c r="C3441"/>
      <c r="D3441"/>
      <c r="E3441"/>
      <c r="F3441"/>
    </row>
    <row r="3442" customHeight="1" spans="1:6">
      <c r="A3442"/>
      <c r="B3442"/>
      <c r="C3442"/>
      <c r="D3442"/>
      <c r="E3442"/>
      <c r="F3442"/>
    </row>
    <row r="3443" customHeight="1" spans="1:6">
      <c r="A3443"/>
      <c r="B3443"/>
      <c r="C3443"/>
      <c r="D3443"/>
      <c r="E3443"/>
      <c r="F3443"/>
    </row>
    <row r="3444" customHeight="1" spans="1:6">
      <c r="A3444"/>
      <c r="B3444"/>
      <c r="C3444"/>
      <c r="D3444"/>
      <c r="E3444"/>
      <c r="F3444"/>
    </row>
    <row r="3445" customHeight="1" spans="1:6">
      <c r="A3445"/>
      <c r="B3445"/>
      <c r="C3445"/>
      <c r="D3445"/>
      <c r="E3445"/>
      <c r="F3445"/>
    </row>
    <row r="3446" ht="16.5" customHeight="1" spans="1:6">
      <c r="A3446" s="313" t="s">
        <v>1155</v>
      </c>
      <c r="B3446" s="313"/>
      <c r="C3446" s="313"/>
      <c r="D3446" s="313"/>
      <c r="E3446" s="313"/>
      <c r="F3446" s="313"/>
    </row>
    <row r="3447" ht="16.5" customHeight="1" spans="1:6">
      <c r="A3447" s="256" t="s">
        <v>1497</v>
      </c>
      <c r="B3447" s="256"/>
      <c r="C3447" s="256"/>
      <c r="D3447" s="256"/>
      <c r="E3447" s="256"/>
      <c r="F3447" s="256"/>
    </row>
    <row r="3448" ht="16.5" customHeight="1" spans="1:6">
      <c r="A3448" s="190" t="s">
        <v>1498</v>
      </c>
      <c r="B3448" s="191"/>
      <c r="C3448" s="168"/>
      <c r="D3448" s="168"/>
      <c r="E3448" s="191" t="s">
        <v>1159</v>
      </c>
      <c r="F3448" s="191"/>
    </row>
    <row r="3449" ht="16.5" customHeight="1" spans="1:6">
      <c r="A3449" s="117" t="s">
        <v>1218</v>
      </c>
      <c r="B3449" s="192"/>
      <c r="C3449" s="192"/>
      <c r="D3449" s="192"/>
      <c r="E3449" s="192"/>
      <c r="F3449" s="118"/>
    </row>
    <row r="3450" ht="16.5" customHeight="1" spans="1:6">
      <c r="A3450" s="57" t="s">
        <v>354</v>
      </c>
      <c r="B3450" s="57" t="s">
        <v>956</v>
      </c>
      <c r="C3450" s="57" t="s">
        <v>52</v>
      </c>
      <c r="D3450" s="57" t="s">
        <v>855</v>
      </c>
      <c r="E3450" s="57" t="s">
        <v>53</v>
      </c>
      <c r="F3450" s="57" t="s">
        <v>306</v>
      </c>
    </row>
    <row r="3451" ht="16.5" customHeight="1" spans="1:6">
      <c r="A3451" s="57" t="s">
        <v>959</v>
      </c>
      <c r="B3451" s="57" t="s">
        <v>960</v>
      </c>
      <c r="C3451" s="57"/>
      <c r="D3451" s="57"/>
      <c r="E3451" s="57"/>
      <c r="F3451" s="84">
        <f>F3452+F3459+F3460</f>
        <v>4229.92194922569</v>
      </c>
    </row>
    <row r="3452" ht="16.5" customHeight="1" spans="1:6">
      <c r="A3452" s="57" t="s">
        <v>59</v>
      </c>
      <c r="B3452" s="57" t="s">
        <v>957</v>
      </c>
      <c r="C3452" s="57"/>
      <c r="D3452" s="57"/>
      <c r="E3452" s="57"/>
      <c r="F3452" s="84">
        <f>F3453+F3456+F3457</f>
        <v>4036.18506605505</v>
      </c>
    </row>
    <row r="3453" ht="16.5" customHeight="1" spans="1:6">
      <c r="A3453" s="57">
        <v>1</v>
      </c>
      <c r="B3453" s="57" t="s">
        <v>964</v>
      </c>
      <c r="C3453" s="57" t="s">
        <v>965</v>
      </c>
      <c r="D3453" s="113"/>
      <c r="E3453" s="92">
        <f>SUM(E3454:E3455)</f>
        <v>12</v>
      </c>
      <c r="F3453" s="113">
        <f>SUM(F3454:F3455)</f>
        <v>69.24</v>
      </c>
    </row>
    <row r="3454" ht="16.5" customHeight="1" spans="1:6">
      <c r="A3454" s="57"/>
      <c r="B3454" s="57" t="s">
        <v>966</v>
      </c>
      <c r="C3454" s="57" t="s">
        <v>965</v>
      </c>
      <c r="D3454" s="113">
        <f>建筑工程单价分析表!D765</f>
        <v>8.1</v>
      </c>
      <c r="E3454" s="92"/>
      <c r="F3454" s="113">
        <f t="shared" ref="F3454:F3458" si="384">D3454*E3454</f>
        <v>0</v>
      </c>
    </row>
    <row r="3455" ht="16.5" customHeight="1" spans="1:6">
      <c r="A3455" s="57"/>
      <c r="B3455" s="57" t="s">
        <v>968</v>
      </c>
      <c r="C3455" s="57" t="s">
        <v>965</v>
      </c>
      <c r="D3455" s="113">
        <f>建筑工程单价分析表!D766</f>
        <v>5.77</v>
      </c>
      <c r="E3455" s="92">
        <v>12</v>
      </c>
      <c r="F3455" s="113">
        <f t="shared" si="384"/>
        <v>69.24</v>
      </c>
    </row>
    <row r="3456" ht="16.5" customHeight="1" spans="1:6">
      <c r="A3456" s="57">
        <v>2</v>
      </c>
      <c r="B3456" s="57" t="s">
        <v>967</v>
      </c>
      <c r="C3456" s="59"/>
      <c r="D3456" s="88"/>
      <c r="E3456" s="88"/>
      <c r="F3456" s="88"/>
    </row>
    <row r="3457" ht="16.5" customHeight="1" spans="1:6">
      <c r="A3457" s="57">
        <v>3</v>
      </c>
      <c r="B3457" s="57" t="s">
        <v>1171</v>
      </c>
      <c r="C3457" s="59"/>
      <c r="D3457" s="84"/>
      <c r="E3457" s="84"/>
      <c r="F3457" s="84">
        <f>F3458</f>
        <v>3966.94506605505</v>
      </c>
    </row>
    <row r="3458" ht="16.5" customHeight="1" spans="1:6">
      <c r="A3458" s="57"/>
      <c r="B3458" s="57" t="s">
        <v>1499</v>
      </c>
      <c r="C3458" s="57" t="s">
        <v>988</v>
      </c>
      <c r="D3458" s="84">
        <f>台时!C21</f>
        <v>118.94887754288</v>
      </c>
      <c r="E3458" s="84">
        <v>33.35</v>
      </c>
      <c r="F3458" s="84">
        <f t="shared" si="384"/>
        <v>3966.94506605505</v>
      </c>
    </row>
    <row r="3459" ht="16.5" customHeight="1" spans="1:6">
      <c r="A3459" s="57" t="s">
        <v>70</v>
      </c>
      <c r="B3459" s="57" t="s">
        <v>977</v>
      </c>
      <c r="C3459" s="194">
        <f>取费表!C12</f>
        <v>0.048</v>
      </c>
      <c r="D3459" s="84"/>
      <c r="E3459" s="84">
        <f>F3452</f>
        <v>4036.18506605505</v>
      </c>
      <c r="F3459" s="84">
        <f t="shared" ref="F3459:F3462" si="385">E3459*C3459</f>
        <v>193.736883170642</v>
      </c>
    </row>
    <row r="3460" ht="16.5" customHeight="1" spans="1:6">
      <c r="A3460" s="57"/>
      <c r="B3460" s="57"/>
      <c r="C3460" s="194"/>
      <c r="D3460" s="84"/>
      <c r="E3460" s="84"/>
      <c r="F3460" s="84"/>
    </row>
    <row r="3461" ht="16.5" customHeight="1" spans="1:6">
      <c r="A3461" s="57" t="s">
        <v>979</v>
      </c>
      <c r="B3461" s="57" t="s">
        <v>973</v>
      </c>
      <c r="C3461" s="194">
        <f>取费表!E12</f>
        <v>0.0725</v>
      </c>
      <c r="D3461" s="84"/>
      <c r="E3461" s="84">
        <f>F3451</f>
        <v>4229.92194922569</v>
      </c>
      <c r="F3461" s="84">
        <f t="shared" si="385"/>
        <v>306.669341318863</v>
      </c>
    </row>
    <row r="3462" ht="16.5" customHeight="1" spans="1:6">
      <c r="A3462" s="57" t="s">
        <v>162</v>
      </c>
      <c r="B3462" s="57" t="s">
        <v>980</v>
      </c>
      <c r="C3462" s="194">
        <f>取费表!F12</f>
        <v>0.05</v>
      </c>
      <c r="D3462" s="113"/>
      <c r="E3462" s="84">
        <f>F3461+F3451</f>
        <v>4536.59129054455</v>
      </c>
      <c r="F3462" s="84">
        <f t="shared" si="385"/>
        <v>226.829564527228</v>
      </c>
    </row>
    <row r="3463" ht="16.5" customHeight="1" spans="1:6">
      <c r="A3463" s="57"/>
      <c r="B3463" s="57" t="s">
        <v>1500</v>
      </c>
      <c r="C3463" s="194" t="s">
        <v>184</v>
      </c>
      <c r="D3463" s="113">
        <f>建筑工程单价分析表!D797</f>
        <v>4.86</v>
      </c>
      <c r="E3463" s="84">
        <f>E3458*台时!C14</f>
        <v>473.57</v>
      </c>
      <c r="F3463" s="84">
        <f>D3463*E3463</f>
        <v>2301.5502</v>
      </c>
    </row>
    <row r="3464" ht="16.5" customHeight="1" spans="1:6">
      <c r="A3464" s="57" t="s">
        <v>214</v>
      </c>
      <c r="B3464" s="57" t="s">
        <v>976</v>
      </c>
      <c r="C3464" s="195">
        <f>取费表!G12</f>
        <v>0.09</v>
      </c>
      <c r="D3464" s="88"/>
      <c r="E3464" s="84">
        <f>F3462+F3461+F3451+F3463</f>
        <v>7064.97105507178</v>
      </c>
      <c r="F3464" s="84">
        <f>E3464*C3464</f>
        <v>635.84739495646</v>
      </c>
    </row>
    <row r="3465" ht="16.5" customHeight="1" spans="1:6">
      <c r="A3465" s="57"/>
      <c r="B3465" s="57" t="s">
        <v>984</v>
      </c>
      <c r="C3465" s="195"/>
      <c r="D3465" s="88"/>
      <c r="E3465" s="84"/>
      <c r="F3465" s="84">
        <f>(F3451+F3461+F3462+F3464)*取费表!H4</f>
        <v>161.978047500847</v>
      </c>
    </row>
    <row r="3466" ht="16.5" customHeight="1" spans="1:6">
      <c r="A3466" s="57"/>
      <c r="B3466" s="57" t="s">
        <v>278</v>
      </c>
      <c r="C3466" s="57"/>
      <c r="D3466" s="88"/>
      <c r="E3466" s="88"/>
      <c r="F3466" s="88">
        <f>F3464+E3464+F3465</f>
        <v>7862.79649752909</v>
      </c>
    </row>
    <row r="3467" ht="16.5" customHeight="1" spans="1:6">
      <c r="A3467"/>
      <c r="B3467"/>
      <c r="C3467"/>
      <c r="D3467"/>
      <c r="E3467"/>
      <c r="F3467"/>
    </row>
    <row r="3468" ht="16.5" customHeight="1" spans="1:6">
      <c r="A3468"/>
      <c r="B3468"/>
      <c r="C3468"/>
      <c r="D3468"/>
      <c r="E3468"/>
      <c r="F3468"/>
    </row>
    <row r="3469" ht="16.5" customHeight="1" spans="1:6">
      <c r="A3469"/>
      <c r="B3469"/>
      <c r="C3469"/>
      <c r="D3469"/>
      <c r="E3469"/>
      <c r="F3469"/>
    </row>
    <row r="3470" ht="16.5" customHeight="1" spans="1:6">
      <c r="A3470"/>
      <c r="B3470"/>
      <c r="C3470"/>
      <c r="D3470"/>
      <c r="E3470"/>
      <c r="F3470"/>
    </row>
    <row r="3471" ht="16.5" customHeight="1" spans="1:6">
      <c r="A3471"/>
      <c r="B3471"/>
      <c r="C3471"/>
      <c r="D3471"/>
      <c r="E3471"/>
      <c r="F3471"/>
    </row>
    <row r="3472" ht="16.5" customHeight="1" spans="1:6">
      <c r="A3472"/>
      <c r="B3472"/>
      <c r="C3472"/>
      <c r="D3472"/>
      <c r="E3472"/>
      <c r="F3472"/>
    </row>
    <row r="3473" ht="16.5" customHeight="1" spans="1:6">
      <c r="A3473"/>
      <c r="B3473"/>
      <c r="C3473"/>
      <c r="D3473"/>
      <c r="E3473"/>
      <c r="F3473"/>
    </row>
    <row r="3474" ht="16.5" customHeight="1" spans="1:6">
      <c r="A3474"/>
      <c r="B3474"/>
      <c r="C3474"/>
      <c r="D3474"/>
      <c r="E3474"/>
      <c r="F3474"/>
    </row>
    <row r="3475" ht="16.5" customHeight="1" spans="1:6">
      <c r="A3475"/>
      <c r="B3475"/>
      <c r="C3475"/>
      <c r="D3475"/>
      <c r="E3475"/>
      <c r="F3475"/>
    </row>
    <row r="3476" ht="16.5" customHeight="1" spans="1:6">
      <c r="A3476"/>
      <c r="B3476"/>
      <c r="C3476"/>
      <c r="D3476"/>
      <c r="E3476"/>
      <c r="F3476"/>
    </row>
    <row r="3477" ht="16.5" customHeight="1" spans="1:6">
      <c r="A3477"/>
      <c r="B3477"/>
      <c r="C3477"/>
      <c r="D3477"/>
      <c r="E3477"/>
      <c r="F3477"/>
    </row>
    <row r="3478" ht="16.5" customHeight="1" spans="1:6">
      <c r="A3478"/>
      <c r="B3478"/>
      <c r="C3478"/>
      <c r="D3478"/>
      <c r="E3478"/>
      <c r="F3478"/>
    </row>
    <row r="3479" ht="16.5" customHeight="1" spans="1:6">
      <c r="A3479"/>
      <c r="B3479"/>
      <c r="C3479"/>
      <c r="D3479"/>
      <c r="E3479"/>
      <c r="F3479"/>
    </row>
    <row r="3480" ht="16.5" customHeight="1" spans="1:6">
      <c r="A3480"/>
      <c r="B3480"/>
      <c r="C3480"/>
      <c r="D3480"/>
      <c r="E3480"/>
      <c r="F3480"/>
    </row>
    <row r="3481" ht="16.5" customHeight="1" spans="1:6">
      <c r="A3481"/>
      <c r="B3481"/>
      <c r="C3481"/>
      <c r="D3481"/>
      <c r="E3481"/>
      <c r="F3481"/>
    </row>
    <row r="3482" ht="16.5" customHeight="1" spans="1:6">
      <c r="A3482"/>
      <c r="B3482"/>
      <c r="C3482"/>
      <c r="D3482"/>
      <c r="E3482"/>
      <c r="F3482"/>
    </row>
    <row r="3483" ht="16.5" customHeight="1" spans="1:6">
      <c r="A3483"/>
      <c r="B3483"/>
      <c r="C3483"/>
      <c r="D3483"/>
      <c r="E3483"/>
      <c r="F3483"/>
    </row>
    <row r="3484" ht="16.5" customHeight="1" spans="1:6">
      <c r="A3484"/>
      <c r="B3484"/>
      <c r="C3484"/>
      <c r="D3484"/>
      <c r="E3484"/>
      <c r="F3484"/>
    </row>
    <row r="3485" ht="16.5" customHeight="1" spans="1:6">
      <c r="A3485"/>
      <c r="B3485"/>
      <c r="C3485"/>
      <c r="D3485"/>
      <c r="E3485"/>
      <c r="F3485"/>
    </row>
    <row r="3486" ht="16.5" customHeight="1" spans="1:6">
      <c r="A3486"/>
      <c r="B3486"/>
      <c r="C3486"/>
      <c r="D3486"/>
      <c r="E3486"/>
      <c r="F3486"/>
    </row>
    <row r="3487" ht="16.5" customHeight="1" spans="1:6">
      <c r="A3487"/>
      <c r="B3487"/>
      <c r="C3487"/>
      <c r="D3487"/>
      <c r="E3487"/>
      <c r="F3487"/>
    </row>
    <row r="3488" ht="16.5" customHeight="1" spans="1:6">
      <c r="A3488"/>
      <c r="B3488"/>
      <c r="C3488"/>
      <c r="D3488"/>
      <c r="E3488"/>
      <c r="F3488"/>
    </row>
    <row r="3489" ht="15.6" customHeight="1" spans="1:6">
      <c r="A3489" s="176" t="s">
        <v>1204</v>
      </c>
      <c r="B3489" s="175"/>
      <c r="C3489" s="175"/>
      <c r="D3489" s="175"/>
      <c r="E3489" s="175"/>
      <c r="F3489" s="175"/>
    </row>
    <row r="3490" ht="15.6" customHeight="1" spans="1:6">
      <c r="A3490" s="242" t="s">
        <v>1501</v>
      </c>
      <c r="C3490" s="243"/>
      <c r="D3490" s="243"/>
      <c r="E3490" s="243"/>
      <c r="F3490" s="243"/>
    </row>
    <row r="3491" ht="15.6" customHeight="1" spans="1:6">
      <c r="A3491" s="190" t="s">
        <v>1502</v>
      </c>
      <c r="B3491" s="190"/>
      <c r="C3491" s="243"/>
      <c r="D3491" s="243"/>
      <c r="E3491" s="191" t="s">
        <v>1159</v>
      </c>
      <c r="F3491" s="191"/>
    </row>
    <row r="3492" ht="15.6" customHeight="1" spans="1:6">
      <c r="A3492" s="117" t="s">
        <v>1218</v>
      </c>
      <c r="B3492" s="192"/>
      <c r="C3492" s="192"/>
      <c r="D3492" s="192"/>
      <c r="E3492" s="192"/>
      <c r="F3492" s="118"/>
    </row>
    <row r="3493" ht="15.6" customHeight="1" spans="1:6">
      <c r="A3493" s="57" t="s">
        <v>354</v>
      </c>
      <c r="B3493" s="57" t="s">
        <v>956</v>
      </c>
      <c r="C3493" s="57" t="s">
        <v>52</v>
      </c>
      <c r="D3493" s="57" t="s">
        <v>855</v>
      </c>
      <c r="E3493" s="57" t="s">
        <v>53</v>
      </c>
      <c r="F3493" s="57" t="s">
        <v>306</v>
      </c>
    </row>
    <row r="3494" ht="15.6" customHeight="1" spans="1:6">
      <c r="A3494" s="57" t="s">
        <v>1367</v>
      </c>
      <c r="B3494" s="57" t="s">
        <v>960</v>
      </c>
      <c r="C3494" s="57"/>
      <c r="D3494" s="57"/>
      <c r="E3494" s="57"/>
      <c r="F3494" s="84">
        <f>F3495+F3511+F3512</f>
        <v>35978.9492501942</v>
      </c>
    </row>
    <row r="3495" ht="15.6" customHeight="1" spans="1:6">
      <c r="A3495" s="57" t="s">
        <v>59</v>
      </c>
      <c r="B3495" s="57" t="s">
        <v>957</v>
      </c>
      <c r="C3495" s="57"/>
      <c r="D3495" s="57"/>
      <c r="E3495" s="57"/>
      <c r="F3495" s="84">
        <f>F3496+F3499+F3505</f>
        <v>34331.0584448418</v>
      </c>
    </row>
    <row r="3496" ht="15.6" customHeight="1" spans="1:6">
      <c r="A3496" s="57">
        <v>1</v>
      </c>
      <c r="B3496" s="57" t="s">
        <v>964</v>
      </c>
      <c r="C3496" s="57" t="s">
        <v>965</v>
      </c>
      <c r="D3496" s="84"/>
      <c r="E3496" s="92">
        <f>SUM(E3497:E3498)</f>
        <v>1866.2</v>
      </c>
      <c r="F3496" s="113">
        <f>SUM(F3497:F3498)</f>
        <v>13755.267</v>
      </c>
    </row>
    <row r="3497" ht="15.6" customHeight="1" spans="1:6">
      <c r="A3497" s="57"/>
      <c r="B3497" s="57" t="s">
        <v>966</v>
      </c>
      <c r="C3497" s="57" t="s">
        <v>965</v>
      </c>
      <c r="D3497" s="113">
        <f>建筑工程单价分析表!D787</f>
        <v>8.1</v>
      </c>
      <c r="E3497" s="92">
        <v>1282.1</v>
      </c>
      <c r="F3497" s="113">
        <f t="shared" ref="F3497:F3503" si="386">D3497*E3497</f>
        <v>10385.01</v>
      </c>
    </row>
    <row r="3498" ht="15.6" customHeight="1" spans="1:6">
      <c r="A3498" s="57"/>
      <c r="B3498" s="57" t="s">
        <v>968</v>
      </c>
      <c r="C3498" s="57" t="s">
        <v>965</v>
      </c>
      <c r="D3498" s="113">
        <f>建筑工程单价分析表!D788</f>
        <v>5.77</v>
      </c>
      <c r="E3498" s="92">
        <v>584.1</v>
      </c>
      <c r="F3498" s="113">
        <f t="shared" si="386"/>
        <v>3370.257</v>
      </c>
    </row>
    <row r="3499" ht="15.6" customHeight="1" spans="1:6">
      <c r="A3499" s="57">
        <v>2</v>
      </c>
      <c r="B3499" s="57" t="s">
        <v>1219</v>
      </c>
      <c r="C3499" s="57"/>
      <c r="D3499" s="84"/>
      <c r="E3499" s="84"/>
      <c r="F3499" s="84">
        <f>SUM(F3500:F3504)</f>
        <v>19875.21418587</v>
      </c>
    </row>
    <row r="3500" ht="15.6" customHeight="1" spans="1:6">
      <c r="A3500" s="57"/>
      <c r="B3500" s="244" t="s">
        <v>1334</v>
      </c>
      <c r="C3500" s="244" t="s">
        <v>184</v>
      </c>
      <c r="D3500" s="84">
        <v>4.44</v>
      </c>
      <c r="E3500" s="84">
        <v>116.41</v>
      </c>
      <c r="F3500" s="84">
        <f t="shared" si="386"/>
        <v>516.8604</v>
      </c>
    </row>
    <row r="3501" ht="15.6" customHeight="1" spans="1:6">
      <c r="A3501" s="57"/>
      <c r="B3501" s="244" t="s">
        <v>1276</v>
      </c>
      <c r="C3501" s="244" t="s">
        <v>184</v>
      </c>
      <c r="D3501" s="84">
        <v>4.5</v>
      </c>
      <c r="E3501" s="84">
        <v>24.59</v>
      </c>
      <c r="F3501" s="84">
        <f t="shared" si="386"/>
        <v>110.655</v>
      </c>
    </row>
    <row r="3502" ht="15.6" customHeight="1" spans="1:6">
      <c r="A3502" s="57"/>
      <c r="B3502" s="57" t="s">
        <v>1279</v>
      </c>
      <c r="C3502" s="57" t="s">
        <v>1188</v>
      </c>
      <c r="D3502" s="84">
        <f>配合比!M8</f>
        <v>176.4913185</v>
      </c>
      <c r="E3502" s="84">
        <v>102</v>
      </c>
      <c r="F3502" s="84">
        <f t="shared" si="386"/>
        <v>18002.114487</v>
      </c>
    </row>
    <row r="3503" ht="15.6" customHeight="1" spans="1:6">
      <c r="A3503" s="57"/>
      <c r="B3503" s="57" t="s">
        <v>1022</v>
      </c>
      <c r="C3503" s="57" t="s">
        <v>1188</v>
      </c>
      <c r="D3503" s="84">
        <f>材料预算价!K14</f>
        <v>4.37</v>
      </c>
      <c r="E3503" s="84">
        <v>240</v>
      </c>
      <c r="F3503" s="84">
        <f t="shared" si="386"/>
        <v>1048.8</v>
      </c>
    </row>
    <row r="3504" ht="15.6" customHeight="1" spans="1:6">
      <c r="A3504" s="57"/>
      <c r="B3504" s="57" t="s">
        <v>1163</v>
      </c>
      <c r="C3504" s="59" t="s">
        <v>423</v>
      </c>
      <c r="D3504" s="84">
        <f>SUM(F3500:F3503)</f>
        <v>19678.429887</v>
      </c>
      <c r="E3504" s="84">
        <v>1</v>
      </c>
      <c r="F3504" s="84">
        <f>D3504*E3504/100</f>
        <v>196.78429887</v>
      </c>
    </row>
    <row r="3505" ht="15.6" customHeight="1" spans="1:6">
      <c r="A3505" s="57">
        <v>3</v>
      </c>
      <c r="B3505" s="57" t="s">
        <v>1171</v>
      </c>
      <c r="C3505" s="57"/>
      <c r="D3505" s="84"/>
      <c r="E3505" s="84"/>
      <c r="F3505" s="84">
        <f>SUM(F3506:F3510)</f>
        <v>700.577258971839</v>
      </c>
    </row>
    <row r="3506" ht="15.6" customHeight="1" spans="1:6">
      <c r="A3506" s="57"/>
      <c r="B3506" s="57" t="s">
        <v>1283</v>
      </c>
      <c r="C3506" s="57" t="s">
        <v>988</v>
      </c>
      <c r="D3506" s="84">
        <f>台时!D42</f>
        <v>23.7459521340247</v>
      </c>
      <c r="E3506" s="84">
        <v>18.36</v>
      </c>
      <c r="F3506" s="84">
        <f t="shared" ref="F3506:F3509" si="387">D3506*E3506</f>
        <v>435.975681180694</v>
      </c>
    </row>
    <row r="3507" ht="15.6" customHeight="1" spans="1:6">
      <c r="A3507" s="57"/>
      <c r="B3507" s="57" t="s">
        <v>1503</v>
      </c>
      <c r="C3507" s="57" t="s">
        <v>988</v>
      </c>
      <c r="D3507" s="84">
        <f>台时!F42</f>
        <v>1.80552692461109</v>
      </c>
      <c r="E3507" s="84">
        <v>35.6</v>
      </c>
      <c r="F3507" s="84">
        <f t="shared" si="387"/>
        <v>64.2767585161548</v>
      </c>
    </row>
    <row r="3508" ht="15.6" customHeight="1" spans="1:6">
      <c r="A3508" s="57"/>
      <c r="B3508" s="57" t="s">
        <v>1280</v>
      </c>
      <c r="C3508" s="57" t="s">
        <v>988</v>
      </c>
      <c r="D3508" s="84">
        <f>台时!H42</f>
        <v>49.389824491424</v>
      </c>
      <c r="E3508" s="204">
        <v>1.6</v>
      </c>
      <c r="F3508" s="84">
        <f t="shared" si="387"/>
        <v>79.0237191862784</v>
      </c>
    </row>
    <row r="3509" ht="15.6" customHeight="1" spans="1:6">
      <c r="A3509" s="57"/>
      <c r="B3509" s="57" t="s">
        <v>1190</v>
      </c>
      <c r="C3509" s="57" t="s">
        <v>988</v>
      </c>
      <c r="D3509" s="84">
        <f>台时!C42</f>
        <v>0.813242919824491</v>
      </c>
      <c r="E3509" s="204">
        <v>92.8</v>
      </c>
      <c r="F3509" s="84">
        <f t="shared" si="387"/>
        <v>75.4689429597128</v>
      </c>
    </row>
    <row r="3510" ht="15.6" customHeight="1" spans="1:6">
      <c r="A3510" s="57"/>
      <c r="B3510" s="57" t="s">
        <v>1223</v>
      </c>
      <c r="C3510" s="59" t="s">
        <v>423</v>
      </c>
      <c r="D3510" s="84">
        <f>SUM(F3506:F3509)</f>
        <v>654.74510184284</v>
      </c>
      <c r="E3510" s="84">
        <v>7</v>
      </c>
      <c r="F3510" s="84">
        <f>D3510*E3510/100</f>
        <v>45.8321571289988</v>
      </c>
    </row>
    <row r="3511" ht="15.6" customHeight="1" spans="1:6">
      <c r="A3511" s="57" t="s">
        <v>70</v>
      </c>
      <c r="B3511" s="57" t="s">
        <v>977</v>
      </c>
      <c r="C3511" s="101">
        <f>取费表!C7</f>
        <v>0.048</v>
      </c>
      <c r="D3511" s="84"/>
      <c r="E3511" s="84">
        <f>F3495</f>
        <v>34331.0584448418</v>
      </c>
      <c r="F3511" s="84">
        <f t="shared" ref="F3511:F3514" si="388">E3511*C3511</f>
        <v>1647.89080535241</v>
      </c>
    </row>
    <row r="3512" ht="15.6" customHeight="1" spans="1:6">
      <c r="A3512" s="57"/>
      <c r="B3512" s="57"/>
      <c r="C3512" s="101"/>
      <c r="D3512" s="84"/>
      <c r="E3512" s="84"/>
      <c r="F3512" s="84"/>
    </row>
    <row r="3513" ht="15.6" customHeight="1" spans="1:6">
      <c r="A3513" s="57" t="s">
        <v>979</v>
      </c>
      <c r="B3513" s="57" t="s">
        <v>973</v>
      </c>
      <c r="C3513" s="101">
        <f>取费表!E7</f>
        <v>0.07</v>
      </c>
      <c r="D3513" s="84"/>
      <c r="E3513" s="84">
        <f>F3494</f>
        <v>35978.9492501942</v>
      </c>
      <c r="F3513" s="84">
        <f t="shared" si="388"/>
        <v>2518.5264475136</v>
      </c>
    </row>
    <row r="3514" ht="15.6" customHeight="1" spans="1:6">
      <c r="A3514" s="57" t="s">
        <v>162</v>
      </c>
      <c r="B3514" s="57" t="s">
        <v>980</v>
      </c>
      <c r="C3514" s="352">
        <f>取费表!F7</f>
        <v>0.07</v>
      </c>
      <c r="D3514" s="84"/>
      <c r="E3514" s="84">
        <f>E3513+F3513</f>
        <v>38497.4756977078</v>
      </c>
      <c r="F3514" s="84">
        <f t="shared" si="388"/>
        <v>2694.82329883955</v>
      </c>
    </row>
    <row r="3515" ht="15.6" customHeight="1" spans="1:6">
      <c r="A3515" s="55" t="s">
        <v>214</v>
      </c>
      <c r="B3515" s="55" t="s">
        <v>1173</v>
      </c>
      <c r="C3515" s="55"/>
      <c r="D3515" s="254"/>
      <c r="E3515" s="55"/>
      <c r="F3515" s="255">
        <f>F3516+F3520</f>
        <v>9262.0232373699</v>
      </c>
    </row>
    <row r="3516" ht="15.6" customHeight="1" spans="1:6">
      <c r="A3516" s="57">
        <v>1</v>
      </c>
      <c r="B3516" s="57" t="s">
        <v>1288</v>
      </c>
      <c r="C3516" s="57"/>
      <c r="D3516" s="84"/>
      <c r="E3516" s="57"/>
      <c r="F3516" s="113">
        <f>SUM(F3517:F3519)</f>
        <v>9190.3112373699</v>
      </c>
    </row>
    <row r="3517" ht="15.6" customHeight="1" spans="1:6">
      <c r="A3517" s="57"/>
      <c r="B3517" s="57" t="s">
        <v>1141</v>
      </c>
      <c r="C3517" s="57" t="s">
        <v>69</v>
      </c>
      <c r="D3517" s="84">
        <f>材料预算价!K5-材料预算价!L5</f>
        <v>156.64017</v>
      </c>
      <c r="E3517" s="88">
        <f>E3502*配合比!E8</f>
        <v>31.334094</v>
      </c>
      <c r="F3517" s="113">
        <f t="shared" ref="F3517:F3519" si="389">E3517*D3517</f>
        <v>4908.17781095598</v>
      </c>
    </row>
    <row r="3518" ht="15.6" customHeight="1" spans="1:12">
      <c r="A3518" s="57"/>
      <c r="B3518" s="57" t="s">
        <v>1142</v>
      </c>
      <c r="C3518" s="57" t="s">
        <v>1188</v>
      </c>
      <c r="D3518" s="84">
        <f>材料预算价!K7-材料预算价!L7</f>
        <v>44.826214</v>
      </c>
      <c r="E3518" s="88">
        <f>E3502*配合比!G8</f>
        <v>56.07756</v>
      </c>
      <c r="F3518" s="113">
        <f t="shared" si="389"/>
        <v>2513.74470515784</v>
      </c>
      <c r="L3518" s="243"/>
    </row>
    <row r="3519" ht="15.6" customHeight="1" spans="1:12">
      <c r="A3519" s="57"/>
      <c r="B3519" s="57" t="s">
        <v>1110</v>
      </c>
      <c r="C3519" s="57" t="s">
        <v>1188</v>
      </c>
      <c r="D3519" s="84">
        <f>材料预算价!K8-材料预算价!L8</f>
        <v>20.60443</v>
      </c>
      <c r="E3519" s="88">
        <f>E3502*配合比!I8</f>
        <v>85.825656</v>
      </c>
      <c r="F3519" s="113">
        <f t="shared" si="389"/>
        <v>1768.38872125608</v>
      </c>
      <c r="I3519" s="109" t="s">
        <v>1504</v>
      </c>
      <c r="J3519" s="109">
        <v>14000</v>
      </c>
      <c r="L3519" s="243"/>
    </row>
    <row r="3520" ht="15.6" customHeight="1" spans="1:12">
      <c r="A3520" s="57">
        <v>2</v>
      </c>
      <c r="B3520" s="57" t="s">
        <v>1289</v>
      </c>
      <c r="C3520" s="57"/>
      <c r="D3520" s="84"/>
      <c r="E3520" s="88"/>
      <c r="F3520" s="113">
        <f>SUM(F3521:F3521)</f>
        <v>71.712</v>
      </c>
      <c r="L3520" s="243" t="s">
        <v>1505</v>
      </c>
    </row>
    <row r="3521" ht="15.6" customHeight="1" spans="1:12">
      <c r="A3521" s="57"/>
      <c r="B3521" s="57" t="s">
        <v>1118</v>
      </c>
      <c r="C3521" s="57" t="s">
        <v>184</v>
      </c>
      <c r="D3521" s="84">
        <f>材料预算价!K13-材料预算价!L13</f>
        <v>6.225</v>
      </c>
      <c r="E3521" s="88">
        <f>E3508*台时!H34</f>
        <v>11.52</v>
      </c>
      <c r="F3521" s="113">
        <f>D3521*E3521</f>
        <v>71.712</v>
      </c>
      <c r="L3521" s="243">
        <v>16655</v>
      </c>
    </row>
    <row r="3522" ht="15.6" customHeight="1" spans="1:12">
      <c r="A3522" s="57" t="s">
        <v>327</v>
      </c>
      <c r="B3522" s="57" t="s">
        <v>976</v>
      </c>
      <c r="C3522" s="102">
        <f>取费表!G7</f>
        <v>0.09</v>
      </c>
      <c r="D3522" s="84"/>
      <c r="E3522" s="84">
        <f>F3494+F3513+F3514+F3515</f>
        <v>50454.3222339173</v>
      </c>
      <c r="F3522" s="84">
        <f>E3522*C3522</f>
        <v>4540.88900105256</v>
      </c>
      <c r="I3522" s="109" t="s">
        <v>1506</v>
      </c>
      <c r="J3522" s="243">
        <f>14000*2.98*2</f>
        <v>83440</v>
      </c>
      <c r="L3522" s="353">
        <f>J3522/L3521</f>
        <v>5.0099069348544</v>
      </c>
    </row>
    <row r="3523" ht="15.6" customHeight="1" spans="1:13">
      <c r="A3523" s="57"/>
      <c r="B3523" s="57" t="s">
        <v>984</v>
      </c>
      <c r="C3523" s="102"/>
      <c r="D3523" s="84"/>
      <c r="E3523" s="84"/>
      <c r="F3523" s="84">
        <f>(E3522+F3522)*取费表!H4</f>
        <v>1649.8563370491</v>
      </c>
      <c r="G3523" s="353">
        <f>1985/667</f>
        <v>2.976011994003</v>
      </c>
      <c r="H3523" s="353">
        <f>5000/667</f>
        <v>7.49625187406297</v>
      </c>
      <c r="I3523" s="109" t="s">
        <v>1507</v>
      </c>
      <c r="J3523" s="243">
        <f>14000*7.5*2</f>
        <v>210000</v>
      </c>
      <c r="L3523" s="353">
        <f>J3523/L3521</f>
        <v>12.6088261783248</v>
      </c>
      <c r="M3523" s="109">
        <f>L3521*L3526</f>
        <v>640585.220999015</v>
      </c>
    </row>
    <row r="3524" ht="15.6" customHeight="1" spans="1:12">
      <c r="A3524" s="57"/>
      <c r="B3524" s="57" t="s">
        <v>278</v>
      </c>
      <c r="C3524" s="57"/>
      <c r="D3524" s="84"/>
      <c r="E3524" s="84"/>
      <c r="F3524" s="84">
        <f>F3522+E3522+F3523</f>
        <v>56645.0675720189</v>
      </c>
      <c r="G3524" s="353"/>
      <c r="H3524" s="243"/>
      <c r="I3524" s="109" t="s">
        <v>1508</v>
      </c>
      <c r="J3524" s="243">
        <f>14000*0.05*单价汇总表!D19/100</f>
        <v>344317.220999015</v>
      </c>
      <c r="L3524" s="353">
        <f>J3524/L3521</f>
        <v>20.6735047132402</v>
      </c>
    </row>
    <row r="3525" ht="15.6" customHeight="1" spans="1:12">
      <c r="A3525" s="57"/>
      <c r="B3525" s="57"/>
      <c r="C3525" s="57"/>
      <c r="D3525" s="84"/>
      <c r="E3525" s="84"/>
      <c r="F3525" s="84"/>
      <c r="I3525" s="109" t="s">
        <v>1509</v>
      </c>
      <c r="J3525" s="243">
        <f>14000*0.05*4.04</f>
        <v>2828</v>
      </c>
      <c r="L3525" s="353">
        <f>J3525/L3521</f>
        <v>0.169798859201441</v>
      </c>
    </row>
    <row r="3526" ht="15.6" customHeight="1" spans="1:12">
      <c r="A3526" s="57"/>
      <c r="B3526" s="57"/>
      <c r="C3526" s="57"/>
      <c r="D3526" s="84"/>
      <c r="E3526" s="84"/>
      <c r="F3526" s="84"/>
      <c r="I3526" s="109" t="s">
        <v>278</v>
      </c>
      <c r="J3526" s="243">
        <f>SUM(J3522:J3525)</f>
        <v>640585.220999015</v>
      </c>
      <c r="L3526" s="353">
        <f>J3526/L3521</f>
        <v>38.4620366856209</v>
      </c>
    </row>
    <row r="3527" ht="15.6" customHeight="1" spans="1:12">
      <c r="A3527" s="57"/>
      <c r="B3527" s="57"/>
      <c r="C3527" s="57"/>
      <c r="D3527" s="84"/>
      <c r="E3527" s="84"/>
      <c r="F3527" s="84"/>
      <c r="L3527" s="243"/>
    </row>
    <row r="3528" ht="15.6" customHeight="1" spans="1:12">
      <c r="A3528" s="57"/>
      <c r="B3528" s="57"/>
      <c r="C3528" s="57"/>
      <c r="D3528" s="84"/>
      <c r="E3528" s="84"/>
      <c r="F3528" s="84"/>
      <c r="L3528" s="243"/>
    </row>
    <row r="3529" ht="15.6" customHeight="1" spans="1:12">
      <c r="A3529" s="57"/>
      <c r="B3529" s="57"/>
      <c r="C3529" s="57"/>
      <c r="D3529" s="84"/>
      <c r="E3529" s="84"/>
      <c r="F3529" s="84"/>
      <c r="J3529" s="109">
        <f>J3524+J3525</f>
        <v>347145.220999015</v>
      </c>
      <c r="K3529" s="109">
        <f>J3522+J3523</f>
        <v>293440</v>
      </c>
      <c r="L3529" s="243"/>
    </row>
    <row r="3530" ht="15.6" customHeight="1" spans="1:12">
      <c r="A3530" s="57"/>
      <c r="B3530" s="57"/>
      <c r="C3530" s="57"/>
      <c r="D3530" s="84"/>
      <c r="E3530" s="84"/>
      <c r="F3530" s="84"/>
      <c r="J3530" s="109">
        <f>J3529/(L3524+L3525)</f>
        <v>16655</v>
      </c>
      <c r="K3530" s="109">
        <f>K3529/(L3522+L3523)</f>
        <v>16655</v>
      </c>
      <c r="L3530" s="243"/>
    </row>
    <row r="3531" ht="15.6" customHeight="1" spans="1:12">
      <c r="A3531" s="57"/>
      <c r="B3531" s="57"/>
      <c r="C3531" s="57"/>
      <c r="D3531" s="84"/>
      <c r="E3531" s="84"/>
      <c r="F3531" s="84"/>
      <c r="L3531" s="243"/>
    </row>
    <row r="3532" ht="15.6" customHeight="1" spans="1:6">
      <c r="A3532" s="57"/>
      <c r="B3532" s="57"/>
      <c r="C3532" s="57"/>
      <c r="D3532" s="84"/>
      <c r="E3532" s="84"/>
      <c r="F3532" s="84"/>
    </row>
    <row r="3533" ht="15.6" customHeight="1" spans="1:6">
      <c r="A3533"/>
      <c r="B3533"/>
      <c r="C3533"/>
      <c r="D3533"/>
      <c r="E3533"/>
      <c r="F3533"/>
    </row>
    <row r="3534" ht="15.6" customHeight="1" spans="1:6">
      <c r="A3534"/>
      <c r="B3534"/>
      <c r="C3534"/>
      <c r="D3534"/>
      <c r="E3534"/>
      <c r="F3534"/>
    </row>
    <row r="3535" ht="15.6" customHeight="1" spans="1:6">
      <c r="A3535"/>
      <c r="B3535"/>
      <c r="C3535"/>
      <c r="D3535"/>
      <c r="E3535"/>
      <c r="F3535"/>
    </row>
    <row r="3536" ht="15.6" customHeight="1" spans="1:6">
      <c r="A3536"/>
      <c r="B3536"/>
      <c r="C3536"/>
      <c r="D3536"/>
      <c r="E3536"/>
      <c r="F3536"/>
    </row>
    <row r="3537" ht="15.6" customHeight="1" spans="1:6">
      <c r="A3537"/>
      <c r="B3537"/>
      <c r="C3537"/>
      <c r="D3537"/>
      <c r="E3537"/>
      <c r="F3537"/>
    </row>
    <row r="3538" ht="15.6" customHeight="1" spans="1:6">
      <c r="A3538"/>
      <c r="B3538"/>
      <c r="C3538"/>
      <c r="D3538"/>
      <c r="E3538"/>
      <c r="F3538"/>
    </row>
    <row r="3539" ht="15.6" customHeight="1" spans="1:6">
      <c r="A3539"/>
      <c r="B3539"/>
      <c r="C3539"/>
      <c r="D3539"/>
      <c r="E3539"/>
      <c r="F3539"/>
    </row>
    <row r="3540" ht="15.6" customHeight="1" spans="1:6">
      <c r="A3540"/>
      <c r="B3540"/>
      <c r="C3540"/>
      <c r="D3540"/>
      <c r="E3540"/>
      <c r="F3540"/>
    </row>
    <row r="3541" ht="15.6" customHeight="1" spans="1:6">
      <c r="A3541"/>
      <c r="B3541"/>
      <c r="C3541"/>
      <c r="D3541"/>
      <c r="E3541"/>
      <c r="F3541"/>
    </row>
    <row r="3542" ht="15.6" customHeight="1" spans="1:6">
      <c r="A3542"/>
      <c r="B3542"/>
      <c r="C3542"/>
      <c r="D3542"/>
      <c r="E3542"/>
      <c r="F3542"/>
    </row>
    <row r="3543" ht="15.6" customHeight="1" spans="1:6">
      <c r="A3543"/>
      <c r="B3543"/>
      <c r="C3543"/>
      <c r="D3543"/>
      <c r="E3543"/>
      <c r="F3543"/>
    </row>
    <row r="3544" ht="15.6" customHeight="1" spans="1:6">
      <c r="A3544"/>
      <c r="B3544"/>
      <c r="C3544"/>
      <c r="D3544"/>
      <c r="E3544"/>
      <c r="F3544"/>
    </row>
    <row r="3545" ht="15.6" customHeight="1" spans="1:6">
      <c r="A3545"/>
      <c r="B3545"/>
      <c r="C3545"/>
      <c r="D3545"/>
      <c r="E3545"/>
      <c r="F3545"/>
    </row>
    <row r="3546" ht="15.6" customHeight="1" spans="1:6">
      <c r="A3546"/>
      <c r="B3546"/>
      <c r="C3546"/>
      <c r="D3546"/>
      <c r="E3546"/>
      <c r="F3546"/>
    </row>
    <row r="3547" ht="15.6" customHeight="1" spans="1:6">
      <c r="A3547"/>
      <c r="B3547"/>
      <c r="C3547"/>
      <c r="D3547"/>
      <c r="E3547"/>
      <c r="F3547"/>
    </row>
    <row r="3548" ht="15.6" customHeight="1" spans="1:6">
      <c r="A3548"/>
      <c r="B3548"/>
      <c r="C3548"/>
      <c r="D3548"/>
      <c r="E3548"/>
      <c r="F3548"/>
    </row>
    <row r="3549" ht="15.6" customHeight="1" spans="1:6">
      <c r="A3549"/>
      <c r="B3549"/>
      <c r="C3549"/>
      <c r="D3549"/>
      <c r="E3549"/>
      <c r="F3549"/>
    </row>
    <row r="3550" ht="15.6" customHeight="1" spans="1:6">
      <c r="A3550"/>
      <c r="B3550"/>
      <c r="C3550"/>
      <c r="D3550"/>
      <c r="E3550"/>
      <c r="F3550"/>
    </row>
    <row r="3551" ht="15.6" customHeight="1" spans="1:6">
      <c r="A3551"/>
      <c r="B3551"/>
      <c r="C3551"/>
      <c r="D3551"/>
      <c r="E3551"/>
      <c r="F3551"/>
    </row>
    <row r="3552" ht="15.6" customHeight="1" spans="1:6">
      <c r="A3552"/>
      <c r="B3552"/>
      <c r="C3552"/>
      <c r="D3552"/>
      <c r="E3552"/>
      <c r="F3552"/>
    </row>
    <row r="3553" ht="15.6" customHeight="1" spans="1:6">
      <c r="A3553"/>
      <c r="B3553"/>
      <c r="C3553"/>
      <c r="D3553"/>
      <c r="E3553"/>
      <c r="F3553"/>
    </row>
    <row r="3554" ht="15.6" customHeight="1" spans="1:6">
      <c r="A3554"/>
      <c r="B3554"/>
      <c r="C3554"/>
      <c r="D3554"/>
      <c r="E3554"/>
      <c r="F3554"/>
    </row>
    <row r="3555" ht="15.6" customHeight="1" spans="1:6">
      <c r="A3555"/>
      <c r="B3555"/>
      <c r="C3555"/>
      <c r="D3555"/>
      <c r="E3555"/>
      <c r="F3555"/>
    </row>
    <row r="3556" ht="15.6" customHeight="1" spans="1:6">
      <c r="A3556"/>
      <c r="B3556"/>
      <c r="C3556"/>
      <c r="D3556"/>
      <c r="E3556"/>
      <c r="F3556"/>
    </row>
    <row r="3557" ht="15.6" customHeight="1" spans="1:6">
      <c r="A3557"/>
      <c r="B3557"/>
      <c r="C3557"/>
      <c r="D3557"/>
      <c r="E3557"/>
      <c r="F3557"/>
    </row>
    <row r="3558" ht="15.6" customHeight="1" spans="1:6">
      <c r="A3558"/>
      <c r="B3558"/>
      <c r="C3558"/>
      <c r="D3558"/>
      <c r="E3558"/>
      <c r="F3558"/>
    </row>
    <row r="3559" ht="15.6" customHeight="1" spans="1:6">
      <c r="A3559"/>
      <c r="B3559"/>
      <c r="C3559"/>
      <c r="D3559"/>
      <c r="E3559"/>
      <c r="F3559"/>
    </row>
    <row r="3560" ht="15.6" customHeight="1" spans="1:6">
      <c r="A3560"/>
      <c r="B3560"/>
      <c r="C3560"/>
      <c r="D3560"/>
      <c r="E3560"/>
      <c r="F3560"/>
    </row>
    <row r="3561" ht="15.6" customHeight="1" spans="1:6">
      <c r="A3561"/>
      <c r="B3561"/>
      <c r="C3561"/>
      <c r="D3561"/>
      <c r="E3561"/>
      <c r="F3561"/>
    </row>
    <row r="3562" ht="15.6" customHeight="1" spans="1:6">
      <c r="A3562"/>
      <c r="B3562"/>
      <c r="C3562"/>
      <c r="D3562"/>
      <c r="E3562"/>
      <c r="F3562"/>
    </row>
    <row r="3563" ht="15.6" customHeight="1" spans="1:6">
      <c r="A3563"/>
      <c r="B3563"/>
      <c r="C3563"/>
      <c r="D3563"/>
      <c r="E3563"/>
      <c r="F3563"/>
    </row>
    <row r="3564" ht="15.6" customHeight="1" spans="1:6">
      <c r="A3564"/>
      <c r="B3564"/>
      <c r="C3564"/>
      <c r="D3564"/>
      <c r="E3564"/>
      <c r="F3564"/>
    </row>
    <row r="3565" ht="15.6" customHeight="1" spans="1:6">
      <c r="A3565"/>
      <c r="B3565"/>
      <c r="C3565"/>
      <c r="D3565"/>
      <c r="E3565"/>
      <c r="F3565"/>
    </row>
    <row r="3566" ht="15.6" customHeight="1" spans="1:6">
      <c r="A3566"/>
      <c r="B3566"/>
      <c r="C3566"/>
      <c r="D3566"/>
      <c r="E3566"/>
      <c r="F3566"/>
    </row>
    <row r="3567" ht="15.6" customHeight="1" spans="1:6">
      <c r="A3567"/>
      <c r="B3567"/>
      <c r="C3567"/>
      <c r="D3567"/>
      <c r="E3567"/>
      <c r="F3567"/>
    </row>
    <row r="3568" ht="15.6" customHeight="1" spans="1:6">
      <c r="A3568"/>
      <c r="B3568"/>
      <c r="C3568"/>
      <c r="D3568"/>
      <c r="E3568"/>
      <c r="F3568"/>
    </row>
    <row r="3569" ht="15.6" customHeight="1" spans="1:6">
      <c r="A3569"/>
      <c r="B3569"/>
      <c r="C3569"/>
      <c r="D3569"/>
      <c r="E3569"/>
      <c r="F3569"/>
    </row>
    <row r="3570" ht="15.6" customHeight="1" spans="1:6">
      <c r="A3570"/>
      <c r="B3570"/>
      <c r="C3570"/>
      <c r="D3570"/>
      <c r="E3570"/>
      <c r="F3570"/>
    </row>
    <row r="3571" ht="15.6" customHeight="1" spans="1:6">
      <c r="A3571"/>
      <c r="B3571"/>
      <c r="C3571"/>
      <c r="D3571"/>
      <c r="E3571"/>
      <c r="F3571"/>
    </row>
    <row r="3572" ht="15.6" customHeight="1" spans="1:6">
      <c r="A3572" s="57"/>
      <c r="B3572" s="57"/>
      <c r="C3572" s="57"/>
      <c r="D3572" s="84"/>
      <c r="E3572" s="84"/>
      <c r="F3572" s="84"/>
    </row>
    <row r="3573" ht="15.6" customHeight="1" spans="1:6">
      <c r="A3573" s="57"/>
      <c r="B3573" s="57"/>
      <c r="C3573" s="57"/>
      <c r="D3573" s="84"/>
      <c r="E3573" s="84"/>
      <c r="F3573" s="84"/>
    </row>
    <row r="3574" ht="15.6" customHeight="1" spans="1:6">
      <c r="A3574" s="57"/>
      <c r="B3574" s="57"/>
      <c r="C3574" s="57"/>
      <c r="D3574" s="84"/>
      <c r="E3574" s="84"/>
      <c r="F3574" s="84"/>
    </row>
    <row r="3575" ht="15.6" customHeight="1" spans="1:6">
      <c r="A3575" s="57"/>
      <c r="B3575" s="57"/>
      <c r="C3575" s="57"/>
      <c r="D3575" s="84"/>
      <c r="E3575" s="84"/>
      <c r="F3575" s="84"/>
    </row>
    <row r="3576" ht="15.6" customHeight="1" spans="1:6">
      <c r="A3576" s="57"/>
      <c r="B3576" s="57"/>
      <c r="C3576" s="57"/>
      <c r="D3576" s="84"/>
      <c r="E3576" s="84"/>
      <c r="F3576" s="84"/>
    </row>
    <row r="3577" ht="15.6" customHeight="1" spans="1:6">
      <c r="A3577"/>
      <c r="B3577"/>
      <c r="C3577"/>
      <c r="D3577"/>
      <c r="E3577"/>
      <c r="F3577"/>
    </row>
    <row r="3578" ht="15.6" customHeight="1" spans="1:6">
      <c r="A3578"/>
      <c r="B3578"/>
      <c r="C3578"/>
      <c r="D3578"/>
      <c r="E3578"/>
      <c r="F3578"/>
    </row>
    <row r="3579" ht="15.6" customHeight="1" spans="1:6">
      <c r="A3579"/>
      <c r="B3579"/>
      <c r="C3579"/>
      <c r="D3579"/>
      <c r="E3579"/>
      <c r="F3579"/>
    </row>
    <row r="3580" ht="15.6" customHeight="1" spans="1:6">
      <c r="A3580"/>
      <c r="B3580"/>
      <c r="C3580"/>
      <c r="D3580"/>
      <c r="E3580"/>
      <c r="F3580"/>
    </row>
    <row r="3581" ht="15.6" customHeight="1" spans="1:6">
      <c r="A3581"/>
      <c r="B3581"/>
      <c r="C3581"/>
      <c r="D3581"/>
      <c r="E3581"/>
      <c r="F3581"/>
    </row>
    <row r="3582" ht="15.6" customHeight="1" spans="1:7">
      <c r="A3582"/>
      <c r="B3582"/>
      <c r="C3582"/>
      <c r="D3582"/>
      <c r="E3582"/>
      <c r="F3582"/>
      <c r="G3582" s="109">
        <f>0.5*14</f>
        <v>7</v>
      </c>
    </row>
    <row r="3583" ht="15.6" customHeight="1" spans="1:6">
      <c r="A3583"/>
      <c r="B3583"/>
      <c r="C3583"/>
      <c r="D3583"/>
      <c r="E3583"/>
      <c r="F3583"/>
    </row>
    <row r="3584" ht="15.6" customHeight="1" spans="1:6">
      <c r="A3584"/>
      <c r="B3584"/>
      <c r="C3584"/>
      <c r="D3584"/>
      <c r="E3584"/>
      <c r="F3584"/>
    </row>
    <row r="3585" ht="15.6" customHeight="1" spans="1:6">
      <c r="A3585"/>
      <c r="B3585"/>
      <c r="C3585"/>
      <c r="D3585"/>
      <c r="E3585"/>
      <c r="F3585"/>
    </row>
    <row r="3586" ht="15.6" customHeight="1" spans="1:6">
      <c r="A3586"/>
      <c r="B3586"/>
      <c r="C3586"/>
      <c r="D3586"/>
      <c r="E3586"/>
      <c r="F3586"/>
    </row>
    <row r="3587" ht="15.6" customHeight="1" spans="1:6">
      <c r="A3587"/>
      <c r="B3587"/>
      <c r="C3587"/>
      <c r="D3587"/>
      <c r="E3587"/>
      <c r="F3587"/>
    </row>
    <row r="3588" ht="15.6" customHeight="1" spans="1:7">
      <c r="A3588"/>
      <c r="B3588"/>
      <c r="C3588"/>
      <c r="D3588"/>
      <c r="E3588"/>
      <c r="F3588"/>
      <c r="G3588" s="354">
        <f>F3524+建筑工程单价分析表!F823+F3645</f>
        <v>75720.483128788</v>
      </c>
    </row>
    <row r="3589" ht="15.6" customHeight="1" spans="1:6">
      <c r="A3589"/>
      <c r="B3589"/>
      <c r="C3589"/>
      <c r="D3589"/>
      <c r="E3589"/>
      <c r="F3589"/>
    </row>
    <row r="3590" ht="15.6" customHeight="1" spans="1:6">
      <c r="A3590"/>
      <c r="B3590"/>
      <c r="C3590"/>
      <c r="D3590"/>
      <c r="E3590"/>
      <c r="F3590"/>
    </row>
    <row r="3591" ht="15.6" customHeight="1" spans="1:6">
      <c r="A3591"/>
      <c r="B3591"/>
      <c r="C3591"/>
      <c r="D3591"/>
      <c r="E3591"/>
      <c r="F3591"/>
    </row>
    <row r="3592" ht="15.6" customHeight="1" spans="1:6">
      <c r="A3592"/>
      <c r="B3592"/>
      <c r="C3592"/>
      <c r="D3592"/>
      <c r="E3592"/>
      <c r="F3592"/>
    </row>
    <row r="3593" ht="15.6" customHeight="1" spans="1:6">
      <c r="A3593"/>
      <c r="B3593"/>
      <c r="C3593"/>
      <c r="D3593"/>
      <c r="E3593"/>
      <c r="F3593"/>
    </row>
    <row r="3594" ht="15.6" customHeight="1" spans="1:6">
      <c r="A3594"/>
      <c r="B3594"/>
      <c r="C3594"/>
      <c r="D3594"/>
      <c r="E3594"/>
      <c r="F3594"/>
    </row>
    <row r="3595" ht="15.6" customHeight="1" spans="1:6">
      <c r="A3595"/>
      <c r="B3595"/>
      <c r="C3595"/>
      <c r="D3595"/>
      <c r="E3595"/>
      <c r="F3595"/>
    </row>
    <row r="3596" ht="15.6" customHeight="1" spans="1:6">
      <c r="A3596"/>
      <c r="B3596"/>
      <c r="C3596"/>
      <c r="D3596"/>
      <c r="E3596"/>
      <c r="F3596"/>
    </row>
    <row r="3597" ht="15.6" customHeight="1" spans="1:6">
      <c r="A3597"/>
      <c r="B3597"/>
      <c r="C3597"/>
      <c r="D3597"/>
      <c r="E3597"/>
      <c r="F3597"/>
    </row>
    <row r="3598" ht="15.6" customHeight="1" spans="1:6">
      <c r="A3598"/>
      <c r="B3598"/>
      <c r="C3598"/>
      <c r="D3598"/>
      <c r="E3598"/>
      <c r="F3598"/>
    </row>
    <row r="3599" ht="15.6" customHeight="1" spans="1:6">
      <c r="A3599"/>
      <c r="B3599"/>
      <c r="C3599"/>
      <c r="D3599"/>
      <c r="E3599"/>
      <c r="F3599"/>
    </row>
    <row r="3600" ht="15.6" customHeight="1" spans="1:6">
      <c r="A3600"/>
      <c r="B3600"/>
      <c r="C3600"/>
      <c r="D3600"/>
      <c r="E3600"/>
      <c r="F3600"/>
    </row>
    <row r="3601" ht="15.6" customHeight="1" spans="1:6">
      <c r="A3601"/>
      <c r="B3601"/>
      <c r="C3601"/>
      <c r="D3601"/>
      <c r="E3601"/>
      <c r="F3601"/>
    </row>
    <row r="3602" ht="15.6" customHeight="1" spans="1:6">
      <c r="A3602"/>
      <c r="B3602"/>
      <c r="C3602"/>
      <c r="D3602"/>
      <c r="E3602"/>
      <c r="F3602"/>
    </row>
    <row r="3603" ht="15.6" customHeight="1" spans="1:6">
      <c r="A3603"/>
      <c r="B3603"/>
      <c r="C3603"/>
      <c r="D3603"/>
      <c r="E3603"/>
      <c r="F3603"/>
    </row>
    <row r="3604" ht="15.6" customHeight="1" spans="1:6">
      <c r="A3604"/>
      <c r="B3604"/>
      <c r="C3604"/>
      <c r="D3604"/>
      <c r="E3604"/>
      <c r="F3604"/>
    </row>
    <row r="3605" ht="15.6" customHeight="1" spans="1:6">
      <c r="A3605"/>
      <c r="B3605"/>
      <c r="C3605"/>
      <c r="D3605"/>
      <c r="E3605"/>
      <c r="F3605"/>
    </row>
    <row r="3606" ht="15.6" customHeight="1" spans="1:6">
      <c r="A3606"/>
      <c r="B3606"/>
      <c r="C3606"/>
      <c r="D3606"/>
      <c r="E3606"/>
      <c r="F3606"/>
    </row>
    <row r="3607" ht="15.6" customHeight="1" spans="1:6">
      <c r="A3607"/>
      <c r="B3607"/>
      <c r="C3607"/>
      <c r="D3607"/>
      <c r="E3607"/>
      <c r="F3607"/>
    </row>
    <row r="3608" ht="15.6" customHeight="1" spans="1:6">
      <c r="A3608"/>
      <c r="B3608"/>
      <c r="C3608"/>
      <c r="D3608"/>
      <c r="E3608"/>
      <c r="F3608"/>
    </row>
    <row r="3609" ht="15.6" customHeight="1" spans="1:6">
      <c r="A3609"/>
      <c r="B3609"/>
      <c r="C3609"/>
      <c r="D3609"/>
      <c r="E3609"/>
      <c r="F3609"/>
    </row>
    <row r="3610" ht="15.6" customHeight="1" spans="1:6">
      <c r="A3610"/>
      <c r="B3610"/>
      <c r="C3610"/>
      <c r="D3610"/>
      <c r="E3610"/>
      <c r="F3610"/>
    </row>
    <row r="3611" ht="15.6" customHeight="1" spans="1:6">
      <c r="A3611"/>
      <c r="B3611"/>
      <c r="C3611"/>
      <c r="D3611"/>
      <c r="E3611"/>
      <c r="F3611"/>
    </row>
    <row r="3612" ht="15.6" customHeight="1" spans="1:6">
      <c r="A3612"/>
      <c r="B3612"/>
      <c r="C3612"/>
      <c r="D3612"/>
      <c r="E3612"/>
      <c r="F3612"/>
    </row>
    <row r="3613" ht="15.6" customHeight="1" spans="1:6">
      <c r="A3613" s="57"/>
      <c r="B3613" s="57"/>
      <c r="C3613" s="57"/>
      <c r="D3613" s="84"/>
      <c r="E3613" s="84"/>
      <c r="F3613" s="84"/>
    </row>
    <row r="3614" ht="15.6" customHeight="1" spans="1:6">
      <c r="A3614" s="57"/>
      <c r="B3614" s="57"/>
      <c r="C3614" s="57"/>
      <c r="D3614" s="84"/>
      <c r="E3614" s="84"/>
      <c r="F3614" s="84"/>
    </row>
    <row r="3615" ht="15.6" customHeight="1" spans="1:6">
      <c r="A3615" s="57"/>
      <c r="B3615" s="57"/>
      <c r="C3615" s="57"/>
      <c r="D3615" s="84"/>
      <c r="E3615" s="84"/>
      <c r="F3615" s="84"/>
    </row>
    <row r="3616" ht="15.6" customHeight="1" spans="1:6">
      <c r="A3616" s="57"/>
      <c r="B3616" s="57"/>
      <c r="C3616" s="57"/>
      <c r="D3616" s="84"/>
      <c r="E3616" s="84"/>
      <c r="F3616" s="84"/>
    </row>
    <row r="3617" ht="15.6" customHeight="1" spans="1:6">
      <c r="A3617" s="57"/>
      <c r="B3617" s="57"/>
      <c r="C3617" s="57"/>
      <c r="D3617" s="84"/>
      <c r="E3617" s="84"/>
      <c r="F3617" s="84"/>
    </row>
    <row r="3618" ht="15.6" customHeight="1" spans="1:6">
      <c r="A3618" s="57"/>
      <c r="B3618" s="57"/>
      <c r="C3618" s="57"/>
      <c r="D3618" s="84"/>
      <c r="E3618" s="84"/>
      <c r="F3618" s="84"/>
    </row>
    <row r="3619" ht="15.6" customHeight="1" spans="1:6">
      <c r="A3619" s="57"/>
      <c r="B3619" s="57"/>
      <c r="C3619" s="57"/>
      <c r="D3619" s="84"/>
      <c r="E3619" s="84"/>
      <c r="F3619" s="84"/>
    </row>
    <row r="3620" ht="15.6" customHeight="1" spans="1:6">
      <c r="A3620" s="57"/>
      <c r="B3620" s="57"/>
      <c r="C3620" s="57"/>
      <c r="D3620" s="84"/>
      <c r="E3620" s="84"/>
      <c r="F3620" s="84"/>
    </row>
    <row r="3621" customHeight="1" spans="1:6">
      <c r="A3621" s="176" t="s">
        <v>1204</v>
      </c>
      <c r="B3621" s="175"/>
      <c r="C3621" s="175"/>
      <c r="D3621" s="175"/>
      <c r="E3621" s="175"/>
      <c r="F3621" s="175"/>
    </row>
    <row r="3622" customHeight="1" spans="1:6">
      <c r="A3622" s="242" t="s">
        <v>1510</v>
      </c>
      <c r="C3622" s="243"/>
      <c r="D3622" s="243"/>
      <c r="E3622" s="243"/>
      <c r="F3622" s="243"/>
    </row>
    <row r="3623" customHeight="1" spans="1:6">
      <c r="A3623" s="190" t="s">
        <v>1511</v>
      </c>
      <c r="B3623" s="190"/>
      <c r="C3623" s="168"/>
      <c r="D3623" s="168"/>
      <c r="E3623" s="191" t="s">
        <v>1242</v>
      </c>
      <c r="F3623" s="191"/>
    </row>
    <row r="3624" customHeight="1" spans="1:6">
      <c r="A3624" s="197" t="s">
        <v>1512</v>
      </c>
      <c r="B3624" s="201"/>
      <c r="C3624" s="192"/>
      <c r="D3624" s="192"/>
      <c r="E3624" s="192"/>
      <c r="F3624" s="118"/>
    </row>
    <row r="3625" customHeight="1" spans="1:6">
      <c r="A3625" s="57" t="s">
        <v>354</v>
      </c>
      <c r="B3625" s="57" t="s">
        <v>956</v>
      </c>
      <c r="C3625" s="57" t="s">
        <v>52</v>
      </c>
      <c r="D3625" s="57" t="s">
        <v>855</v>
      </c>
      <c r="E3625" s="57" t="s">
        <v>53</v>
      </c>
      <c r="F3625" s="57" t="s">
        <v>306</v>
      </c>
    </row>
    <row r="3626" customHeight="1" spans="1:6">
      <c r="A3626" s="57" t="s">
        <v>1367</v>
      </c>
      <c r="B3626" s="57" t="s">
        <v>960</v>
      </c>
      <c r="C3626" s="57"/>
      <c r="D3626" s="57"/>
      <c r="E3626" s="57"/>
      <c r="F3626" s="84">
        <f>F3627+F3639+F3640</f>
        <v>8813.22986774701</v>
      </c>
    </row>
    <row r="3627" customHeight="1" spans="1:7">
      <c r="A3627" s="57" t="s">
        <v>59</v>
      </c>
      <c r="B3627" s="57" t="s">
        <v>957</v>
      </c>
      <c r="C3627" s="57"/>
      <c r="D3627" s="57"/>
      <c r="E3627" s="57"/>
      <c r="F3627" s="84">
        <f>F3628+F3631+F3635</f>
        <v>8409.57048449142</v>
      </c>
      <c r="G3627" s="109" t="s">
        <v>1513</v>
      </c>
    </row>
    <row r="3628" customHeight="1" spans="1:13">
      <c r="A3628" s="57">
        <v>1</v>
      </c>
      <c r="B3628" s="57" t="s">
        <v>964</v>
      </c>
      <c r="C3628" s="57" t="s">
        <v>965</v>
      </c>
      <c r="D3628" s="84"/>
      <c r="E3628" s="92">
        <f>SUM(E3629:E3630)</f>
        <v>1107.3</v>
      </c>
      <c r="F3628" s="113">
        <f>SUM(F3629:F3630)</f>
        <v>8195.104</v>
      </c>
      <c r="G3628" s="109">
        <f>0.28-0.25</f>
        <v>0.03</v>
      </c>
      <c r="H3628" s="109">
        <f>818.4*4</f>
        <v>3273.6</v>
      </c>
      <c r="I3628" s="109">
        <f>350.8*4</f>
        <v>1403.2</v>
      </c>
      <c r="J3628" s="109">
        <f>84.3*4</f>
        <v>337.2</v>
      </c>
      <c r="K3628" s="109">
        <f>29.4*4</f>
        <v>117.6</v>
      </c>
      <c r="L3628" s="109">
        <f>3.92*4</f>
        <v>15.68</v>
      </c>
      <c r="M3628" s="109">
        <f>121.66*4</f>
        <v>486.64</v>
      </c>
    </row>
    <row r="3629" customHeight="1" spans="1:13">
      <c r="A3629" s="57"/>
      <c r="B3629" s="57" t="s">
        <v>966</v>
      </c>
      <c r="C3629" s="57" t="s">
        <v>965</v>
      </c>
      <c r="D3629" s="113">
        <f>D3497</f>
        <v>8.1</v>
      </c>
      <c r="E3629" s="92">
        <v>775.1</v>
      </c>
      <c r="F3629" s="113">
        <f t="shared" ref="F3629:F3633" si="390">D3629*E3629</f>
        <v>6278.31</v>
      </c>
      <c r="G3629" s="109">
        <f>0.25-0.21</f>
        <v>0.04</v>
      </c>
      <c r="H3629" s="109">
        <f>3*775.1</f>
        <v>2325.3</v>
      </c>
      <c r="I3629" s="109">
        <f>332.3*3</f>
        <v>996.9</v>
      </c>
      <c r="J3629" s="109">
        <f>79.5*3</f>
        <v>238.5</v>
      </c>
      <c r="K3629" s="109">
        <f>34.2*3</f>
        <v>102.6</v>
      </c>
      <c r="L3629" s="109">
        <f>4.81*3</f>
        <v>14.43</v>
      </c>
      <c r="M3629" s="109">
        <f>123.27*3</f>
        <v>369.81</v>
      </c>
    </row>
    <row r="3630" customHeight="1" spans="1:13">
      <c r="A3630" s="57"/>
      <c r="B3630" s="57" t="s">
        <v>968</v>
      </c>
      <c r="C3630" s="57" t="s">
        <v>965</v>
      </c>
      <c r="D3630" s="113">
        <f>D3498</f>
        <v>5.77</v>
      </c>
      <c r="E3630" s="92">
        <v>332.2</v>
      </c>
      <c r="F3630" s="113">
        <f t="shared" si="390"/>
        <v>1916.794</v>
      </c>
      <c r="H3630" s="109">
        <f t="shared" ref="H3630:M3630" si="391">H3628+H3629</f>
        <v>5598.9</v>
      </c>
      <c r="I3630" s="109">
        <f t="shared" si="391"/>
        <v>2400.1</v>
      </c>
      <c r="J3630" s="109">
        <f t="shared" si="391"/>
        <v>575.7</v>
      </c>
      <c r="K3630" s="109">
        <f t="shared" si="391"/>
        <v>220.2</v>
      </c>
      <c r="L3630" s="109">
        <f t="shared" si="391"/>
        <v>30.11</v>
      </c>
      <c r="M3630" s="109">
        <f t="shared" si="391"/>
        <v>856.45</v>
      </c>
    </row>
    <row r="3631" customHeight="1" spans="1:13">
      <c r="A3631" s="57">
        <v>2</v>
      </c>
      <c r="B3631" s="57" t="s">
        <v>1219</v>
      </c>
      <c r="C3631" s="57"/>
      <c r="D3631" s="84"/>
      <c r="E3631" s="84"/>
      <c r="F3631" s="84">
        <f>SUM(F3632:F3634)</f>
        <v>0</v>
      </c>
      <c r="H3631" s="355">
        <f t="shared" ref="H3631:M3631" si="392">H3630/7</f>
        <v>799.842857142857</v>
      </c>
      <c r="I3631" s="355">
        <f t="shared" si="392"/>
        <v>342.871428571429</v>
      </c>
      <c r="J3631" s="355">
        <f t="shared" si="392"/>
        <v>82.2428571428571</v>
      </c>
      <c r="K3631" s="355">
        <f t="shared" si="392"/>
        <v>31.4571428571429</v>
      </c>
      <c r="L3631" s="355">
        <f t="shared" si="392"/>
        <v>4.30142857142857</v>
      </c>
      <c r="M3631" s="355">
        <f t="shared" si="392"/>
        <v>122.35</v>
      </c>
    </row>
    <row r="3632" customHeight="1" spans="1:6">
      <c r="A3632" s="57"/>
      <c r="B3632" s="244" t="s">
        <v>1514</v>
      </c>
      <c r="C3632" s="244" t="s">
        <v>1426</v>
      </c>
      <c r="D3632" s="84"/>
      <c r="E3632" s="244">
        <v>79.5</v>
      </c>
      <c r="F3632" s="84">
        <f t="shared" si="390"/>
        <v>0</v>
      </c>
    </row>
    <row r="3633" customHeight="1" spans="1:6">
      <c r="A3633" s="57"/>
      <c r="B3633" s="244" t="s">
        <v>1515</v>
      </c>
      <c r="C3633" s="244" t="s">
        <v>1426</v>
      </c>
      <c r="D3633" s="84"/>
      <c r="E3633" s="244">
        <v>34.2</v>
      </c>
      <c r="F3633" s="84">
        <f t="shared" si="390"/>
        <v>0</v>
      </c>
    </row>
    <row r="3634" customHeight="1" spans="1:6">
      <c r="A3634" s="57"/>
      <c r="B3634" s="244" t="s">
        <v>1248</v>
      </c>
      <c r="C3634" s="244" t="s">
        <v>423</v>
      </c>
      <c r="D3634" s="84">
        <f>F3632+F3633</f>
        <v>0</v>
      </c>
      <c r="E3634" s="244">
        <v>0.5</v>
      </c>
      <c r="F3634" s="84">
        <f>D3634*E3634/100</f>
        <v>0</v>
      </c>
    </row>
    <row r="3635" customHeight="1" spans="1:6">
      <c r="A3635" s="57">
        <v>3</v>
      </c>
      <c r="B3635" s="57" t="s">
        <v>1171</v>
      </c>
      <c r="C3635" s="57"/>
      <c r="D3635" s="84"/>
      <c r="E3635" s="84"/>
      <c r="F3635" s="84">
        <f>SUM(F3636:F3638)</f>
        <v>214.466484491424</v>
      </c>
    </row>
    <row r="3636" customHeight="1" spans="1:6">
      <c r="A3636" s="57"/>
      <c r="B3636" s="57" t="s">
        <v>1283</v>
      </c>
      <c r="C3636" s="57" t="s">
        <v>988</v>
      </c>
      <c r="D3636" s="84">
        <f>台时!D42</f>
        <v>23.7459521340247</v>
      </c>
      <c r="E3636" s="84">
        <v>4.81</v>
      </c>
      <c r="F3636" s="84">
        <f t="shared" ref="F3636:F3638" si="393">D3636*E3636</f>
        <v>114.218029764659</v>
      </c>
    </row>
    <row r="3637" customHeight="1" spans="1:6">
      <c r="A3637" s="57"/>
      <c r="B3637" s="57" t="s">
        <v>1190</v>
      </c>
      <c r="C3637" s="57" t="s">
        <v>988</v>
      </c>
      <c r="D3637" s="84">
        <f>台时!C42</f>
        <v>0.813242919824491</v>
      </c>
      <c r="E3637" s="57">
        <v>123.27</v>
      </c>
      <c r="F3637" s="84">
        <f t="shared" si="393"/>
        <v>100.248454726765</v>
      </c>
    </row>
    <row r="3638" customHeight="1" spans="1:6">
      <c r="A3638" s="57"/>
      <c r="B3638" s="57" t="s">
        <v>1516</v>
      </c>
      <c r="C3638" s="57" t="s">
        <v>1426</v>
      </c>
      <c r="D3638" s="84"/>
      <c r="E3638" s="288">
        <v>90</v>
      </c>
      <c r="F3638" s="84">
        <f t="shared" si="393"/>
        <v>0</v>
      </c>
    </row>
    <row r="3639" customHeight="1" spans="1:6">
      <c r="A3639" s="57" t="s">
        <v>70</v>
      </c>
      <c r="B3639" s="57" t="s">
        <v>977</v>
      </c>
      <c r="C3639" s="101">
        <f>取费表!C6</f>
        <v>0.048</v>
      </c>
      <c r="D3639" s="84"/>
      <c r="E3639" s="84">
        <f>F3627</f>
        <v>8409.57048449142</v>
      </c>
      <c r="F3639" s="84">
        <f t="shared" ref="F3639:F3643" si="394">E3639*C3639</f>
        <v>403.659383255588</v>
      </c>
    </row>
    <row r="3640" customHeight="1" spans="1:6">
      <c r="A3640" s="57"/>
      <c r="B3640" s="57"/>
      <c r="C3640" s="101"/>
      <c r="D3640" s="84"/>
      <c r="E3640" s="84"/>
      <c r="F3640" s="84"/>
    </row>
    <row r="3641" customHeight="1" spans="1:6">
      <c r="A3641" s="57" t="s">
        <v>979</v>
      </c>
      <c r="B3641" s="57" t="s">
        <v>973</v>
      </c>
      <c r="C3641" s="101">
        <f>取费表!E6</f>
        <v>0.085</v>
      </c>
      <c r="D3641" s="84"/>
      <c r="E3641" s="84">
        <f>F3626</f>
        <v>8813.22986774701</v>
      </c>
      <c r="F3641" s="84">
        <f t="shared" si="394"/>
        <v>749.124538758496</v>
      </c>
    </row>
    <row r="3642" customHeight="1" spans="1:6">
      <c r="A3642" s="57" t="s">
        <v>162</v>
      </c>
      <c r="B3642" s="57" t="s">
        <v>980</v>
      </c>
      <c r="C3642" s="352">
        <f>取费表!F6</f>
        <v>0.07</v>
      </c>
      <c r="D3642" s="84"/>
      <c r="E3642" s="84">
        <f>F3641+F3626</f>
        <v>9562.35440650551</v>
      </c>
      <c r="F3642" s="84">
        <f t="shared" si="394"/>
        <v>669.364808455386</v>
      </c>
    </row>
    <row r="3643" customHeight="1" spans="1:6">
      <c r="A3643" s="57" t="s">
        <v>327</v>
      </c>
      <c r="B3643" s="57" t="s">
        <v>976</v>
      </c>
      <c r="C3643" s="102">
        <f>取费表!G6</f>
        <v>0.09</v>
      </c>
      <c r="D3643" s="84"/>
      <c r="E3643" s="84">
        <f>F3626+F3641+F3642</f>
        <v>10231.7192149609</v>
      </c>
      <c r="F3643" s="84">
        <f t="shared" si="394"/>
        <v>920.85472934648</v>
      </c>
    </row>
    <row r="3644" customHeight="1" spans="1:6">
      <c r="A3644" s="57"/>
      <c r="B3644" s="57" t="s">
        <v>984</v>
      </c>
      <c r="C3644" s="102"/>
      <c r="D3644" s="84"/>
      <c r="E3644" s="84"/>
      <c r="F3644" s="84">
        <f>(E3643+F3643)*取费表!H4</f>
        <v>334.577218329221</v>
      </c>
    </row>
    <row r="3645" customHeight="1" spans="1:6">
      <c r="A3645" s="57"/>
      <c r="B3645" s="57" t="s">
        <v>278</v>
      </c>
      <c r="C3645" s="57"/>
      <c r="D3645" s="84"/>
      <c r="E3645" s="84"/>
      <c r="F3645" s="84">
        <f>E3643+F3643+F3644</f>
        <v>11487.1511626366</v>
      </c>
    </row>
    <row r="3646" customHeight="1" spans="1:6">
      <c r="A3646" s="121"/>
      <c r="B3646" s="261"/>
      <c r="C3646" s="121"/>
      <c r="D3646" s="121"/>
      <c r="E3646" s="121"/>
      <c r="F3646" s="121"/>
    </row>
    <row r="3647" customHeight="1" spans="1:6">
      <c r="A3647" s="121"/>
      <c r="B3647" s="261"/>
      <c r="C3647" s="121"/>
      <c r="D3647" s="121"/>
      <c r="E3647" s="121"/>
      <c r="F3647" s="121"/>
    </row>
    <row r="3648" customHeight="1" spans="1:6">
      <c r="A3648" s="121"/>
      <c r="B3648" s="261"/>
      <c r="C3648" s="121"/>
      <c r="D3648" s="121"/>
      <c r="E3648" s="121"/>
      <c r="F3648" s="121"/>
    </row>
    <row r="3649" customHeight="1" spans="1:6">
      <c r="A3649" s="121"/>
      <c r="B3649" s="261"/>
      <c r="C3649" s="121"/>
      <c r="D3649" s="121"/>
      <c r="E3649" s="121"/>
      <c r="F3649" s="121"/>
    </row>
    <row r="3650" customHeight="1" spans="1:6">
      <c r="A3650" s="121"/>
      <c r="B3650" s="261"/>
      <c r="C3650" s="121"/>
      <c r="D3650" s="121"/>
      <c r="E3650" s="121"/>
      <c r="F3650" s="121"/>
    </row>
    <row r="3651" customHeight="1" spans="1:6">
      <c r="A3651" s="121"/>
      <c r="B3651" s="261"/>
      <c r="C3651" s="121"/>
      <c r="D3651" s="121"/>
      <c r="E3651" s="121"/>
      <c r="F3651" s="121"/>
    </row>
    <row r="3652" customHeight="1" spans="1:6">
      <c r="A3652" s="121"/>
      <c r="B3652" s="261"/>
      <c r="C3652" s="121"/>
      <c r="D3652" s="121"/>
      <c r="E3652" s="121"/>
      <c r="F3652" s="121"/>
    </row>
    <row r="3653" customHeight="1" spans="1:6">
      <c r="A3653" s="121"/>
      <c r="B3653" s="261"/>
      <c r="C3653" s="121"/>
      <c r="D3653" s="121"/>
      <c r="E3653" s="121"/>
      <c r="F3653" s="121"/>
    </row>
    <row r="3654" customHeight="1" spans="1:6">
      <c r="A3654" s="121"/>
      <c r="B3654" s="261"/>
      <c r="C3654" s="121"/>
      <c r="D3654" s="121"/>
      <c r="E3654" s="121"/>
      <c r="F3654" s="121"/>
    </row>
    <row r="3655" customHeight="1" spans="1:6">
      <c r="A3655" s="121"/>
      <c r="B3655" s="261"/>
      <c r="C3655" s="121"/>
      <c r="D3655" s="121"/>
      <c r="E3655" s="121"/>
      <c r="F3655" s="121"/>
    </row>
    <row r="3656" customHeight="1" spans="1:6">
      <c r="A3656" s="121"/>
      <c r="B3656" s="261"/>
      <c r="C3656" s="121"/>
      <c r="D3656" s="121"/>
      <c r="E3656" s="121"/>
      <c r="F3656" s="121"/>
    </row>
    <row r="3657" customHeight="1" spans="1:6">
      <c r="A3657" s="121"/>
      <c r="B3657" s="261"/>
      <c r="C3657" s="121"/>
      <c r="D3657" s="121"/>
      <c r="E3657" s="121"/>
      <c r="F3657" s="121"/>
    </row>
    <row r="3658" customHeight="1" spans="1:6">
      <c r="A3658" s="121"/>
      <c r="B3658" s="261"/>
      <c r="C3658" s="121"/>
      <c r="D3658" s="121"/>
      <c r="E3658" s="121"/>
      <c r="F3658" s="121"/>
    </row>
    <row r="3659" ht="15.6" customHeight="1" spans="1:6">
      <c r="A3659" s="176" t="s">
        <v>1204</v>
      </c>
      <c r="B3659" s="175"/>
      <c r="C3659" s="175"/>
      <c r="D3659" s="175"/>
      <c r="E3659" s="175"/>
      <c r="F3659" s="175"/>
    </row>
    <row r="3660" ht="15.6" customHeight="1" spans="1:6">
      <c r="A3660" s="242" t="s">
        <v>1517</v>
      </c>
      <c r="C3660" s="243"/>
      <c r="D3660" s="243"/>
      <c r="E3660" s="243"/>
      <c r="F3660" s="243"/>
    </row>
    <row r="3661" ht="15.6" customHeight="1" spans="1:6">
      <c r="A3661" s="190" t="s">
        <v>1502</v>
      </c>
      <c r="B3661" s="190"/>
      <c r="C3661" s="243"/>
      <c r="D3661" s="243"/>
      <c r="E3661" s="191" t="s">
        <v>1159</v>
      </c>
      <c r="F3661" s="191"/>
    </row>
    <row r="3662" ht="15.6" customHeight="1" spans="1:6">
      <c r="A3662" s="117" t="s">
        <v>1218</v>
      </c>
      <c r="B3662" s="192"/>
      <c r="C3662" s="192"/>
      <c r="D3662" s="192"/>
      <c r="E3662" s="192"/>
      <c r="F3662" s="118"/>
    </row>
    <row r="3663" ht="15.6" customHeight="1" spans="1:6">
      <c r="A3663" s="57" t="s">
        <v>354</v>
      </c>
      <c r="B3663" s="57" t="s">
        <v>956</v>
      </c>
      <c r="C3663" s="57" t="s">
        <v>52</v>
      </c>
      <c r="D3663" s="57" t="s">
        <v>855</v>
      </c>
      <c r="E3663" s="57" t="s">
        <v>53</v>
      </c>
      <c r="F3663" s="57" t="s">
        <v>306</v>
      </c>
    </row>
    <row r="3664" ht="15.6" customHeight="1" spans="1:6">
      <c r="A3664" s="57" t="s">
        <v>959</v>
      </c>
      <c r="B3664" s="57" t="s">
        <v>964</v>
      </c>
      <c r="C3664" s="57" t="s">
        <v>965</v>
      </c>
      <c r="D3664" s="84"/>
      <c r="E3664" s="92">
        <f>SUM(E3665:E3666)</f>
        <v>1866.2</v>
      </c>
      <c r="F3664" s="113">
        <f>SUM(F3665:F3666)</f>
        <v>13755.267</v>
      </c>
    </row>
    <row r="3665" ht="15.6" customHeight="1" spans="1:6">
      <c r="A3665" s="57"/>
      <c r="B3665" s="57" t="s">
        <v>966</v>
      </c>
      <c r="C3665" s="57" t="s">
        <v>965</v>
      </c>
      <c r="D3665" s="113">
        <f>D3629</f>
        <v>8.1</v>
      </c>
      <c r="E3665" s="92">
        <v>1282.1</v>
      </c>
      <c r="F3665" s="113">
        <f t="shared" ref="F3665:F3671" si="395">D3665*E3665</f>
        <v>10385.01</v>
      </c>
    </row>
    <row r="3666" ht="15.6" customHeight="1" spans="1:6">
      <c r="A3666" s="57"/>
      <c r="B3666" s="57" t="s">
        <v>968</v>
      </c>
      <c r="C3666" s="57" t="s">
        <v>965</v>
      </c>
      <c r="D3666" s="113">
        <f>D3630</f>
        <v>5.77</v>
      </c>
      <c r="E3666" s="92">
        <v>584.1</v>
      </c>
      <c r="F3666" s="113">
        <f t="shared" si="395"/>
        <v>3370.257</v>
      </c>
    </row>
    <row r="3667" ht="15.6" customHeight="1" spans="1:6">
      <c r="A3667" s="57" t="s">
        <v>1372</v>
      </c>
      <c r="B3667" s="57" t="s">
        <v>1219</v>
      </c>
      <c r="C3667" s="57"/>
      <c r="D3667" s="84"/>
      <c r="E3667" s="84"/>
      <c r="F3667" s="84">
        <f>SUM(F3668:F3672)</f>
        <v>19941.05568187</v>
      </c>
    </row>
    <row r="3668" ht="15.6" customHeight="1" spans="1:6">
      <c r="A3668" s="57"/>
      <c r="B3668" s="244" t="s">
        <v>1518</v>
      </c>
      <c r="C3668" s="244" t="s">
        <v>184</v>
      </c>
      <c r="D3668" s="84">
        <v>5</v>
      </c>
      <c r="E3668" s="84">
        <v>116.41</v>
      </c>
      <c r="F3668" s="84">
        <f t="shared" si="395"/>
        <v>582.05</v>
      </c>
    </row>
    <row r="3669" ht="15.6" customHeight="1" spans="1:6">
      <c r="A3669" s="57"/>
      <c r="B3669" s="244" t="s">
        <v>1276</v>
      </c>
      <c r="C3669" s="244" t="s">
        <v>184</v>
      </c>
      <c r="D3669" s="84">
        <f t="shared" ref="D3669:D3677" si="396">D3501</f>
        <v>4.5</v>
      </c>
      <c r="E3669" s="84">
        <v>24.59</v>
      </c>
      <c r="F3669" s="84">
        <f t="shared" si="395"/>
        <v>110.655</v>
      </c>
    </row>
    <row r="3670" ht="15.6" customHeight="1" spans="1:6">
      <c r="A3670" s="57"/>
      <c r="B3670" s="57" t="s">
        <v>1279</v>
      </c>
      <c r="C3670" s="57" t="s">
        <v>1188</v>
      </c>
      <c r="D3670" s="84">
        <f>配合比!M8</f>
        <v>176.4913185</v>
      </c>
      <c r="E3670" s="84">
        <v>102</v>
      </c>
      <c r="F3670" s="84">
        <f t="shared" si="395"/>
        <v>18002.114487</v>
      </c>
    </row>
    <row r="3671" ht="15.6" customHeight="1" spans="1:6">
      <c r="A3671" s="57"/>
      <c r="B3671" s="57" t="s">
        <v>1022</v>
      </c>
      <c r="C3671" s="57" t="s">
        <v>1188</v>
      </c>
      <c r="D3671" s="84">
        <f t="shared" si="396"/>
        <v>4.37</v>
      </c>
      <c r="E3671" s="84">
        <v>240</v>
      </c>
      <c r="F3671" s="84">
        <f t="shared" si="395"/>
        <v>1048.8</v>
      </c>
    </row>
    <row r="3672" ht="15.6" customHeight="1" spans="1:6">
      <c r="A3672" s="57"/>
      <c r="B3672" s="57" t="s">
        <v>1163</v>
      </c>
      <c r="C3672" s="59" t="s">
        <v>423</v>
      </c>
      <c r="D3672" s="84">
        <f>SUM(F3668:F3671)</f>
        <v>19743.619487</v>
      </c>
      <c r="E3672" s="84">
        <v>1</v>
      </c>
      <c r="F3672" s="84">
        <f>D3672*E3672/100</f>
        <v>197.43619487</v>
      </c>
    </row>
    <row r="3673" ht="15.6" customHeight="1" spans="1:6">
      <c r="A3673" s="57" t="s">
        <v>1373</v>
      </c>
      <c r="B3673" s="57" t="s">
        <v>1171</v>
      </c>
      <c r="C3673" s="57"/>
      <c r="D3673" s="84"/>
      <c r="E3673" s="84"/>
      <c r="F3673" s="84">
        <f>SUM(F3674:F3678)</f>
        <v>700.577258971839</v>
      </c>
    </row>
    <row r="3674" ht="15.6" customHeight="1" spans="1:6">
      <c r="A3674" s="57"/>
      <c r="B3674" s="57" t="s">
        <v>1283</v>
      </c>
      <c r="C3674" s="57" t="s">
        <v>988</v>
      </c>
      <c r="D3674" s="84">
        <f t="shared" si="396"/>
        <v>23.7459521340247</v>
      </c>
      <c r="E3674" s="84">
        <v>18.36</v>
      </c>
      <c r="F3674" s="84">
        <f t="shared" ref="F3674:F3677" si="397">D3674*E3674</f>
        <v>435.975681180694</v>
      </c>
    </row>
    <row r="3675" ht="15.6" customHeight="1" spans="1:6">
      <c r="A3675" s="57"/>
      <c r="B3675" s="57" t="s">
        <v>1503</v>
      </c>
      <c r="C3675" s="57" t="s">
        <v>988</v>
      </c>
      <c r="D3675" s="84">
        <f t="shared" si="396"/>
        <v>1.80552692461109</v>
      </c>
      <c r="E3675" s="84">
        <v>35.6</v>
      </c>
      <c r="F3675" s="84">
        <f t="shared" si="397"/>
        <v>64.2767585161548</v>
      </c>
    </row>
    <row r="3676" ht="15.6" customHeight="1" spans="1:6">
      <c r="A3676" s="57"/>
      <c r="B3676" s="57" t="s">
        <v>1280</v>
      </c>
      <c r="C3676" s="57" t="s">
        <v>988</v>
      </c>
      <c r="D3676" s="84">
        <f t="shared" si="396"/>
        <v>49.389824491424</v>
      </c>
      <c r="E3676" s="204">
        <v>1.6</v>
      </c>
      <c r="F3676" s="84">
        <f t="shared" si="397"/>
        <v>79.0237191862784</v>
      </c>
    </row>
    <row r="3677" ht="15.6" customHeight="1" spans="1:6">
      <c r="A3677" s="57"/>
      <c r="B3677" s="57" t="s">
        <v>1190</v>
      </c>
      <c r="C3677" s="57" t="s">
        <v>988</v>
      </c>
      <c r="D3677" s="84">
        <f t="shared" si="396"/>
        <v>0.813242919824491</v>
      </c>
      <c r="E3677" s="204">
        <v>92.8</v>
      </c>
      <c r="F3677" s="84">
        <f t="shared" si="397"/>
        <v>75.4689429597128</v>
      </c>
    </row>
    <row r="3678" ht="15.6" customHeight="1" spans="1:6">
      <c r="A3678" s="57"/>
      <c r="B3678" s="57" t="s">
        <v>1223</v>
      </c>
      <c r="C3678" s="59" t="s">
        <v>423</v>
      </c>
      <c r="D3678" s="84">
        <f>SUM(F3674:F3677)</f>
        <v>654.74510184284</v>
      </c>
      <c r="E3678" s="84">
        <v>7</v>
      </c>
      <c r="F3678" s="84">
        <f>D3678*E3678/100</f>
        <v>45.8321571289988</v>
      </c>
    </row>
    <row r="3679" ht="15.6" customHeight="1" spans="1:6">
      <c r="A3679" s="57"/>
      <c r="B3679" s="57" t="s">
        <v>278</v>
      </c>
      <c r="C3679" s="57"/>
      <c r="D3679" s="84"/>
      <c r="E3679" s="84"/>
      <c r="F3679" s="84">
        <f>F3664+F3667+F3673</f>
        <v>34396.8999408418</v>
      </c>
    </row>
    <row r="3680" ht="15.6" customHeight="1" spans="1:6">
      <c r="A3680" s="176" t="s">
        <v>1204</v>
      </c>
      <c r="B3680" s="175"/>
      <c r="C3680" s="175"/>
      <c r="D3680" s="175"/>
      <c r="E3680" s="175"/>
      <c r="F3680" s="175"/>
    </row>
    <row r="3681" ht="15.6" customHeight="1" spans="1:6">
      <c r="A3681" s="242" t="s">
        <v>1519</v>
      </c>
      <c r="C3681" s="243"/>
      <c r="D3681" s="243"/>
      <c r="E3681" s="243"/>
      <c r="F3681" s="243"/>
    </row>
    <row r="3682" ht="15.6" customHeight="1" spans="1:6">
      <c r="A3682" s="190" t="s">
        <v>1520</v>
      </c>
      <c r="B3682" s="190"/>
      <c r="C3682" s="168"/>
      <c r="D3682" s="168"/>
      <c r="E3682" s="191" t="s">
        <v>1159</v>
      </c>
      <c r="F3682" s="191"/>
    </row>
    <row r="3683" ht="15.6" customHeight="1" spans="1:6">
      <c r="A3683" s="197" t="s">
        <v>1218</v>
      </c>
      <c r="B3683" s="201"/>
      <c r="C3683" s="192"/>
      <c r="D3683" s="192"/>
      <c r="E3683" s="192"/>
      <c r="F3683" s="118"/>
    </row>
    <row r="3684" ht="15.6" customHeight="1" spans="1:6">
      <c r="A3684" s="57" t="s">
        <v>354</v>
      </c>
      <c r="B3684" s="57" t="s">
        <v>956</v>
      </c>
      <c r="C3684" s="57" t="s">
        <v>52</v>
      </c>
      <c r="D3684" s="57" t="s">
        <v>855</v>
      </c>
      <c r="E3684" s="57" t="s">
        <v>53</v>
      </c>
      <c r="F3684" s="57" t="s">
        <v>306</v>
      </c>
    </row>
    <row r="3685" ht="15.6" customHeight="1" spans="1:6">
      <c r="A3685" s="57" t="s">
        <v>959</v>
      </c>
      <c r="B3685" s="57" t="s">
        <v>960</v>
      </c>
      <c r="C3685" s="57"/>
      <c r="D3685" s="57"/>
      <c r="E3685" s="57"/>
      <c r="F3685" s="84">
        <f>F3686+F3694+F3695</f>
        <v>2701.79416935222</v>
      </c>
    </row>
    <row r="3686" ht="15.6" customHeight="1" spans="1:6">
      <c r="A3686" s="57" t="s">
        <v>59</v>
      </c>
      <c r="B3686" s="57" t="s">
        <v>957</v>
      </c>
      <c r="C3686" s="57"/>
      <c r="D3686" s="57"/>
      <c r="E3686" s="57"/>
      <c r="F3686" s="84">
        <f>F3687+F3690+F3692</f>
        <v>2578.0478715193</v>
      </c>
    </row>
    <row r="3687" ht="15.6" customHeight="1" spans="1:6">
      <c r="A3687" s="57">
        <v>1</v>
      </c>
      <c r="B3687" s="57" t="s">
        <v>964</v>
      </c>
      <c r="C3687" s="57" t="s">
        <v>965</v>
      </c>
      <c r="D3687" s="84"/>
      <c r="E3687" s="92">
        <f>SUM(E3688:E3689)</f>
        <v>176.6</v>
      </c>
      <c r="F3687" s="113">
        <f>F3689</f>
        <v>1018.982</v>
      </c>
    </row>
    <row r="3688" ht="15.6" customHeight="1" spans="1:7">
      <c r="A3688" s="57"/>
      <c r="B3688" s="57" t="s">
        <v>966</v>
      </c>
      <c r="C3688" s="57" t="s">
        <v>965</v>
      </c>
      <c r="D3688" s="113">
        <f>D3665</f>
        <v>8.1</v>
      </c>
      <c r="E3688" s="92">
        <v>0</v>
      </c>
      <c r="F3688" s="113">
        <f t="shared" ref="F3688:F3693" si="398">D3688*E3688</f>
        <v>0</v>
      </c>
      <c r="G3688" s="109">
        <f>0.5*20</f>
        <v>10</v>
      </c>
    </row>
    <row r="3689" ht="15.6" customHeight="1" spans="1:6">
      <c r="A3689" s="57"/>
      <c r="B3689" s="57" t="s">
        <v>968</v>
      </c>
      <c r="C3689" s="57" t="s">
        <v>965</v>
      </c>
      <c r="D3689" s="113">
        <f>D3666</f>
        <v>5.77</v>
      </c>
      <c r="E3689" s="92">
        <f>176.6</f>
        <v>176.6</v>
      </c>
      <c r="F3689" s="113">
        <f t="shared" si="398"/>
        <v>1018.982</v>
      </c>
    </row>
    <row r="3690" ht="15.6" customHeight="1" spans="1:6">
      <c r="A3690" s="57">
        <v>2</v>
      </c>
      <c r="B3690" s="57" t="s">
        <v>1219</v>
      </c>
      <c r="C3690" s="57"/>
      <c r="D3690" s="84"/>
      <c r="E3690" s="84"/>
      <c r="F3690" s="84">
        <f>F3691</f>
        <v>302.63050918982</v>
      </c>
    </row>
    <row r="3691" ht="15.6" customHeight="1" spans="1:6">
      <c r="A3691" s="57"/>
      <c r="B3691" s="57" t="s">
        <v>969</v>
      </c>
      <c r="C3691" s="260" t="s">
        <v>423</v>
      </c>
      <c r="D3691" s="84">
        <f>F3687+F3692</f>
        <v>2275.41736232948</v>
      </c>
      <c r="E3691" s="286">
        <v>0.133</v>
      </c>
      <c r="F3691" s="84">
        <f>E3691*D3691</f>
        <v>302.63050918982</v>
      </c>
    </row>
    <row r="3692" ht="15.6" customHeight="1" spans="1:6">
      <c r="A3692" s="57">
        <v>3</v>
      </c>
      <c r="B3692" s="57" t="s">
        <v>1171</v>
      </c>
      <c r="C3692" s="57"/>
      <c r="D3692" s="84"/>
      <c r="E3692" s="84"/>
      <c r="F3692" s="84">
        <f>F3693</f>
        <v>1256.43536232948</v>
      </c>
    </row>
    <row r="3693" ht="15.6" customHeight="1" spans="1:6">
      <c r="A3693" s="57"/>
      <c r="B3693" s="57" t="s">
        <v>1521</v>
      </c>
      <c r="C3693" s="57" t="s">
        <v>988</v>
      </c>
      <c r="D3693" s="84">
        <f>建筑工程单价分析表!D814</f>
        <v>15.9123019545273</v>
      </c>
      <c r="E3693" s="287">
        <v>78.96</v>
      </c>
      <c r="F3693" s="84">
        <f t="shared" si="398"/>
        <v>1256.43536232948</v>
      </c>
    </row>
    <row r="3694" ht="15.6" customHeight="1" spans="1:6">
      <c r="A3694" s="57" t="s">
        <v>70</v>
      </c>
      <c r="B3694" s="57" t="s">
        <v>977</v>
      </c>
      <c r="C3694" s="194">
        <f>建筑工程单价分析表!C815</f>
        <v>0.048</v>
      </c>
      <c r="D3694" s="84"/>
      <c r="E3694" s="252">
        <f>F3686</f>
        <v>2578.0478715193</v>
      </c>
      <c r="F3694" s="84">
        <f t="shared" ref="F3694:F3697" si="399">E3694*C3694</f>
        <v>123.746297832926</v>
      </c>
    </row>
    <row r="3695" ht="15.6" customHeight="1" spans="1:6">
      <c r="A3695" s="57"/>
      <c r="B3695" s="57"/>
      <c r="C3695" s="194"/>
      <c r="D3695" s="84"/>
      <c r="E3695" s="252"/>
      <c r="F3695" s="84"/>
    </row>
    <row r="3696" ht="15.6" customHeight="1" spans="1:6">
      <c r="A3696" s="57" t="s">
        <v>979</v>
      </c>
      <c r="B3696" s="57" t="s">
        <v>973</v>
      </c>
      <c r="C3696" s="194">
        <f>建筑工程单价分析表!C817</f>
        <v>0.07</v>
      </c>
      <c r="D3696" s="84"/>
      <c r="E3696" s="252">
        <f>F3685</f>
        <v>2701.79416935222</v>
      </c>
      <c r="F3696" s="84">
        <f t="shared" si="399"/>
        <v>189.125591854656</v>
      </c>
    </row>
    <row r="3697" ht="15.6" customHeight="1" spans="1:6">
      <c r="A3697" s="57" t="s">
        <v>162</v>
      </c>
      <c r="B3697" s="57" t="s">
        <v>980</v>
      </c>
      <c r="C3697" s="194">
        <f>建筑工程单价分析表!C818</f>
        <v>0.07</v>
      </c>
      <c r="D3697" s="84"/>
      <c r="E3697" s="252">
        <f>F3696+F3685</f>
        <v>2890.91976120688</v>
      </c>
      <c r="F3697" s="84">
        <f t="shared" si="399"/>
        <v>202.364383284481</v>
      </c>
    </row>
    <row r="3698" ht="15.6" customHeight="1" spans="1:6">
      <c r="A3698" s="57" t="s">
        <v>214</v>
      </c>
      <c r="B3698" s="57" t="s">
        <v>1173</v>
      </c>
      <c r="C3698" s="59"/>
      <c r="D3698" s="84"/>
      <c r="E3698" s="57"/>
      <c r="F3698" s="113">
        <f>SUM(F3699:F3699)</f>
        <v>652.36752</v>
      </c>
    </row>
    <row r="3699" ht="15.6" customHeight="1" spans="1:6">
      <c r="A3699" s="57"/>
      <c r="B3699" s="57" t="s">
        <v>1174</v>
      </c>
      <c r="C3699" s="59" t="s">
        <v>184</v>
      </c>
      <c r="D3699" s="84">
        <f>建筑工程单价分析表!D820</f>
        <v>4.86</v>
      </c>
      <c r="E3699" s="88">
        <f>(E3693*1.7)</f>
        <v>134.232</v>
      </c>
      <c r="F3699" s="113">
        <f>D3699*E3699</f>
        <v>652.36752</v>
      </c>
    </row>
    <row r="3700" ht="15.6" customHeight="1" spans="1:6">
      <c r="A3700" s="57" t="s">
        <v>327</v>
      </c>
      <c r="B3700" s="57" t="s">
        <v>976</v>
      </c>
      <c r="C3700" s="195">
        <f>取费表!G7</f>
        <v>0.09</v>
      </c>
      <c r="D3700" s="84"/>
      <c r="E3700" s="84">
        <f>F3698+F3697+F3696+F3685</f>
        <v>3745.65166449136</v>
      </c>
      <c r="F3700" s="84">
        <f>E3700*C3700</f>
        <v>337.108649804222</v>
      </c>
    </row>
    <row r="3701" ht="15.6" customHeight="1" spans="1:6">
      <c r="A3701" s="57"/>
      <c r="B3701" s="57" t="s">
        <v>984</v>
      </c>
      <c r="C3701" s="195"/>
      <c r="D3701" s="84"/>
      <c r="E3701" s="84"/>
      <c r="F3701" s="84">
        <f>(F3685+F3696+F3697+F3698+F3700)*取费表!H4</f>
        <v>122.482809428867</v>
      </c>
    </row>
    <row r="3702" ht="15.6" customHeight="1" spans="1:6">
      <c r="A3702" s="57"/>
      <c r="B3702" s="57" t="s">
        <v>278</v>
      </c>
      <c r="C3702" s="57"/>
      <c r="D3702" s="84"/>
      <c r="E3702" s="84"/>
      <c r="F3702" s="84">
        <f>F3700+E3700+F3701</f>
        <v>4205.24312372445</v>
      </c>
    </row>
    <row r="3703" customHeight="1" spans="1:6">
      <c r="A3703" s="176" t="s">
        <v>1204</v>
      </c>
      <c r="B3703" s="175"/>
      <c r="C3703" s="175"/>
      <c r="D3703" s="175"/>
      <c r="E3703" s="175"/>
      <c r="F3703" s="175"/>
    </row>
    <row r="3704" customHeight="1" spans="1:6">
      <c r="A3704" s="242" t="s">
        <v>1510</v>
      </c>
      <c r="C3704" s="243"/>
      <c r="D3704" s="243"/>
      <c r="E3704" s="243"/>
      <c r="F3704" s="243"/>
    </row>
    <row r="3705" customHeight="1" spans="1:6">
      <c r="A3705" s="190" t="s">
        <v>1522</v>
      </c>
      <c r="B3705" s="190"/>
      <c r="C3705" s="168"/>
      <c r="D3705" s="168"/>
      <c r="E3705" s="191" t="s">
        <v>1242</v>
      </c>
      <c r="F3705" s="191"/>
    </row>
    <row r="3706" customHeight="1" spans="1:6">
      <c r="A3706" s="197" t="s">
        <v>1512</v>
      </c>
      <c r="B3706" s="201"/>
      <c r="C3706" s="192"/>
      <c r="D3706" s="192"/>
      <c r="E3706" s="192"/>
      <c r="F3706" s="118"/>
    </row>
    <row r="3707" customHeight="1" spans="1:6">
      <c r="A3707" s="57" t="s">
        <v>354</v>
      </c>
      <c r="B3707" s="57" t="s">
        <v>956</v>
      </c>
      <c r="C3707" s="57" t="s">
        <v>52</v>
      </c>
      <c r="D3707" s="57" t="s">
        <v>855</v>
      </c>
      <c r="E3707" s="57" t="s">
        <v>53</v>
      </c>
      <c r="F3707" s="57" t="s">
        <v>306</v>
      </c>
    </row>
    <row r="3708" customHeight="1" spans="1:6">
      <c r="A3708" s="57" t="s">
        <v>1367</v>
      </c>
      <c r="B3708" s="57" t="s">
        <v>960</v>
      </c>
      <c r="C3708" s="57"/>
      <c r="D3708" s="57"/>
      <c r="E3708" s="57"/>
      <c r="F3708" s="84">
        <f>F3709+F3721+F3722</f>
        <v>48774.1373456908</v>
      </c>
    </row>
    <row r="3709" customHeight="1" spans="1:6">
      <c r="A3709" s="57" t="s">
        <v>59</v>
      </c>
      <c r="B3709" s="57" t="s">
        <v>957</v>
      </c>
      <c r="C3709" s="57"/>
      <c r="D3709" s="57"/>
      <c r="E3709" s="57"/>
      <c r="F3709" s="84">
        <f>F3710+F3713+F3717</f>
        <v>46540.2073909263</v>
      </c>
    </row>
    <row r="3710" customHeight="1" spans="1:6">
      <c r="A3710" s="57">
        <v>1</v>
      </c>
      <c r="B3710" s="57" t="s">
        <v>964</v>
      </c>
      <c r="C3710" s="57" t="s">
        <v>965</v>
      </c>
      <c r="D3710" s="84"/>
      <c r="E3710" s="92">
        <f>SUM(E3711:E3712)</f>
        <v>1107.3</v>
      </c>
      <c r="F3710" s="113">
        <f>SUM(F3711:F3712)</f>
        <v>8195.104</v>
      </c>
    </row>
    <row r="3711" customHeight="1" spans="1:6">
      <c r="A3711" s="57"/>
      <c r="B3711" s="57" t="s">
        <v>966</v>
      </c>
      <c r="C3711" s="57" t="s">
        <v>965</v>
      </c>
      <c r="D3711" s="113">
        <f>D3665</f>
        <v>8.1</v>
      </c>
      <c r="E3711" s="113">
        <v>775.1</v>
      </c>
      <c r="F3711" s="113">
        <f t="shared" ref="F3711:F3715" si="400">D3711*E3711</f>
        <v>6278.31</v>
      </c>
    </row>
    <row r="3712" customHeight="1" spans="1:6">
      <c r="A3712" s="57"/>
      <c r="B3712" s="57" t="s">
        <v>968</v>
      </c>
      <c r="C3712" s="57" t="s">
        <v>965</v>
      </c>
      <c r="D3712" s="113">
        <f>D3666</f>
        <v>5.77</v>
      </c>
      <c r="E3712" s="113">
        <v>332.2</v>
      </c>
      <c r="F3712" s="113">
        <f t="shared" si="400"/>
        <v>1916.794</v>
      </c>
    </row>
    <row r="3713" customHeight="1" spans="1:6">
      <c r="A3713" s="57">
        <v>2</v>
      </c>
      <c r="B3713" s="57" t="s">
        <v>1219</v>
      </c>
      <c r="C3713" s="57"/>
      <c r="D3713" s="84"/>
      <c r="E3713" s="84"/>
      <c r="F3713" s="84">
        <f>SUM(F3714:F3716)</f>
        <v>36081.088848577</v>
      </c>
    </row>
    <row r="3714" customHeight="1" spans="1:6">
      <c r="A3714" s="57"/>
      <c r="B3714" s="244" t="s">
        <v>1514</v>
      </c>
      <c r="C3714" s="244" t="s">
        <v>1426</v>
      </c>
      <c r="D3714" s="84">
        <f>F3679/100</f>
        <v>343.968999408418</v>
      </c>
      <c r="E3714" s="244">
        <v>79.5</v>
      </c>
      <c r="F3714" s="84">
        <f t="shared" si="400"/>
        <v>27345.5354529693</v>
      </c>
    </row>
    <row r="3715" customHeight="1" spans="1:6">
      <c r="A3715" s="57"/>
      <c r="B3715" s="244" t="s">
        <v>1515</v>
      </c>
      <c r="C3715" s="244" t="s">
        <v>1426</v>
      </c>
      <c r="D3715" s="84">
        <f>建筑工程单价分析表!F922/100</f>
        <v>250.176768739429</v>
      </c>
      <c r="E3715" s="244">
        <v>34.2</v>
      </c>
      <c r="F3715" s="84">
        <f t="shared" si="400"/>
        <v>8556.04549088848</v>
      </c>
    </row>
    <row r="3716" customHeight="1" spans="1:6">
      <c r="A3716" s="57"/>
      <c r="B3716" s="57" t="s">
        <v>1248</v>
      </c>
      <c r="C3716" s="57" t="s">
        <v>423</v>
      </c>
      <c r="D3716" s="84">
        <f>F3714+F3715</f>
        <v>35901.5809438577</v>
      </c>
      <c r="E3716" s="57">
        <v>0.5</v>
      </c>
      <c r="F3716" s="84">
        <f>D3716*E3716/100</f>
        <v>179.507904719289</v>
      </c>
    </row>
    <row r="3717" customHeight="1" spans="1:6">
      <c r="A3717" s="57">
        <v>3</v>
      </c>
      <c r="B3717" s="57" t="s">
        <v>1171</v>
      </c>
      <c r="C3717" s="57"/>
      <c r="D3717" s="84"/>
      <c r="E3717" s="84"/>
      <c r="F3717" s="84">
        <f>SUM(F3718:F3720)</f>
        <v>2264.01454234926</v>
      </c>
    </row>
    <row r="3718" customHeight="1" spans="1:6">
      <c r="A3718" s="57"/>
      <c r="B3718" s="57" t="s">
        <v>1283</v>
      </c>
      <c r="C3718" s="57" t="s">
        <v>988</v>
      </c>
      <c r="D3718" s="84">
        <f>D3636</f>
        <v>23.7459521340247</v>
      </c>
      <c r="E3718" s="84">
        <v>4.81</v>
      </c>
      <c r="F3718" s="84">
        <f t="shared" ref="F3718:F3720" si="401">D3718*E3718</f>
        <v>114.218029764659</v>
      </c>
    </row>
    <row r="3719" customHeight="1" spans="1:6">
      <c r="A3719" s="57"/>
      <c r="B3719" s="57" t="s">
        <v>1190</v>
      </c>
      <c r="C3719" s="57" t="s">
        <v>988</v>
      </c>
      <c r="D3719" s="84">
        <f>D3637</f>
        <v>0.813242919824491</v>
      </c>
      <c r="E3719" s="57">
        <v>123.27</v>
      </c>
      <c r="F3719" s="84">
        <f t="shared" si="401"/>
        <v>100.248454726765</v>
      </c>
    </row>
    <row r="3720" customHeight="1" spans="1:6">
      <c r="A3720" s="57"/>
      <c r="B3720" s="57" t="s">
        <v>1516</v>
      </c>
      <c r="C3720" s="57" t="s">
        <v>1426</v>
      </c>
      <c r="D3720" s="84">
        <f>F3686/100</f>
        <v>25.780478715193</v>
      </c>
      <c r="E3720" s="288">
        <f>E3714</f>
        <v>79.5</v>
      </c>
      <c r="F3720" s="84">
        <f t="shared" si="401"/>
        <v>2049.54805785784</v>
      </c>
    </row>
    <row r="3721" customHeight="1" spans="1:6">
      <c r="A3721" s="57" t="s">
        <v>70</v>
      </c>
      <c r="B3721" s="57" t="s">
        <v>977</v>
      </c>
      <c r="C3721" s="101">
        <f t="shared" ref="C3721:C3724" si="402">C3639</f>
        <v>0.048</v>
      </c>
      <c r="D3721" s="84"/>
      <c r="E3721" s="84">
        <f>F3709</f>
        <v>46540.2073909263</v>
      </c>
      <c r="F3721" s="84">
        <f t="shared" ref="F3721:F3724" si="403">E3721*C3721</f>
        <v>2233.92995476446</v>
      </c>
    </row>
    <row r="3722" customHeight="1" spans="1:6">
      <c r="A3722" s="57"/>
      <c r="B3722" s="57"/>
      <c r="C3722" s="101"/>
      <c r="D3722" s="84"/>
      <c r="E3722" s="84"/>
      <c r="F3722" s="84"/>
    </row>
    <row r="3723" customHeight="1" spans="1:6">
      <c r="A3723" s="57" t="s">
        <v>979</v>
      </c>
      <c r="B3723" s="57" t="s">
        <v>973</v>
      </c>
      <c r="C3723" s="101">
        <f t="shared" si="402"/>
        <v>0.085</v>
      </c>
      <c r="D3723" s="84"/>
      <c r="E3723" s="84">
        <f>F3708</f>
        <v>48774.1373456908</v>
      </c>
      <c r="F3723" s="84">
        <f t="shared" si="403"/>
        <v>4145.80167438372</v>
      </c>
    </row>
    <row r="3724" customHeight="1" spans="1:6">
      <c r="A3724" s="57" t="s">
        <v>162</v>
      </c>
      <c r="B3724" s="57" t="s">
        <v>980</v>
      </c>
      <c r="C3724" s="101">
        <f t="shared" si="402"/>
        <v>0.07</v>
      </c>
      <c r="D3724" s="84"/>
      <c r="E3724" s="84">
        <f>F3723+F3708</f>
        <v>52919.9390200745</v>
      </c>
      <c r="F3724" s="84">
        <f t="shared" si="403"/>
        <v>3704.39573140521</v>
      </c>
    </row>
    <row r="3725" customHeight="1" spans="1:6">
      <c r="A3725" s="55" t="s">
        <v>214</v>
      </c>
      <c r="B3725" s="55" t="s">
        <v>1173</v>
      </c>
      <c r="C3725" s="55"/>
      <c r="D3725" s="254"/>
      <c r="E3725" s="55"/>
      <c r="F3725" s="255">
        <f>F3726+F3730</f>
        <v>10963.3979493449</v>
      </c>
    </row>
    <row r="3726" customHeight="1" spans="1:6">
      <c r="A3726" s="57">
        <v>1</v>
      </c>
      <c r="B3726" s="57" t="s">
        <v>1288</v>
      </c>
      <c r="C3726" s="57"/>
      <c r="D3726" s="84"/>
      <c r="E3726" s="57"/>
      <c r="F3726" s="113">
        <f>SUM(F3727:F3729)</f>
        <v>10387.7547309449</v>
      </c>
    </row>
    <row r="3727" customHeight="1" spans="1:6">
      <c r="A3727" s="57"/>
      <c r="B3727" s="57" t="s">
        <v>1141</v>
      </c>
      <c r="C3727" s="57" t="s">
        <v>69</v>
      </c>
      <c r="D3727" s="84">
        <f>材料预算价!K5-材料预算价!L5</f>
        <v>156.64017</v>
      </c>
      <c r="E3727" s="88">
        <f>E3670*配合比!E8*新定额单价!E3714/100+新定额单价!E3715*配合比!E8</f>
        <v>35.41674213</v>
      </c>
      <c r="F3727" s="113">
        <f t="shared" ref="F3727:F3729" si="404">E3727*D3727</f>
        <v>5547.68450808936</v>
      </c>
    </row>
    <row r="3728" customHeight="1" spans="1:6">
      <c r="A3728" s="57"/>
      <c r="B3728" s="57" t="s">
        <v>1142</v>
      </c>
      <c r="C3728" s="57" t="s">
        <v>1188</v>
      </c>
      <c r="D3728" s="84">
        <f>材料预算价!K7-材料预算价!L7</f>
        <v>44.826214</v>
      </c>
      <c r="E3728" s="88">
        <f>E3670*配合比!G8*新定额单价!E3714/100+新定额单价!E3715*配合比!G8</f>
        <v>63.3841362</v>
      </c>
      <c r="F3728" s="113">
        <f t="shared" si="404"/>
        <v>2841.27085350635</v>
      </c>
    </row>
    <row r="3729" customHeight="1" spans="1:6">
      <c r="A3729" s="57"/>
      <c r="B3729" s="57" t="s">
        <v>1110</v>
      </c>
      <c r="C3729" s="57" t="s">
        <v>1188</v>
      </c>
      <c r="D3729" s="84">
        <f>材料预算价!K8-材料预算价!L8</f>
        <v>20.60443</v>
      </c>
      <c r="E3729" s="88">
        <f>E3670*配合比!I8*新定额单价!E3714/100+新定额单价!E3715*配合比!I8</f>
        <v>97.00823412</v>
      </c>
      <c r="F3729" s="113">
        <f t="shared" si="404"/>
        <v>1998.79936934915</v>
      </c>
    </row>
    <row r="3730" customHeight="1" spans="1:6">
      <c r="A3730" s="57">
        <v>2</v>
      </c>
      <c r="B3730" s="57" t="s">
        <v>1289</v>
      </c>
      <c r="C3730" s="57"/>
      <c r="D3730" s="84"/>
      <c r="E3730" s="88"/>
      <c r="F3730" s="113">
        <f>SUM(F3731:F3732)</f>
        <v>575.6432184</v>
      </c>
    </row>
    <row r="3731" customHeight="1" spans="1:6">
      <c r="A3731" s="57"/>
      <c r="B3731" s="57" t="s">
        <v>1174</v>
      </c>
      <c r="C3731" s="57" t="s">
        <v>184</v>
      </c>
      <c r="D3731" s="84">
        <f>D3699</f>
        <v>4.86</v>
      </c>
      <c r="E3731" s="88">
        <f>新定额单价!E3693*台时!C98*新定额单价!E3720/100</f>
        <v>106.71444</v>
      </c>
      <c r="F3731" s="113">
        <f>D3731*E3731</f>
        <v>518.6321784</v>
      </c>
    </row>
    <row r="3732" customHeight="1" spans="1:6">
      <c r="A3732" s="57"/>
      <c r="B3732" s="57" t="s">
        <v>1118</v>
      </c>
      <c r="C3732" s="57" t="s">
        <v>184</v>
      </c>
      <c r="D3732" s="84">
        <f>材料预算价!K13-材料预算价!L13</f>
        <v>6.225</v>
      </c>
      <c r="E3732" s="88">
        <f>E3676*台时!H34*新定额单价!E3714/100</f>
        <v>9.1584</v>
      </c>
      <c r="F3732" s="113">
        <f>D3732*E3732</f>
        <v>57.01104</v>
      </c>
    </row>
    <row r="3733" customHeight="1" spans="1:6">
      <c r="A3733" s="57" t="s">
        <v>327</v>
      </c>
      <c r="B3733" s="57" t="s">
        <v>976</v>
      </c>
      <c r="C3733" s="102">
        <f>C3643</f>
        <v>0.09</v>
      </c>
      <c r="D3733" s="84"/>
      <c r="E3733" s="84">
        <f>F3725+F3724+F3723+F3708</f>
        <v>67587.7327008246</v>
      </c>
      <c r="F3733" s="84">
        <f>E3733*C3733</f>
        <v>6082.89594307421</v>
      </c>
    </row>
    <row r="3734" customHeight="1" spans="1:6">
      <c r="A3734" s="57"/>
      <c r="B3734" s="57" t="s">
        <v>984</v>
      </c>
      <c r="C3734" s="102"/>
      <c r="D3734" s="84"/>
      <c r="E3734" s="84"/>
      <c r="F3734" s="84">
        <f>(F3708+F3723+F3724+F3725+F3733)*取费表!H4</f>
        <v>2210.11885931696</v>
      </c>
    </row>
    <row r="3735" customHeight="1" spans="1:6">
      <c r="A3735" s="57"/>
      <c r="B3735" s="57" t="s">
        <v>278</v>
      </c>
      <c r="C3735" s="57"/>
      <c r="D3735" s="84"/>
      <c r="E3735" s="84"/>
      <c r="F3735" s="84">
        <f>F3733+E3733+F3734</f>
        <v>75880.7475032158</v>
      </c>
    </row>
    <row r="3736" customHeight="1" spans="1:6">
      <c r="A3736" s="121"/>
      <c r="B3736" s="57"/>
      <c r="C3736" s="57"/>
      <c r="D3736" s="84"/>
      <c r="E3736" s="84"/>
      <c r="F3736" s="84"/>
    </row>
    <row r="3737" customHeight="1" spans="1:6">
      <c r="A3737" s="121"/>
      <c r="B3737" s="57"/>
      <c r="C3737" s="57"/>
      <c r="D3737" s="84"/>
      <c r="E3737" s="84"/>
      <c r="F3737" s="84"/>
    </row>
    <row r="3738" customHeight="1" spans="1:6">
      <c r="A3738" s="121"/>
      <c r="B3738" s="57"/>
      <c r="C3738" s="57"/>
      <c r="D3738" s="84"/>
      <c r="E3738" s="84"/>
      <c r="F3738" s="84"/>
    </row>
    <row r="3739" customHeight="1" spans="1:6">
      <c r="A3739" s="121"/>
      <c r="B3739" s="261"/>
      <c r="C3739" s="121"/>
      <c r="D3739" s="121"/>
      <c r="E3739" s="121"/>
      <c r="F3739" s="121"/>
    </row>
    <row r="3740" customHeight="1" spans="1:6">
      <c r="A3740" s="121"/>
      <c r="B3740" s="261"/>
      <c r="C3740" s="121"/>
      <c r="D3740" s="121"/>
      <c r="E3740" s="121"/>
      <c r="F3740" s="121"/>
    </row>
    <row r="3741" customHeight="1" spans="1:6">
      <c r="A3741"/>
      <c r="B3741"/>
      <c r="C3741"/>
      <c r="D3741"/>
      <c r="E3741"/>
      <c r="F3741"/>
    </row>
    <row r="3742" customHeight="1" spans="1:6">
      <c r="A3742"/>
      <c r="B3742"/>
      <c r="C3742"/>
      <c r="D3742"/>
      <c r="E3742"/>
      <c r="F3742"/>
    </row>
    <row r="3743" customHeight="1" spans="1:6">
      <c r="A3743"/>
      <c r="B3743"/>
      <c r="C3743"/>
      <c r="D3743"/>
      <c r="E3743"/>
      <c r="F3743"/>
    </row>
    <row r="3744" customHeight="1" spans="1:6">
      <c r="A3744"/>
      <c r="B3744"/>
      <c r="C3744"/>
      <c r="D3744"/>
      <c r="E3744"/>
      <c r="F3744"/>
    </row>
    <row r="3745" customHeight="1" spans="1:6">
      <c r="A3745"/>
      <c r="B3745"/>
      <c r="C3745"/>
      <c r="D3745"/>
      <c r="E3745"/>
      <c r="F3745"/>
    </row>
    <row r="3746" customHeight="1" spans="1:6">
      <c r="A3746"/>
      <c r="B3746"/>
      <c r="C3746"/>
      <c r="D3746"/>
      <c r="E3746"/>
      <c r="F3746"/>
    </row>
    <row r="3747" customHeight="1" spans="1:6">
      <c r="A3747"/>
      <c r="B3747"/>
      <c r="C3747"/>
      <c r="D3747"/>
      <c r="E3747"/>
      <c r="F3747"/>
    </row>
    <row r="3748" customHeight="1" spans="1:6">
      <c r="A3748"/>
      <c r="B3748"/>
      <c r="C3748"/>
      <c r="D3748"/>
      <c r="E3748"/>
      <c r="F3748"/>
    </row>
    <row r="3749" customHeight="1" spans="1:6">
      <c r="A3749"/>
      <c r="B3749"/>
      <c r="C3749"/>
      <c r="D3749"/>
      <c r="E3749"/>
      <c r="F3749"/>
    </row>
    <row r="3750" customHeight="1" spans="1:6">
      <c r="A3750"/>
      <c r="B3750"/>
      <c r="C3750"/>
      <c r="D3750"/>
      <c r="E3750"/>
      <c r="F3750"/>
    </row>
    <row r="3751" customHeight="1" spans="1:6">
      <c r="A3751"/>
      <c r="B3751"/>
      <c r="C3751"/>
      <c r="D3751"/>
      <c r="E3751"/>
      <c r="F3751"/>
    </row>
    <row r="3752" customHeight="1" spans="1:6">
      <c r="A3752"/>
      <c r="B3752"/>
      <c r="C3752"/>
      <c r="D3752"/>
      <c r="E3752"/>
      <c r="F3752"/>
    </row>
    <row r="3753" customHeight="1" spans="1:6">
      <c r="A3753"/>
      <c r="B3753"/>
      <c r="C3753"/>
      <c r="D3753"/>
      <c r="E3753"/>
      <c r="F3753"/>
    </row>
    <row r="3754" customHeight="1" spans="1:6">
      <c r="A3754"/>
      <c r="B3754"/>
      <c r="C3754"/>
      <c r="D3754"/>
      <c r="E3754"/>
      <c r="F3754"/>
    </row>
    <row r="3755" customHeight="1" spans="1:6">
      <c r="A3755"/>
      <c r="B3755"/>
      <c r="C3755"/>
      <c r="D3755"/>
      <c r="E3755"/>
      <c r="F3755"/>
    </row>
    <row r="3756" customHeight="1" spans="1:6">
      <c r="A3756"/>
      <c r="B3756"/>
      <c r="C3756"/>
      <c r="D3756"/>
      <c r="E3756"/>
      <c r="F3756"/>
    </row>
    <row r="3757" customHeight="1" spans="1:6">
      <c r="A3757"/>
      <c r="B3757"/>
      <c r="C3757"/>
      <c r="D3757"/>
      <c r="E3757"/>
      <c r="F3757"/>
    </row>
    <row r="3758" customHeight="1" spans="1:6">
      <c r="A3758"/>
      <c r="B3758"/>
      <c r="C3758"/>
      <c r="D3758"/>
      <c r="E3758"/>
      <c r="F3758"/>
    </row>
    <row r="3759" customHeight="1" spans="1:6">
      <c r="A3759"/>
      <c r="B3759"/>
      <c r="C3759"/>
      <c r="D3759"/>
      <c r="E3759"/>
      <c r="F3759"/>
    </row>
    <row r="3760" customHeight="1" spans="1:6">
      <c r="A3760"/>
      <c r="B3760"/>
      <c r="C3760"/>
      <c r="D3760"/>
      <c r="E3760"/>
      <c r="F3760"/>
    </row>
    <row r="3761" customHeight="1" spans="1:6">
      <c r="A3761"/>
      <c r="B3761"/>
      <c r="C3761"/>
      <c r="D3761"/>
      <c r="E3761"/>
      <c r="F3761"/>
    </row>
    <row r="3762" customHeight="1" spans="1:6">
      <c r="A3762"/>
      <c r="B3762"/>
      <c r="C3762"/>
      <c r="D3762"/>
      <c r="E3762"/>
      <c r="F3762"/>
    </row>
    <row r="3763" customHeight="1" spans="1:6">
      <c r="A3763"/>
      <c r="B3763"/>
      <c r="C3763"/>
      <c r="D3763"/>
      <c r="E3763"/>
      <c r="F3763"/>
    </row>
    <row r="3764" customHeight="1" spans="1:6">
      <c r="A3764"/>
      <c r="B3764"/>
      <c r="C3764"/>
      <c r="D3764"/>
      <c r="E3764"/>
      <c r="F3764"/>
    </row>
    <row r="3765" customHeight="1" spans="1:6">
      <c r="A3765"/>
      <c r="B3765"/>
      <c r="C3765"/>
      <c r="D3765"/>
      <c r="E3765"/>
      <c r="F3765"/>
    </row>
    <row r="3766" customHeight="1" spans="1:6">
      <c r="A3766"/>
      <c r="B3766"/>
      <c r="C3766"/>
      <c r="D3766"/>
      <c r="E3766"/>
      <c r="F3766"/>
    </row>
    <row r="3767" customHeight="1" spans="1:6">
      <c r="A3767"/>
      <c r="B3767"/>
      <c r="C3767"/>
      <c r="D3767"/>
      <c r="E3767"/>
      <c r="F3767"/>
    </row>
    <row r="3768" customHeight="1" spans="1:6">
      <c r="A3768"/>
      <c r="B3768"/>
      <c r="C3768"/>
      <c r="D3768"/>
      <c r="E3768"/>
      <c r="F3768"/>
    </row>
    <row r="3769" customHeight="1" spans="1:6">
      <c r="A3769"/>
      <c r="B3769"/>
      <c r="C3769"/>
      <c r="D3769"/>
      <c r="E3769"/>
      <c r="F3769"/>
    </row>
    <row r="3770" customHeight="1" spans="1:6">
      <c r="A3770"/>
      <c r="B3770"/>
      <c r="C3770"/>
      <c r="D3770"/>
      <c r="E3770"/>
      <c r="F3770"/>
    </row>
    <row r="3771" customHeight="1" spans="1:6">
      <c r="A3771"/>
      <c r="B3771"/>
      <c r="C3771"/>
      <c r="D3771"/>
      <c r="E3771"/>
      <c r="F3771"/>
    </row>
    <row r="3772" customHeight="1" spans="1:6">
      <c r="A3772"/>
      <c r="B3772"/>
      <c r="C3772"/>
      <c r="D3772"/>
      <c r="E3772"/>
      <c r="F3772"/>
    </row>
    <row r="3773" customHeight="1" spans="1:6">
      <c r="A3773"/>
      <c r="B3773"/>
      <c r="C3773"/>
      <c r="D3773"/>
      <c r="E3773"/>
      <c r="F3773"/>
    </row>
    <row r="3774" customHeight="1" spans="1:6">
      <c r="A3774"/>
      <c r="B3774"/>
      <c r="C3774"/>
      <c r="D3774"/>
      <c r="E3774"/>
      <c r="F3774"/>
    </row>
    <row r="3775" customHeight="1" spans="1:6">
      <c r="A3775"/>
      <c r="B3775"/>
      <c r="C3775"/>
      <c r="D3775"/>
      <c r="E3775"/>
      <c r="F3775"/>
    </row>
    <row r="3776" customHeight="1" spans="1:6">
      <c r="A3776"/>
      <c r="B3776"/>
      <c r="C3776"/>
      <c r="D3776"/>
      <c r="E3776"/>
      <c r="F3776"/>
    </row>
    <row r="3777" customHeight="1" spans="1:6">
      <c r="A3777"/>
      <c r="B3777"/>
      <c r="C3777"/>
      <c r="D3777"/>
      <c r="E3777"/>
      <c r="F3777"/>
    </row>
    <row r="3778" customHeight="1" spans="1:6">
      <c r="A3778"/>
      <c r="B3778"/>
      <c r="C3778"/>
      <c r="D3778"/>
      <c r="E3778"/>
      <c r="F3778"/>
    </row>
    <row r="3779" customHeight="1" spans="1:6">
      <c r="A3779"/>
      <c r="B3779"/>
      <c r="C3779"/>
      <c r="D3779"/>
      <c r="E3779"/>
      <c r="F3779"/>
    </row>
    <row r="3780" customHeight="1" spans="1:6">
      <c r="A3780"/>
      <c r="B3780"/>
      <c r="C3780"/>
      <c r="D3780"/>
      <c r="E3780"/>
      <c r="F3780"/>
    </row>
    <row r="3781" customHeight="1" spans="1:6">
      <c r="A3781"/>
      <c r="B3781"/>
      <c r="C3781"/>
      <c r="D3781"/>
      <c r="E3781"/>
      <c r="F3781"/>
    </row>
    <row r="3782" customHeight="1" spans="1:6">
      <c r="A3782"/>
      <c r="B3782"/>
      <c r="C3782"/>
      <c r="D3782"/>
      <c r="E3782"/>
      <c r="F3782"/>
    </row>
    <row r="3783" customHeight="1" spans="1:6">
      <c r="A3783"/>
      <c r="B3783"/>
      <c r="C3783"/>
      <c r="D3783"/>
      <c r="E3783"/>
      <c r="F3783"/>
    </row>
    <row r="3784" customHeight="1" spans="1:6">
      <c r="A3784"/>
      <c r="B3784"/>
      <c r="C3784"/>
      <c r="D3784"/>
      <c r="E3784"/>
      <c r="F3784"/>
    </row>
    <row r="3785" customHeight="1" spans="1:6">
      <c r="A3785"/>
      <c r="B3785"/>
      <c r="C3785"/>
      <c r="D3785"/>
      <c r="E3785"/>
      <c r="F3785"/>
    </row>
    <row r="3786" customHeight="1" spans="1:6">
      <c r="A3786"/>
      <c r="B3786"/>
      <c r="C3786"/>
      <c r="D3786"/>
      <c r="E3786"/>
      <c r="F3786"/>
    </row>
    <row r="3787" customHeight="1" spans="1:6">
      <c r="A3787"/>
      <c r="B3787"/>
      <c r="C3787"/>
      <c r="D3787"/>
      <c r="E3787"/>
      <c r="F3787"/>
    </row>
    <row r="3788" customHeight="1" spans="1:6">
      <c r="A3788"/>
      <c r="B3788"/>
      <c r="C3788"/>
      <c r="D3788"/>
      <c r="E3788"/>
      <c r="F3788"/>
    </row>
    <row r="3789" customHeight="1" spans="1:6">
      <c r="A3789"/>
      <c r="B3789"/>
      <c r="C3789"/>
      <c r="D3789"/>
      <c r="E3789"/>
      <c r="F3789"/>
    </row>
    <row r="3790" customHeight="1" spans="1:6">
      <c r="A3790"/>
      <c r="B3790"/>
      <c r="C3790"/>
      <c r="D3790"/>
      <c r="E3790"/>
      <c r="F3790"/>
    </row>
    <row r="3791" customHeight="1" spans="1:6">
      <c r="A3791"/>
      <c r="B3791"/>
      <c r="C3791"/>
      <c r="D3791"/>
      <c r="E3791"/>
      <c r="F3791"/>
    </row>
    <row r="3792" customHeight="1" spans="1:6">
      <c r="A3792"/>
      <c r="B3792"/>
      <c r="C3792"/>
      <c r="D3792"/>
      <c r="E3792"/>
      <c r="F3792"/>
    </row>
    <row r="3793" customHeight="1" spans="1:6">
      <c r="A3793"/>
      <c r="B3793"/>
      <c r="C3793"/>
      <c r="D3793"/>
      <c r="E3793"/>
      <c r="F3793"/>
    </row>
    <row r="3794" customHeight="1" spans="1:6">
      <c r="A3794"/>
      <c r="B3794"/>
      <c r="C3794"/>
      <c r="D3794"/>
      <c r="E3794"/>
      <c r="F3794"/>
    </row>
    <row r="3795" customHeight="1" spans="1:6">
      <c r="A3795"/>
      <c r="B3795"/>
      <c r="C3795"/>
      <c r="D3795"/>
      <c r="E3795"/>
      <c r="F3795"/>
    </row>
    <row r="3796" customHeight="1" spans="1:6">
      <c r="A3796"/>
      <c r="B3796"/>
      <c r="C3796"/>
      <c r="D3796"/>
      <c r="E3796"/>
      <c r="F3796"/>
    </row>
    <row r="3797" customHeight="1" spans="1:6">
      <c r="A3797"/>
      <c r="B3797"/>
      <c r="C3797"/>
      <c r="D3797"/>
      <c r="E3797"/>
      <c r="F3797"/>
    </row>
    <row r="3798" customHeight="1" spans="1:6">
      <c r="A3798"/>
      <c r="B3798"/>
      <c r="C3798"/>
      <c r="D3798"/>
      <c r="E3798"/>
      <c r="F3798"/>
    </row>
    <row r="3799" customHeight="1" spans="1:6">
      <c r="A3799"/>
      <c r="B3799"/>
      <c r="C3799"/>
      <c r="D3799"/>
      <c r="E3799"/>
      <c r="F3799"/>
    </row>
    <row r="3800" customHeight="1" spans="1:6">
      <c r="A3800"/>
      <c r="B3800"/>
      <c r="C3800"/>
      <c r="D3800"/>
      <c r="E3800"/>
      <c r="F3800"/>
    </row>
    <row r="3801" customHeight="1" spans="1:6">
      <c r="A3801"/>
      <c r="B3801"/>
      <c r="C3801"/>
      <c r="D3801"/>
      <c r="E3801"/>
      <c r="F3801"/>
    </row>
    <row r="3802" customHeight="1" spans="1:6">
      <c r="A3802"/>
      <c r="B3802"/>
      <c r="C3802"/>
      <c r="D3802"/>
      <c r="E3802"/>
      <c r="F3802"/>
    </row>
    <row r="3803" customHeight="1" spans="1:6">
      <c r="A3803"/>
      <c r="B3803"/>
      <c r="C3803"/>
      <c r="D3803"/>
      <c r="E3803"/>
      <c r="F3803"/>
    </row>
    <row r="3804" customHeight="1" spans="1:6">
      <c r="A3804"/>
      <c r="B3804"/>
      <c r="C3804"/>
      <c r="D3804"/>
      <c r="E3804"/>
      <c r="F3804"/>
    </row>
    <row r="3805" customHeight="1" spans="1:6">
      <c r="A3805"/>
      <c r="B3805"/>
      <c r="C3805"/>
      <c r="D3805"/>
      <c r="E3805"/>
      <c r="F3805"/>
    </row>
    <row r="3806" customHeight="1" spans="1:6">
      <c r="A3806"/>
      <c r="B3806"/>
      <c r="C3806"/>
      <c r="D3806"/>
      <c r="E3806"/>
      <c r="F3806"/>
    </row>
    <row r="3807" customHeight="1" spans="1:6">
      <c r="A3807"/>
      <c r="B3807"/>
      <c r="C3807"/>
      <c r="D3807"/>
      <c r="E3807"/>
      <c r="F3807"/>
    </row>
    <row r="3808" customHeight="1" spans="1:6">
      <c r="A3808"/>
      <c r="B3808"/>
      <c r="C3808"/>
      <c r="D3808"/>
      <c r="E3808"/>
      <c r="F3808"/>
    </row>
    <row r="3809" customHeight="1" spans="1:6">
      <c r="A3809"/>
      <c r="B3809"/>
      <c r="C3809"/>
      <c r="D3809"/>
      <c r="E3809"/>
      <c r="F3809"/>
    </row>
    <row r="3810" customHeight="1" spans="1:6">
      <c r="A3810"/>
      <c r="B3810"/>
      <c r="C3810"/>
      <c r="D3810"/>
      <c r="E3810"/>
      <c r="F3810"/>
    </row>
    <row r="3811" customHeight="1" spans="1:6">
      <c r="A3811"/>
      <c r="B3811"/>
      <c r="C3811"/>
      <c r="D3811"/>
      <c r="E3811"/>
      <c r="F3811"/>
    </row>
    <row r="3812" customHeight="1" spans="1:6">
      <c r="A3812"/>
      <c r="B3812"/>
      <c r="C3812"/>
      <c r="D3812"/>
      <c r="E3812"/>
      <c r="F3812"/>
    </row>
    <row r="3813" customHeight="1" spans="1:6">
      <c r="A3813"/>
      <c r="B3813"/>
      <c r="C3813"/>
      <c r="D3813"/>
      <c r="E3813"/>
      <c r="F3813"/>
    </row>
    <row r="3814" customHeight="1" spans="1:6">
      <c r="A3814"/>
      <c r="B3814"/>
      <c r="C3814"/>
      <c r="D3814"/>
      <c r="E3814"/>
      <c r="F3814"/>
    </row>
    <row r="3815" customHeight="1" spans="1:6">
      <c r="A3815"/>
      <c r="B3815"/>
      <c r="C3815"/>
      <c r="D3815"/>
      <c r="E3815"/>
      <c r="F3815"/>
    </row>
    <row r="3816" customHeight="1" spans="1:6">
      <c r="A3816"/>
      <c r="B3816"/>
      <c r="C3816"/>
      <c r="D3816"/>
      <c r="E3816"/>
      <c r="F3816"/>
    </row>
    <row r="3817" customHeight="1" spans="1:6">
      <c r="A3817" s="176" t="s">
        <v>1204</v>
      </c>
      <c r="B3817" s="175"/>
      <c r="C3817" s="175"/>
      <c r="D3817" s="175"/>
      <c r="E3817" s="175"/>
      <c r="F3817" s="175"/>
    </row>
    <row r="3818" customHeight="1" spans="1:6">
      <c r="A3818" s="242" t="s">
        <v>1523</v>
      </c>
      <c r="C3818" s="243"/>
      <c r="D3818" s="243"/>
      <c r="E3818" s="243"/>
      <c r="F3818" s="243"/>
    </row>
    <row r="3819" customHeight="1" spans="1:6">
      <c r="A3819" s="190" t="s">
        <v>1524</v>
      </c>
      <c r="B3819" s="190"/>
      <c r="C3819" s="243"/>
      <c r="D3819" s="243"/>
      <c r="E3819" s="191" t="s">
        <v>1159</v>
      </c>
      <c r="F3819" s="191"/>
    </row>
    <row r="3820" customHeight="1" spans="1:6">
      <c r="A3820" s="117" t="s">
        <v>1218</v>
      </c>
      <c r="B3820" s="192"/>
      <c r="C3820" s="192"/>
      <c r="D3820" s="192"/>
      <c r="E3820" s="192"/>
      <c r="F3820" s="118"/>
    </row>
    <row r="3821" customHeight="1" spans="1:6">
      <c r="A3821" s="57" t="s">
        <v>354</v>
      </c>
      <c r="B3821" s="57" t="s">
        <v>956</v>
      </c>
      <c r="C3821" s="57" t="s">
        <v>52</v>
      </c>
      <c r="D3821" s="57" t="s">
        <v>855</v>
      </c>
      <c r="E3821" s="57" t="s">
        <v>53</v>
      </c>
      <c r="F3821" s="57" t="s">
        <v>306</v>
      </c>
    </row>
    <row r="3822" customHeight="1" spans="1:6">
      <c r="A3822" s="57" t="s">
        <v>959</v>
      </c>
      <c r="B3822" s="57" t="s">
        <v>964</v>
      </c>
      <c r="C3822" s="57" t="s">
        <v>965</v>
      </c>
      <c r="D3822" s="84"/>
      <c r="E3822" s="92">
        <f>SUM(E3823:E3824)</f>
        <v>1280.1</v>
      </c>
      <c r="F3822" s="113">
        <f>SUM(F3823:F3824)</f>
        <v>9431.451</v>
      </c>
    </row>
    <row r="3823" customHeight="1" spans="1:6">
      <c r="A3823" s="57"/>
      <c r="B3823" s="57" t="s">
        <v>966</v>
      </c>
      <c r="C3823" s="57" t="s">
        <v>965</v>
      </c>
      <c r="D3823" s="113">
        <f>建筑工程单价分析表!D924</f>
        <v>8.1</v>
      </c>
      <c r="E3823" s="92">
        <v>877.8</v>
      </c>
      <c r="F3823" s="113">
        <f>D3823*E3823</f>
        <v>7110.18</v>
      </c>
    </row>
    <row r="3824" customHeight="1" spans="1:6">
      <c r="A3824" s="57"/>
      <c r="B3824" s="57" t="s">
        <v>968</v>
      </c>
      <c r="C3824" s="57" t="s">
        <v>965</v>
      </c>
      <c r="D3824" s="113">
        <f>建筑工程单价分析表!D925</f>
        <v>5.77</v>
      </c>
      <c r="E3824" s="92">
        <v>402.3</v>
      </c>
      <c r="F3824" s="113">
        <f>D3824*E3824</f>
        <v>2321.271</v>
      </c>
    </row>
    <row r="3825" customHeight="1" spans="1:6">
      <c r="A3825" s="57" t="s">
        <v>1372</v>
      </c>
      <c r="B3825" s="57" t="s">
        <v>1219</v>
      </c>
      <c r="C3825" s="57"/>
      <c r="D3825" s="84"/>
      <c r="E3825" s="84"/>
      <c r="F3825" s="84">
        <f>SUM(F3826:F3833)</f>
        <v>21547.0907582588</v>
      </c>
    </row>
    <row r="3826" customHeight="1" spans="1:6">
      <c r="A3826" s="57"/>
      <c r="B3826" s="244" t="s">
        <v>1272</v>
      </c>
      <c r="C3826" s="57" t="s">
        <v>1188</v>
      </c>
      <c r="D3826" s="84">
        <f>材料预算价!K10</f>
        <v>2232.665025</v>
      </c>
      <c r="E3826" s="84">
        <v>0.19</v>
      </c>
      <c r="F3826" s="84">
        <f t="shared" ref="F3826:F3832" si="405">D3826*E3826</f>
        <v>424.20635475</v>
      </c>
    </row>
    <row r="3827" customHeight="1" spans="1:6">
      <c r="A3827" s="57"/>
      <c r="B3827" s="244" t="s">
        <v>1334</v>
      </c>
      <c r="C3827" s="244" t="s">
        <v>184</v>
      </c>
      <c r="D3827" s="84">
        <v>4.44</v>
      </c>
      <c r="E3827" s="84">
        <v>76.82</v>
      </c>
      <c r="F3827" s="84">
        <f t="shared" si="405"/>
        <v>341.0808</v>
      </c>
    </row>
    <row r="3828" customHeight="1" spans="1:6">
      <c r="A3828" s="57"/>
      <c r="B3828" s="244" t="s">
        <v>1274</v>
      </c>
      <c r="C3828" s="244" t="s">
        <v>184</v>
      </c>
      <c r="D3828" s="84">
        <v>4.5</v>
      </c>
      <c r="E3828" s="84">
        <v>31.3</v>
      </c>
      <c r="F3828" s="84">
        <f t="shared" si="405"/>
        <v>140.85</v>
      </c>
    </row>
    <row r="3829" customHeight="1" spans="1:6">
      <c r="A3829" s="57"/>
      <c r="B3829" s="244" t="s">
        <v>1275</v>
      </c>
      <c r="C3829" s="244" t="s">
        <v>184</v>
      </c>
      <c r="D3829" s="84">
        <v>5.15</v>
      </c>
      <c r="E3829" s="84">
        <v>45.35</v>
      </c>
      <c r="F3829" s="84">
        <f t="shared" si="405"/>
        <v>233.5525</v>
      </c>
    </row>
    <row r="3830" customHeight="1" spans="1:6">
      <c r="A3830" s="57"/>
      <c r="B3830" s="244" t="s">
        <v>1276</v>
      </c>
      <c r="C3830" s="244" t="s">
        <v>184</v>
      </c>
      <c r="D3830" s="84">
        <v>4.5</v>
      </c>
      <c r="E3830" s="84">
        <v>276.72</v>
      </c>
      <c r="F3830" s="84">
        <f t="shared" si="405"/>
        <v>1245.24</v>
      </c>
    </row>
    <row r="3831" customHeight="1" spans="1:6">
      <c r="A3831" s="57"/>
      <c r="B3831" s="57" t="s">
        <v>1292</v>
      </c>
      <c r="C3831" s="57" t="s">
        <v>1188</v>
      </c>
      <c r="D3831" s="84">
        <f>配合比!M10</f>
        <v>183.3858985</v>
      </c>
      <c r="E3831" s="84">
        <v>102</v>
      </c>
      <c r="F3831" s="84">
        <f t="shared" si="405"/>
        <v>18705.361647</v>
      </c>
    </row>
    <row r="3832" customHeight="1" spans="1:6">
      <c r="A3832" s="57"/>
      <c r="B3832" s="57" t="s">
        <v>1022</v>
      </c>
      <c r="C3832" s="57" t="s">
        <v>1188</v>
      </c>
      <c r="D3832" s="84">
        <f>材料预算价!K14</f>
        <v>4.37</v>
      </c>
      <c r="E3832" s="84">
        <v>80</v>
      </c>
      <c r="F3832" s="84">
        <f t="shared" si="405"/>
        <v>349.6</v>
      </c>
    </row>
    <row r="3833" customHeight="1" spans="1:6">
      <c r="A3833" s="57"/>
      <c r="B3833" s="57" t="s">
        <v>1163</v>
      </c>
      <c r="C3833" s="59" t="s">
        <v>423</v>
      </c>
      <c r="D3833" s="84">
        <f>SUM(F3826:F3832)</f>
        <v>21439.89130175</v>
      </c>
      <c r="E3833" s="84">
        <v>0.5</v>
      </c>
      <c r="F3833" s="84">
        <f>D3833*E3833/100</f>
        <v>107.19945650875</v>
      </c>
    </row>
    <row r="3834" customHeight="1" spans="1:6">
      <c r="A3834" s="57" t="s">
        <v>1373</v>
      </c>
      <c r="B3834" s="57" t="s">
        <v>1171</v>
      </c>
      <c r="C3834" s="57"/>
      <c r="D3834" s="84"/>
      <c r="E3834" s="84"/>
      <c r="F3834" s="84">
        <f>SUM(F3835:F3839)</f>
        <v>785.830922165138</v>
      </c>
    </row>
    <row r="3835" customHeight="1" spans="1:6">
      <c r="A3835" s="57"/>
      <c r="B3835" s="57" t="s">
        <v>1283</v>
      </c>
      <c r="C3835" s="57" t="s">
        <v>988</v>
      </c>
      <c r="D3835" s="84">
        <f>D3674</f>
        <v>23.7459521340247</v>
      </c>
      <c r="E3835" s="84">
        <v>18.36</v>
      </c>
      <c r="F3835" s="84">
        <f t="shared" ref="F3835:F3838" si="406">D3835*E3835</f>
        <v>435.975681180694</v>
      </c>
    </row>
    <row r="3836" customHeight="1" spans="1:6">
      <c r="A3836" s="57"/>
      <c r="B3836" s="57" t="s">
        <v>1503</v>
      </c>
      <c r="C3836" s="57" t="s">
        <v>988</v>
      </c>
      <c r="D3836" s="84">
        <f>D3675</f>
        <v>1.80552692461109</v>
      </c>
      <c r="E3836" s="84">
        <v>35</v>
      </c>
      <c r="F3836" s="84">
        <f t="shared" si="406"/>
        <v>63.1934423613881</v>
      </c>
    </row>
    <row r="3837" customHeight="1" spans="1:6">
      <c r="A3837" s="57"/>
      <c r="B3837" s="57" t="s">
        <v>1190</v>
      </c>
      <c r="C3837" s="57" t="s">
        <v>988</v>
      </c>
      <c r="D3837" s="84">
        <f>D3677</f>
        <v>0.813242919824491</v>
      </c>
      <c r="E3837" s="204">
        <v>139</v>
      </c>
      <c r="F3837" s="84">
        <f t="shared" si="406"/>
        <v>113.040765855604</v>
      </c>
    </row>
    <row r="3838" customHeight="1" spans="1:6">
      <c r="A3838" s="57"/>
      <c r="B3838" s="57" t="s">
        <v>1329</v>
      </c>
      <c r="C3838" s="57" t="s">
        <v>988</v>
      </c>
      <c r="D3838" s="84">
        <f>台时!H42</f>
        <v>49.389824491424</v>
      </c>
      <c r="E3838" s="204">
        <v>1.44</v>
      </c>
      <c r="F3838" s="84">
        <f t="shared" si="406"/>
        <v>71.1213472676506</v>
      </c>
    </row>
    <row r="3839" customHeight="1" spans="1:6">
      <c r="A3839" s="57"/>
      <c r="B3839" s="57" t="s">
        <v>1223</v>
      </c>
      <c r="C3839" s="59" t="s">
        <v>423</v>
      </c>
      <c r="D3839" s="84">
        <f>SUM(F3835:F3838)</f>
        <v>683.331236665337</v>
      </c>
      <c r="E3839" s="84">
        <v>15</v>
      </c>
      <c r="F3839" s="84">
        <f>D3839*E3839/100</f>
        <v>102.499685499801</v>
      </c>
    </row>
    <row r="3840" customHeight="1" spans="1:6">
      <c r="A3840" s="57"/>
      <c r="B3840" s="57" t="s">
        <v>278</v>
      </c>
      <c r="C3840" s="57"/>
      <c r="D3840" s="84"/>
      <c r="E3840" s="84"/>
      <c r="F3840" s="84">
        <f>F3822+F3825+F3834</f>
        <v>31764.3726804239</v>
      </c>
    </row>
    <row r="3841" customHeight="1" spans="1:6">
      <c r="A3841" s="121"/>
      <c r="B3841" s="261"/>
      <c r="C3841" s="121"/>
      <c r="D3841" s="121"/>
      <c r="E3841" s="121"/>
      <c r="F3841" s="121"/>
    </row>
    <row r="3842" customHeight="1" spans="1:6">
      <c r="A3842" s="121"/>
      <c r="B3842" s="261"/>
      <c r="C3842" s="121"/>
      <c r="D3842" s="121"/>
      <c r="E3842" s="121"/>
      <c r="F3842" s="121"/>
    </row>
    <row r="3843" customHeight="1" spans="1:6">
      <c r="A3843" s="121"/>
      <c r="B3843" s="261"/>
      <c r="C3843" s="121"/>
      <c r="D3843" s="121"/>
      <c r="E3843" s="121"/>
      <c r="F3843" s="121"/>
    </row>
    <row r="3844" customHeight="1" spans="1:6">
      <c r="A3844" s="121"/>
      <c r="B3844" s="261"/>
      <c r="C3844" s="121"/>
      <c r="D3844" s="121"/>
      <c r="E3844" s="121"/>
      <c r="F3844" s="121"/>
    </row>
    <row r="3845" customHeight="1" spans="1:6">
      <c r="A3845" s="121"/>
      <c r="B3845" s="261"/>
      <c r="C3845" s="121"/>
      <c r="D3845" s="121"/>
      <c r="E3845" s="121"/>
      <c r="F3845" s="121"/>
    </row>
    <row r="3846" customHeight="1" spans="1:6">
      <c r="A3846" s="121"/>
      <c r="B3846" s="261"/>
      <c r="C3846" s="121"/>
      <c r="D3846" s="121"/>
      <c r="E3846" s="121"/>
      <c r="F3846" s="121"/>
    </row>
    <row r="3847" customHeight="1" spans="1:6">
      <c r="A3847" s="121"/>
      <c r="B3847" s="261"/>
      <c r="C3847" s="121"/>
      <c r="D3847" s="121"/>
      <c r="E3847" s="121"/>
      <c r="F3847" s="121"/>
    </row>
    <row r="3848" customHeight="1" spans="1:6">
      <c r="A3848" s="121"/>
      <c r="B3848" s="261"/>
      <c r="C3848" s="121"/>
      <c r="D3848" s="121"/>
      <c r="E3848" s="121"/>
      <c r="F3848" s="121"/>
    </row>
    <row r="3849" customHeight="1" spans="1:6">
      <c r="A3849" s="121"/>
      <c r="B3849" s="261"/>
      <c r="C3849" s="121"/>
      <c r="D3849" s="121"/>
      <c r="E3849" s="121"/>
      <c r="F3849" s="121"/>
    </row>
    <row r="3850" customHeight="1" spans="1:6">
      <c r="A3850" s="121"/>
      <c r="B3850" s="261"/>
      <c r="C3850" s="121"/>
      <c r="D3850" s="121"/>
      <c r="E3850" s="121"/>
      <c r="F3850" s="121"/>
    </row>
    <row r="3851" customHeight="1" spans="1:6">
      <c r="A3851" s="121"/>
      <c r="B3851" s="261"/>
      <c r="C3851" s="121"/>
      <c r="D3851" s="121"/>
      <c r="E3851" s="121"/>
      <c r="F3851" s="121"/>
    </row>
    <row r="3852" customHeight="1" spans="1:6">
      <c r="A3852" s="121"/>
      <c r="B3852" s="261"/>
      <c r="C3852" s="121"/>
      <c r="D3852" s="121"/>
      <c r="E3852" s="121"/>
      <c r="F3852" s="121"/>
    </row>
    <row r="3853" customHeight="1" spans="1:6">
      <c r="A3853" s="121"/>
      <c r="B3853" s="261"/>
      <c r="C3853" s="121"/>
      <c r="D3853" s="121"/>
      <c r="E3853" s="121"/>
      <c r="F3853" s="121"/>
    </row>
    <row r="3854" customHeight="1" spans="1:6">
      <c r="A3854" s="121"/>
      <c r="B3854" s="261"/>
      <c r="C3854" s="121"/>
      <c r="D3854" s="121"/>
      <c r="E3854" s="121"/>
      <c r="F3854" s="121"/>
    </row>
    <row r="3855" ht="17.1" customHeight="1" spans="1:6">
      <c r="A3855" s="176" t="s">
        <v>1204</v>
      </c>
      <c r="B3855" s="175"/>
      <c r="C3855" s="175"/>
      <c r="D3855" s="175"/>
      <c r="E3855" s="175"/>
      <c r="F3855" s="175"/>
    </row>
    <row r="3856" ht="17.1" customHeight="1" spans="1:6">
      <c r="A3856" s="242" t="s">
        <v>1525</v>
      </c>
      <c r="C3856" s="243"/>
      <c r="D3856" s="243"/>
      <c r="E3856" s="243"/>
      <c r="F3856" s="243"/>
    </row>
    <row r="3857" ht="17.1" customHeight="1" spans="1:6">
      <c r="A3857" s="190" t="s">
        <v>1526</v>
      </c>
      <c r="B3857" s="190"/>
      <c r="C3857" s="168"/>
      <c r="D3857" s="168"/>
      <c r="E3857" s="191" t="s">
        <v>1242</v>
      </c>
      <c r="F3857" s="191"/>
    </row>
    <row r="3858" ht="17.1" customHeight="1" spans="1:6">
      <c r="A3858" s="197" t="s">
        <v>1527</v>
      </c>
      <c r="B3858" s="201"/>
      <c r="C3858" s="192"/>
      <c r="D3858" s="192"/>
      <c r="E3858" s="192"/>
      <c r="F3858" s="118"/>
    </row>
    <row r="3859" ht="17.1" customHeight="1" spans="1:6">
      <c r="A3859" s="57" t="s">
        <v>354</v>
      </c>
      <c r="B3859" s="57" t="s">
        <v>956</v>
      </c>
      <c r="C3859" s="57" t="s">
        <v>52</v>
      </c>
      <c r="D3859" s="57" t="s">
        <v>855</v>
      </c>
      <c r="E3859" s="57" t="s">
        <v>53</v>
      </c>
      <c r="F3859" s="57" t="s">
        <v>306</v>
      </c>
    </row>
    <row r="3860" ht="17.1" customHeight="1" spans="1:6">
      <c r="A3860" s="57" t="s">
        <v>1367</v>
      </c>
      <c r="B3860" s="57" t="s">
        <v>960</v>
      </c>
      <c r="C3860" s="57"/>
      <c r="D3860" s="57"/>
      <c r="E3860" s="57"/>
      <c r="F3860" s="84">
        <f>F3861+F3874+F3875</f>
        <v>38028.2019021804</v>
      </c>
    </row>
    <row r="3861" ht="17.1" customHeight="1" spans="1:6">
      <c r="A3861" s="57" t="s">
        <v>59</v>
      </c>
      <c r="B3861" s="57" t="s">
        <v>957</v>
      </c>
      <c r="C3861" s="57"/>
      <c r="D3861" s="57"/>
      <c r="E3861" s="57"/>
      <c r="F3861" s="84">
        <f>F3862+F3865+F3869+F3873</f>
        <v>36286.452196737</v>
      </c>
    </row>
    <row r="3862" ht="17.1" customHeight="1" spans="1:6">
      <c r="A3862" s="57">
        <v>1</v>
      </c>
      <c r="B3862" s="57" t="s">
        <v>964</v>
      </c>
      <c r="C3862" s="57" t="s">
        <v>965</v>
      </c>
      <c r="D3862" s="84"/>
      <c r="E3862" s="92">
        <f>SUM(E3863:E3864)</f>
        <v>658.8</v>
      </c>
      <c r="F3862" s="113">
        <f>SUM(F3863:F3864)</f>
        <v>4423.386</v>
      </c>
    </row>
    <row r="3863" ht="17.1" customHeight="1" spans="1:6">
      <c r="A3863" s="57"/>
      <c r="B3863" s="57" t="s">
        <v>966</v>
      </c>
      <c r="C3863" s="57" t="s">
        <v>965</v>
      </c>
      <c r="D3863" s="113">
        <f>D3823</f>
        <v>8.1</v>
      </c>
      <c r="E3863" s="92">
        <v>267</v>
      </c>
      <c r="F3863" s="113">
        <f t="shared" ref="F3863:F3867" si="407">D3863*E3863</f>
        <v>2162.7</v>
      </c>
    </row>
    <row r="3864" ht="17.1" customHeight="1" spans="1:6">
      <c r="A3864" s="57"/>
      <c r="B3864" s="57" t="s">
        <v>968</v>
      </c>
      <c r="C3864" s="57" t="s">
        <v>965</v>
      </c>
      <c r="D3864" s="113">
        <f>D3824</f>
        <v>5.77</v>
      </c>
      <c r="E3864" s="92">
        <v>391.8</v>
      </c>
      <c r="F3864" s="113">
        <f t="shared" si="407"/>
        <v>2260.686</v>
      </c>
    </row>
    <row r="3865" ht="17.1" customHeight="1" spans="1:6">
      <c r="A3865" s="57">
        <v>2</v>
      </c>
      <c r="B3865" s="57" t="s">
        <v>1219</v>
      </c>
      <c r="C3865" s="57"/>
      <c r="D3865" s="84"/>
      <c r="E3865" s="84"/>
      <c r="F3865" s="84">
        <f>SUM(F3866:F3868)</f>
        <v>31695.89323712</v>
      </c>
    </row>
    <row r="3866" ht="17.1" customHeight="1" spans="1:6">
      <c r="A3866" s="57"/>
      <c r="B3866" s="244" t="s">
        <v>1528</v>
      </c>
      <c r="C3866" s="244" t="s">
        <v>184</v>
      </c>
      <c r="D3866" s="84">
        <f>F3840/100</f>
        <v>317.643726804239</v>
      </c>
      <c r="E3866" s="356">
        <v>92</v>
      </c>
      <c r="F3866" s="84">
        <f t="shared" si="407"/>
        <v>29223.22286599</v>
      </c>
    </row>
    <row r="3867" ht="17.1" customHeight="1" spans="1:6">
      <c r="A3867" s="57"/>
      <c r="B3867" s="244" t="s">
        <v>1425</v>
      </c>
      <c r="C3867" s="244" t="s">
        <v>1426</v>
      </c>
      <c r="D3867" s="84">
        <f>配合比!M15</f>
        <v>144.68621</v>
      </c>
      <c r="E3867" s="244">
        <v>16</v>
      </c>
      <c r="F3867" s="84">
        <f t="shared" si="407"/>
        <v>2314.97936</v>
      </c>
    </row>
    <row r="3868" ht="17.1" customHeight="1" spans="1:6">
      <c r="A3868" s="57"/>
      <c r="B3868" s="57" t="s">
        <v>1248</v>
      </c>
      <c r="C3868" s="57" t="s">
        <v>423</v>
      </c>
      <c r="D3868" s="84">
        <f>SUM(F3866:F3867)</f>
        <v>31538.20222599</v>
      </c>
      <c r="E3868" s="57">
        <v>0.5</v>
      </c>
      <c r="F3868" s="84">
        <f>D3868*E3868/100</f>
        <v>157.69101112995</v>
      </c>
    </row>
    <row r="3869" ht="17.1" customHeight="1" spans="1:6">
      <c r="A3869" s="57">
        <v>3</v>
      </c>
      <c r="B3869" s="57" t="s">
        <v>1171</v>
      </c>
      <c r="C3869" s="57"/>
      <c r="D3869" s="84"/>
      <c r="E3869" s="84"/>
      <c r="F3869" s="84">
        <f>SUM(F3870:F3872)</f>
        <v>167.172959617072</v>
      </c>
    </row>
    <row r="3870" ht="17.1" customHeight="1" spans="1:6">
      <c r="A3870" s="57"/>
      <c r="B3870" s="57" t="s">
        <v>1283</v>
      </c>
      <c r="C3870" s="57" t="s">
        <v>988</v>
      </c>
      <c r="D3870" s="84">
        <f>D3835</f>
        <v>23.7459521340247</v>
      </c>
      <c r="E3870" s="84">
        <v>2.88</v>
      </c>
      <c r="F3870" s="84">
        <f t="shared" ref="F3870:F3873" si="408">D3870*E3870</f>
        <v>68.3883421459912</v>
      </c>
    </row>
    <row r="3871" ht="17.1" customHeight="1" spans="1:7">
      <c r="A3871" s="57"/>
      <c r="B3871" s="57" t="s">
        <v>1190</v>
      </c>
      <c r="C3871" s="57" t="s">
        <v>988</v>
      </c>
      <c r="D3871" s="84">
        <f>D3837</f>
        <v>0.813242919824491</v>
      </c>
      <c r="E3871" s="57">
        <v>121.47</v>
      </c>
      <c r="F3871" s="84">
        <f t="shared" si="408"/>
        <v>98.7846174710809</v>
      </c>
      <c r="G3871" s="109" t="s">
        <v>1529</v>
      </c>
    </row>
    <row r="3872" ht="17.1" customHeight="1" spans="1:6">
      <c r="A3872" s="57"/>
      <c r="B3872" s="57"/>
      <c r="C3872" s="57"/>
      <c r="D3872" s="84"/>
      <c r="E3872" s="57"/>
      <c r="F3872" s="84"/>
    </row>
    <row r="3873" ht="17.1" customHeight="1" spans="1:6">
      <c r="A3873" s="57">
        <v>4</v>
      </c>
      <c r="B3873" s="57" t="s">
        <v>1516</v>
      </c>
      <c r="C3873" s="57" t="s">
        <v>1426</v>
      </c>
      <c r="D3873" s="84"/>
      <c r="E3873" s="57">
        <v>92</v>
      </c>
      <c r="F3873" s="84">
        <f t="shared" si="408"/>
        <v>0</v>
      </c>
    </row>
    <row r="3874" ht="17.1" customHeight="1" spans="1:6">
      <c r="A3874" s="57" t="s">
        <v>70</v>
      </c>
      <c r="B3874" s="57" t="s">
        <v>977</v>
      </c>
      <c r="C3874" s="101">
        <f>取费表!C6</f>
        <v>0.048</v>
      </c>
      <c r="D3874" s="84"/>
      <c r="E3874" s="84">
        <f>F3861</f>
        <v>36286.452196737</v>
      </c>
      <c r="F3874" s="84">
        <f t="shared" ref="F3874:F3877" si="409">E3874*C3874</f>
        <v>1741.74970544338</v>
      </c>
    </row>
    <row r="3875" ht="17.1" customHeight="1" spans="1:6">
      <c r="A3875" s="57"/>
      <c r="B3875" s="57"/>
      <c r="C3875" s="101"/>
      <c r="D3875" s="84"/>
      <c r="E3875" s="84"/>
      <c r="F3875" s="84"/>
    </row>
    <row r="3876" ht="17.1" customHeight="1" spans="1:6">
      <c r="A3876" s="57" t="s">
        <v>979</v>
      </c>
      <c r="B3876" s="57" t="s">
        <v>973</v>
      </c>
      <c r="C3876" s="101">
        <f>取费表!E6</f>
        <v>0.085</v>
      </c>
      <c r="D3876" s="84"/>
      <c r="E3876" s="84">
        <f>F3860</f>
        <v>38028.2019021804</v>
      </c>
      <c r="F3876" s="84">
        <f t="shared" si="409"/>
        <v>3232.39716168534</v>
      </c>
    </row>
    <row r="3877" ht="17.1" customHeight="1" spans="1:6">
      <c r="A3877" s="57" t="s">
        <v>162</v>
      </c>
      <c r="B3877" s="57" t="s">
        <v>980</v>
      </c>
      <c r="C3877" s="101">
        <f>取费表!F6</f>
        <v>0.07</v>
      </c>
      <c r="D3877" s="84"/>
      <c r="E3877" s="84">
        <f>F3876+F3860</f>
        <v>41260.5990638658</v>
      </c>
      <c r="F3877" s="84">
        <f t="shared" si="409"/>
        <v>2888.2419344706</v>
      </c>
    </row>
    <row r="3878" ht="17.1" customHeight="1" spans="1:6">
      <c r="A3878" s="55" t="s">
        <v>214</v>
      </c>
      <c r="B3878" s="55" t="s">
        <v>1173</v>
      </c>
      <c r="C3878" s="55"/>
      <c r="D3878" s="254"/>
      <c r="E3878" s="55"/>
      <c r="F3878" s="255">
        <f>F3879+F3884</f>
        <v>11781.5179766313</v>
      </c>
    </row>
    <row r="3879" ht="17.1" customHeight="1" spans="1:6">
      <c r="A3879" s="57">
        <v>1</v>
      </c>
      <c r="B3879" s="57" t="s">
        <v>1288</v>
      </c>
      <c r="C3879" s="57"/>
      <c r="D3879" s="84"/>
      <c r="E3879" s="57"/>
      <c r="F3879" s="113">
        <f>SUM(F3880:F3883)</f>
        <v>11064.6096566313</v>
      </c>
    </row>
    <row r="3880" ht="17.1" customHeight="1" spans="1:6">
      <c r="A3880" s="57"/>
      <c r="B3880" s="57"/>
      <c r="C3880" s="57"/>
      <c r="D3880" s="84"/>
      <c r="E3880" s="84"/>
      <c r="F3880" s="113"/>
    </row>
    <row r="3881" ht="17.1" customHeight="1" spans="1:6">
      <c r="A3881" s="57"/>
      <c r="B3881" s="57" t="s">
        <v>1141</v>
      </c>
      <c r="C3881" s="57" t="s">
        <v>69</v>
      </c>
      <c r="D3881" s="84">
        <f>建筑工程单价分析表!D944</f>
        <v>156.64017</v>
      </c>
      <c r="E3881" s="88">
        <f>E3831*配合比!E10+新定额单价!E3867*配合比!E15</f>
        <v>38.892406</v>
      </c>
      <c r="F3881" s="113">
        <f t="shared" ref="F3881:F3883" si="410">E3881*D3881</f>
        <v>6092.11308754902</v>
      </c>
    </row>
    <row r="3882" ht="17.1" customHeight="1" spans="1:13">
      <c r="A3882" s="57"/>
      <c r="B3882" s="57" t="s">
        <v>1142</v>
      </c>
      <c r="C3882" s="57" t="s">
        <v>1188</v>
      </c>
      <c r="D3882" s="84">
        <f>建筑工程单价分析表!D945</f>
        <v>44.826214</v>
      </c>
      <c r="E3882" s="88">
        <f>E3831*配合比!G10+新定额单价!E3867*配合比!G15</f>
        <v>71.47844</v>
      </c>
      <c r="F3882" s="113">
        <f t="shared" si="410"/>
        <v>3204.10784782616</v>
      </c>
      <c r="H3882" s="357" t="s">
        <v>1530</v>
      </c>
      <c r="I3882" s="357"/>
      <c r="J3882" s="357"/>
      <c r="K3882" s="357"/>
      <c r="L3882" s="357"/>
      <c r="M3882" s="357"/>
    </row>
    <row r="3883" ht="17.1" customHeight="1" spans="1:13">
      <c r="A3883" s="57"/>
      <c r="B3883" s="57" t="s">
        <v>1110</v>
      </c>
      <c r="C3883" s="57" t="s">
        <v>1188</v>
      </c>
      <c r="D3883" s="84">
        <f>建筑工程单价分析表!D946</f>
        <v>20.60443</v>
      </c>
      <c r="E3883" s="88">
        <f>102*配合比!I10</f>
        <v>85.825656</v>
      </c>
      <c r="F3883" s="113">
        <f t="shared" si="410"/>
        <v>1768.38872125608</v>
      </c>
      <c r="H3883" s="358" t="s">
        <v>1531</v>
      </c>
      <c r="I3883" s="358"/>
      <c r="J3883" s="358"/>
      <c r="K3883" s="358"/>
      <c r="L3883" s="358"/>
      <c r="M3883" s="358"/>
    </row>
    <row r="3884" ht="17.1" customHeight="1" spans="1:13">
      <c r="A3884" s="57">
        <v>2</v>
      </c>
      <c r="B3884" s="57" t="s">
        <v>1289</v>
      </c>
      <c r="C3884" s="57"/>
      <c r="D3884" s="84"/>
      <c r="E3884" s="88"/>
      <c r="F3884" s="113">
        <f>SUM(F3885:F3886)</f>
        <v>716.90832</v>
      </c>
      <c r="H3884" s="359" t="s">
        <v>1532</v>
      </c>
      <c r="I3884" s="361"/>
      <c r="J3884" s="362"/>
      <c r="K3884" s="363"/>
      <c r="L3884" s="362" t="s">
        <v>1533</v>
      </c>
      <c r="M3884" s="363"/>
    </row>
    <row r="3885" ht="17.1" customHeight="1" spans="1:13">
      <c r="A3885" s="57"/>
      <c r="B3885" s="57" t="s">
        <v>1174</v>
      </c>
      <c r="C3885" s="57" t="s">
        <v>184</v>
      </c>
      <c r="D3885" s="84">
        <f>D3731</f>
        <v>4.86</v>
      </c>
      <c r="E3885" s="88">
        <f>E3699</f>
        <v>134.232</v>
      </c>
      <c r="F3885" s="113">
        <f>D3885*E3885</f>
        <v>652.36752</v>
      </c>
      <c r="H3885" s="359" t="s">
        <v>1243</v>
      </c>
      <c r="I3885" s="364"/>
      <c r="J3885" s="364"/>
      <c r="K3885" s="364"/>
      <c r="L3885" s="364"/>
      <c r="M3885" s="361"/>
    </row>
    <row r="3886" ht="17.1" customHeight="1" spans="1:13">
      <c r="A3886" s="57"/>
      <c r="B3886" s="57" t="s">
        <v>1118</v>
      </c>
      <c r="C3886" s="57" t="s">
        <v>184</v>
      </c>
      <c r="D3886" s="84">
        <f>材料预算价!K13-材料预算价!L13</f>
        <v>6.225</v>
      </c>
      <c r="E3886" s="88">
        <f>E3838*台时!H34</f>
        <v>10.368</v>
      </c>
      <c r="F3886" s="113">
        <f>D3886*E3886</f>
        <v>64.5408</v>
      </c>
      <c r="H3886" s="360" t="s">
        <v>50</v>
      </c>
      <c r="I3886" s="360" t="s">
        <v>953</v>
      </c>
      <c r="J3886" s="360" t="s">
        <v>52</v>
      </c>
      <c r="K3886" s="360" t="s">
        <v>53</v>
      </c>
      <c r="L3886" s="360" t="s">
        <v>355</v>
      </c>
      <c r="M3886" s="360" t="s">
        <v>356</v>
      </c>
    </row>
    <row r="3887" ht="17.1" customHeight="1" spans="1:13">
      <c r="A3887" s="57" t="s">
        <v>327</v>
      </c>
      <c r="B3887" s="57" t="s">
        <v>976</v>
      </c>
      <c r="C3887" s="102">
        <f>取费表!G7</f>
        <v>0.09</v>
      </c>
      <c r="D3887" s="84"/>
      <c r="E3887" s="84">
        <f>F3878+F3877+F3876+F3860</f>
        <v>55930.3589749676</v>
      </c>
      <c r="F3887" s="84">
        <f>E3887*C3887</f>
        <v>5033.73230774709</v>
      </c>
      <c r="H3887" s="360" t="s">
        <v>57</v>
      </c>
      <c r="I3887" s="360" t="s">
        <v>957</v>
      </c>
      <c r="J3887" s="365" t="s">
        <v>958</v>
      </c>
      <c r="K3887" s="365"/>
      <c r="L3887" s="365"/>
      <c r="M3887" s="365">
        <f>M3888+M3894</f>
        <v>87.84825</v>
      </c>
    </row>
    <row r="3888" ht="17.1" customHeight="1" spans="1:13">
      <c r="A3888" s="57"/>
      <c r="B3888" s="57" t="s">
        <v>984</v>
      </c>
      <c r="C3888" s="102"/>
      <c r="D3888" s="84"/>
      <c r="E3888" s="84"/>
      <c r="F3888" s="84">
        <f>(F3860+F3876+F3877+F3878+F3887)*取费表!H4</f>
        <v>1828.92273848144</v>
      </c>
      <c r="H3888" s="360" t="s">
        <v>1534</v>
      </c>
      <c r="I3888" s="360" t="s">
        <v>962</v>
      </c>
      <c r="J3888" s="365"/>
      <c r="K3888" s="365"/>
      <c r="L3888" s="365"/>
      <c r="M3888" s="365">
        <f>M3889+M3891</f>
        <v>86.55</v>
      </c>
    </row>
    <row r="3889" ht="17.1" customHeight="1" spans="1:13">
      <c r="A3889" s="57"/>
      <c r="B3889" s="57" t="s">
        <v>278</v>
      </c>
      <c r="C3889" s="57"/>
      <c r="D3889" s="84"/>
      <c r="E3889" s="84"/>
      <c r="F3889" s="84">
        <f>F3887+E3887+F3888</f>
        <v>62793.0140211961</v>
      </c>
      <c r="H3889" s="360">
        <v>1</v>
      </c>
      <c r="I3889" s="360" t="s">
        <v>963</v>
      </c>
      <c r="J3889" s="366"/>
      <c r="K3889" s="366"/>
      <c r="L3889" s="366"/>
      <c r="M3889" s="365">
        <f>M3890</f>
        <v>86.55</v>
      </c>
    </row>
    <row r="3890" ht="17.1" customHeight="1" spans="1:13">
      <c r="A3890" s="57"/>
      <c r="B3890" s="57"/>
      <c r="C3890" s="57"/>
      <c r="D3890" s="84"/>
      <c r="E3890" s="84"/>
      <c r="F3890" s="84"/>
      <c r="H3890" s="360"/>
      <c r="I3890" s="360" t="s">
        <v>964</v>
      </c>
      <c r="J3890" s="360" t="s">
        <v>965</v>
      </c>
      <c r="K3890" s="365">
        <v>15</v>
      </c>
      <c r="L3890" s="365">
        <v>5.77</v>
      </c>
      <c r="M3890" s="365">
        <f>K3890*L3890</f>
        <v>86.55</v>
      </c>
    </row>
    <row r="3891" ht="17.1" customHeight="1" spans="1:13">
      <c r="A3891" s="57"/>
      <c r="B3891" s="57"/>
      <c r="C3891" s="57"/>
      <c r="D3891" s="84"/>
      <c r="E3891" s="84"/>
      <c r="F3891" s="84"/>
      <c r="H3891" s="360">
        <v>2</v>
      </c>
      <c r="I3891" s="360" t="s">
        <v>967</v>
      </c>
      <c r="J3891" s="366"/>
      <c r="K3891" s="366"/>
      <c r="L3891" s="366"/>
      <c r="M3891" s="365">
        <f>M3892+M3893</f>
        <v>0</v>
      </c>
    </row>
    <row r="3892" ht="17.1" customHeight="1" spans="1:13">
      <c r="A3892" s="57"/>
      <c r="B3892" s="57"/>
      <c r="C3892" s="57"/>
      <c r="D3892" s="84"/>
      <c r="E3892" s="84"/>
      <c r="F3892" s="84"/>
      <c r="H3892" s="360"/>
      <c r="I3892" s="360" t="s">
        <v>1535</v>
      </c>
      <c r="J3892" s="360" t="s">
        <v>184</v>
      </c>
      <c r="K3892" s="365">
        <f>18</f>
        <v>18</v>
      </c>
      <c r="L3892" s="365"/>
      <c r="M3892" s="365">
        <f>K3892*L3892</f>
        <v>0</v>
      </c>
    </row>
    <row r="3893" ht="17.1" customHeight="1" spans="1:13">
      <c r="A3893" s="57"/>
      <c r="B3893" s="57"/>
      <c r="C3893" s="57"/>
      <c r="D3893" s="84"/>
      <c r="E3893" s="84"/>
      <c r="F3893" s="84"/>
      <c r="H3893" s="360"/>
      <c r="I3893" s="360" t="s">
        <v>1163</v>
      </c>
      <c r="J3893" s="360" t="s">
        <v>423</v>
      </c>
      <c r="K3893" s="365">
        <v>3</v>
      </c>
      <c r="L3893" s="365">
        <f>M3892</f>
        <v>0</v>
      </c>
      <c r="M3893" s="365">
        <f>K3893*L3893/100</f>
        <v>0</v>
      </c>
    </row>
    <row r="3894" ht="17.1" customHeight="1" spans="1:13">
      <c r="A3894" s="57"/>
      <c r="B3894" s="57"/>
      <c r="C3894" s="57"/>
      <c r="D3894" s="84"/>
      <c r="E3894" s="84"/>
      <c r="F3894" s="84"/>
      <c r="H3894" s="360" t="s">
        <v>1536</v>
      </c>
      <c r="I3894" s="360" t="s">
        <v>971</v>
      </c>
      <c r="J3894" s="365" t="s">
        <v>423</v>
      </c>
      <c r="K3894" s="365">
        <v>1.5</v>
      </c>
      <c r="L3894" s="365">
        <f>M3888</f>
        <v>86.55</v>
      </c>
      <c r="M3894" s="365">
        <f t="shared" ref="M3894:M3897" si="411">L3894*K3894/100</f>
        <v>1.29825</v>
      </c>
    </row>
    <row r="3895" customHeight="1" spans="1:13">
      <c r="A3895" s="176" t="s">
        <v>1204</v>
      </c>
      <c r="B3895" s="175"/>
      <c r="C3895" s="175"/>
      <c r="D3895" s="175"/>
      <c r="E3895" s="175"/>
      <c r="F3895" s="175"/>
      <c r="H3895" s="360" t="s">
        <v>72</v>
      </c>
      <c r="I3895" s="360" t="s">
        <v>973</v>
      </c>
      <c r="J3895" s="365" t="s">
        <v>423</v>
      </c>
      <c r="K3895" s="365">
        <v>4.8</v>
      </c>
      <c r="L3895" s="365">
        <f>M3887</f>
        <v>87.84825</v>
      </c>
      <c r="M3895" s="365">
        <f t="shared" si="411"/>
        <v>4.216716</v>
      </c>
    </row>
    <row r="3896" customHeight="1" spans="1:13">
      <c r="A3896" s="323" t="s">
        <v>1537</v>
      </c>
      <c r="B3896" s="168"/>
      <c r="C3896" s="168"/>
      <c r="D3896" s="168"/>
      <c r="E3896" s="168"/>
      <c r="F3896" s="168"/>
      <c r="H3896" s="360" t="s">
        <v>162</v>
      </c>
      <c r="I3896" s="360" t="s">
        <v>975</v>
      </c>
      <c r="J3896" s="365" t="s">
        <v>423</v>
      </c>
      <c r="K3896" s="365">
        <v>2</v>
      </c>
      <c r="L3896" s="365">
        <f>M3887+M3895</f>
        <v>92.064966</v>
      </c>
      <c r="M3896" s="365">
        <f t="shared" si="411"/>
        <v>1.84129932</v>
      </c>
    </row>
    <row r="3897" customHeight="1" spans="1:13">
      <c r="A3897" s="191" t="s">
        <v>1538</v>
      </c>
      <c r="B3897" s="191"/>
      <c r="C3897" s="168"/>
      <c r="D3897" s="168"/>
      <c r="E3897" s="191" t="s">
        <v>1398</v>
      </c>
      <c r="F3897" s="191"/>
      <c r="H3897" s="360" t="s">
        <v>214</v>
      </c>
      <c r="I3897" s="360" t="s">
        <v>976</v>
      </c>
      <c r="J3897" s="365" t="s">
        <v>423</v>
      </c>
      <c r="K3897" s="365">
        <v>9</v>
      </c>
      <c r="L3897" s="365">
        <f>M3887+M3895+M3896</f>
        <v>93.90626532</v>
      </c>
      <c r="M3897" s="365">
        <f t="shared" si="411"/>
        <v>8.4515638788</v>
      </c>
    </row>
    <row r="3898" customHeight="1" spans="1:13">
      <c r="A3898" s="117" t="s">
        <v>1184</v>
      </c>
      <c r="B3898" s="192"/>
      <c r="C3898" s="192"/>
      <c r="D3898" s="192"/>
      <c r="E3898" s="192"/>
      <c r="F3898" s="118"/>
      <c r="H3898" s="360" t="s">
        <v>327</v>
      </c>
      <c r="I3898" s="360" t="s">
        <v>278</v>
      </c>
      <c r="J3898" s="360"/>
      <c r="K3898" s="365"/>
      <c r="L3898" s="365"/>
      <c r="M3898" s="365">
        <f>M3887+M3895+M3896+M3897</f>
        <v>102.3578291988</v>
      </c>
    </row>
    <row r="3899" customHeight="1" spans="1:6">
      <c r="A3899" s="57" t="s">
        <v>354</v>
      </c>
      <c r="B3899" s="57" t="s">
        <v>956</v>
      </c>
      <c r="C3899" s="57" t="s">
        <v>52</v>
      </c>
      <c r="D3899" s="57" t="s">
        <v>855</v>
      </c>
      <c r="E3899" s="57" t="s">
        <v>53</v>
      </c>
      <c r="F3899" s="57" t="s">
        <v>306</v>
      </c>
    </row>
    <row r="3900" customHeight="1" spans="1:6">
      <c r="A3900" s="57" t="s">
        <v>959</v>
      </c>
      <c r="B3900" s="57" t="s">
        <v>960</v>
      </c>
      <c r="C3900" s="57"/>
      <c r="D3900" s="57"/>
      <c r="E3900" s="57"/>
      <c r="F3900" s="84">
        <f>F3901+F3911+F3912</f>
        <v>1161.01460401848</v>
      </c>
    </row>
    <row r="3901" customHeight="1" spans="1:6">
      <c r="A3901" s="57" t="s">
        <v>59</v>
      </c>
      <c r="B3901" s="57" t="s">
        <v>957</v>
      </c>
      <c r="C3901" s="57"/>
      <c r="D3901" s="57"/>
      <c r="E3901" s="57"/>
      <c r="F3901" s="84">
        <f>F3902+F3905+F3908</f>
        <v>1107.83836261305</v>
      </c>
    </row>
    <row r="3902" customHeight="1" spans="1:6">
      <c r="A3902" s="57">
        <v>1</v>
      </c>
      <c r="B3902" s="57" t="s">
        <v>964</v>
      </c>
      <c r="C3902" s="57" t="s">
        <v>965</v>
      </c>
      <c r="D3902" s="113"/>
      <c r="E3902" s="92">
        <f>SUM(E3903:E3904)</f>
        <v>98.8</v>
      </c>
      <c r="F3902" s="113">
        <f>SUM(F3903:F3904)</f>
        <v>639.277</v>
      </c>
    </row>
    <row r="3903" customHeight="1" spans="1:6">
      <c r="A3903" s="57"/>
      <c r="B3903" s="57" t="s">
        <v>966</v>
      </c>
      <c r="C3903" s="57" t="s">
        <v>965</v>
      </c>
      <c r="D3903" s="113">
        <f>建筑工程单价分析表!D924</f>
        <v>8.1</v>
      </c>
      <c r="E3903" s="92">
        <f>19.8+9.9</f>
        <v>29.7</v>
      </c>
      <c r="F3903" s="113">
        <f t="shared" ref="F3903:F3906" si="412">D3903*E3903</f>
        <v>240.57</v>
      </c>
    </row>
    <row r="3904" customHeight="1" spans="1:6">
      <c r="A3904" s="57"/>
      <c r="B3904" s="57" t="s">
        <v>968</v>
      </c>
      <c r="C3904" s="57" t="s">
        <v>965</v>
      </c>
      <c r="D3904" s="113">
        <f>建筑工程单价分析表!D925</f>
        <v>5.77</v>
      </c>
      <c r="E3904" s="92">
        <f>46.1+23</f>
        <v>69.1</v>
      </c>
      <c r="F3904" s="113">
        <f t="shared" si="412"/>
        <v>398.707</v>
      </c>
    </row>
    <row r="3905" customHeight="1" spans="1:6">
      <c r="A3905" s="57">
        <v>2</v>
      </c>
      <c r="B3905" s="57" t="s">
        <v>1219</v>
      </c>
      <c r="C3905" s="57"/>
      <c r="D3905" s="57"/>
      <c r="E3905" s="57"/>
      <c r="F3905" s="113">
        <f>SUM(F3906:F3907)</f>
        <v>448.80486156</v>
      </c>
    </row>
    <row r="3906" customHeight="1" spans="1:6">
      <c r="A3906" s="57"/>
      <c r="B3906" s="57" t="s">
        <v>1151</v>
      </c>
      <c r="C3906" s="59" t="s">
        <v>1226</v>
      </c>
      <c r="D3906" s="113">
        <f>配合比!M13</f>
        <v>125.92729</v>
      </c>
      <c r="E3906" s="57">
        <f>2.25+1.05</f>
        <v>3.3</v>
      </c>
      <c r="F3906" s="113">
        <f t="shared" si="412"/>
        <v>415.560057</v>
      </c>
    </row>
    <row r="3907" customHeight="1" spans="1:6">
      <c r="A3907" s="57"/>
      <c r="B3907" s="57" t="s">
        <v>1248</v>
      </c>
      <c r="C3907" s="59" t="s">
        <v>423</v>
      </c>
      <c r="D3907" s="113">
        <f>SUM(F3906:F3906)</f>
        <v>415.560057</v>
      </c>
      <c r="E3907" s="57">
        <v>8</v>
      </c>
      <c r="F3907" s="113">
        <f>D3907*E3907/100</f>
        <v>33.24480456</v>
      </c>
    </row>
    <row r="3908" customHeight="1" spans="1:6">
      <c r="A3908" s="57">
        <v>3</v>
      </c>
      <c r="B3908" s="57" t="s">
        <v>1171</v>
      </c>
      <c r="C3908" s="57"/>
      <c r="D3908" s="57"/>
      <c r="E3908" s="57"/>
      <c r="F3908" s="113">
        <f>SUM(F3909:F3910)</f>
        <v>19.7565010530515</v>
      </c>
    </row>
    <row r="3909" customHeight="1" spans="1:6">
      <c r="A3909" s="57"/>
      <c r="B3909" s="57" t="s">
        <v>1190</v>
      </c>
      <c r="C3909" s="57" t="s">
        <v>988</v>
      </c>
      <c r="D3909" s="84">
        <f>D3871</f>
        <v>0.813242919824491</v>
      </c>
      <c r="E3909" s="57">
        <f>5.1+2.55</f>
        <v>7.65</v>
      </c>
      <c r="F3909" s="113">
        <f>D3909*E3909</f>
        <v>6.22130833665736</v>
      </c>
    </row>
    <row r="3910" customHeight="1" spans="1:6">
      <c r="A3910" s="57"/>
      <c r="B3910" s="57" t="s">
        <v>1539</v>
      </c>
      <c r="C3910" s="57" t="s">
        <v>988</v>
      </c>
      <c r="D3910" s="113">
        <f>台时!D42</f>
        <v>23.7459521340247</v>
      </c>
      <c r="E3910" s="57">
        <f>0.38+0.19</f>
        <v>0.57</v>
      </c>
      <c r="F3910" s="113">
        <f>D3910*E3910</f>
        <v>13.5351927163941</v>
      </c>
    </row>
    <row r="3911" customHeight="1" spans="1:6">
      <c r="A3911" s="57" t="s">
        <v>70</v>
      </c>
      <c r="B3911" s="57" t="s">
        <v>977</v>
      </c>
      <c r="C3911" s="194">
        <f t="shared" ref="C3911:C3914" si="413">C3874</f>
        <v>0.048</v>
      </c>
      <c r="D3911" s="113"/>
      <c r="E3911" s="84">
        <f>F3901</f>
        <v>1107.83836261305</v>
      </c>
      <c r="F3911" s="113">
        <f t="shared" ref="F3911:F3914" si="414">E3911*C3911</f>
        <v>53.1762414054265</v>
      </c>
    </row>
    <row r="3912" customHeight="1" spans="1:6">
      <c r="A3912" s="57"/>
      <c r="B3912" s="57"/>
      <c r="C3912" s="194"/>
      <c r="D3912" s="113"/>
      <c r="E3912" s="84"/>
      <c r="F3912" s="113"/>
    </row>
    <row r="3913" customHeight="1" spans="1:6">
      <c r="A3913" s="57" t="s">
        <v>979</v>
      </c>
      <c r="B3913" s="57" t="s">
        <v>973</v>
      </c>
      <c r="C3913" s="194">
        <f t="shared" si="413"/>
        <v>0.085</v>
      </c>
      <c r="D3913" s="113"/>
      <c r="E3913" s="84">
        <f>F3900</f>
        <v>1161.01460401848</v>
      </c>
      <c r="F3913" s="113">
        <f t="shared" si="414"/>
        <v>98.6862413415706</v>
      </c>
    </row>
    <row r="3914" customHeight="1" spans="1:6">
      <c r="A3914" s="57" t="s">
        <v>162</v>
      </c>
      <c r="B3914" s="57" t="s">
        <v>980</v>
      </c>
      <c r="C3914" s="194">
        <f t="shared" si="413"/>
        <v>0.07</v>
      </c>
      <c r="D3914" s="113"/>
      <c r="E3914" s="84">
        <f>F3913+F3900</f>
        <v>1259.70084536005</v>
      </c>
      <c r="F3914" s="113">
        <f t="shared" si="414"/>
        <v>88.1790591752034</v>
      </c>
    </row>
    <row r="3915" customHeight="1" spans="1:6">
      <c r="A3915" s="57" t="s">
        <v>214</v>
      </c>
      <c r="B3915" s="57" t="s">
        <v>1173</v>
      </c>
      <c r="C3915" s="57"/>
      <c r="D3915" s="57"/>
      <c r="E3915" s="57"/>
      <c r="F3915" s="113">
        <f>SUM(F3916:F3917)</f>
        <v>260.95590532506</v>
      </c>
    </row>
    <row r="3916" customHeight="1" spans="1:6">
      <c r="A3916" s="57"/>
      <c r="B3916" s="57" t="s">
        <v>1141</v>
      </c>
      <c r="C3916" s="57" t="s">
        <v>1188</v>
      </c>
      <c r="D3916" s="84">
        <f>D3881</f>
        <v>156.64017</v>
      </c>
      <c r="E3916" s="88">
        <f>E3906*配合比!E13</f>
        <v>0.598818</v>
      </c>
      <c r="F3916" s="113">
        <f>E3916*D3916</f>
        <v>93.79895331906</v>
      </c>
    </row>
    <row r="3917" customHeight="1" spans="1:6">
      <c r="A3917" s="57"/>
      <c r="B3917" s="57" t="s">
        <v>1142</v>
      </c>
      <c r="C3917" s="57" t="s">
        <v>1188</v>
      </c>
      <c r="D3917" s="84">
        <f>D3882</f>
        <v>44.826214</v>
      </c>
      <c r="E3917" s="88">
        <f>E3906*配合比!G13</f>
        <v>3.729</v>
      </c>
      <c r="F3917" s="113">
        <f>E3917*D3917</f>
        <v>167.156952006</v>
      </c>
    </row>
    <row r="3918" customHeight="1" spans="1:6">
      <c r="A3918" s="57"/>
      <c r="B3918" s="57" t="s">
        <v>1110</v>
      </c>
      <c r="C3918" s="57" t="s">
        <v>1188</v>
      </c>
      <c r="D3918" s="57"/>
      <c r="E3918" s="57"/>
      <c r="F3918" s="113"/>
    </row>
    <row r="3919" customHeight="1" spans="1:6">
      <c r="A3919" s="57" t="s">
        <v>327</v>
      </c>
      <c r="B3919" s="57" t="s">
        <v>976</v>
      </c>
      <c r="C3919" s="195">
        <f>C3887</f>
        <v>0.09</v>
      </c>
      <c r="D3919" s="57"/>
      <c r="E3919" s="84">
        <f>F3915+F3914+F3913+F3900</f>
        <v>1608.83580986031</v>
      </c>
      <c r="F3919" s="113">
        <f>E3919*C3919</f>
        <v>144.795222887428</v>
      </c>
    </row>
    <row r="3920" customHeight="1" spans="1:6">
      <c r="A3920" s="57"/>
      <c r="B3920" s="57" t="s">
        <v>984</v>
      </c>
      <c r="C3920" s="195"/>
      <c r="D3920" s="57"/>
      <c r="E3920" s="84"/>
      <c r="F3920" s="113">
        <f>(F3900+F3913+F3914+F3915+F3919)*取费表!H12</f>
        <v>52.6089309824322</v>
      </c>
    </row>
    <row r="3921" customHeight="1" spans="1:6">
      <c r="A3921" s="57"/>
      <c r="B3921" s="57" t="s">
        <v>278</v>
      </c>
      <c r="C3921" s="57"/>
      <c r="D3921" s="57"/>
      <c r="E3921" s="57"/>
      <c r="F3921" s="113">
        <f>F3919+E3919+F3920</f>
        <v>1806.23996373017</v>
      </c>
    </row>
    <row r="3922" customHeight="1" spans="1:6">
      <c r="A3922" s="121"/>
      <c r="B3922" s="261"/>
      <c r="C3922" s="121"/>
      <c r="D3922" s="121"/>
      <c r="E3922" s="121"/>
      <c r="F3922" s="121"/>
    </row>
    <row r="3923" customHeight="1" spans="1:6">
      <c r="A3923" s="121"/>
      <c r="B3923" s="261"/>
      <c r="C3923" s="121"/>
      <c r="D3923" s="121"/>
      <c r="E3923" s="121"/>
      <c r="F3923" s="121"/>
    </row>
    <row r="3924" customHeight="1" spans="1:6">
      <c r="A3924" s="121"/>
      <c r="B3924" s="261"/>
      <c r="C3924" s="121"/>
      <c r="D3924" s="121"/>
      <c r="E3924" s="121"/>
      <c r="F3924" s="121"/>
    </row>
    <row r="3925" customHeight="1" spans="1:6">
      <c r="A3925" s="121"/>
      <c r="B3925" s="261"/>
      <c r="C3925" s="121"/>
      <c r="D3925" s="121"/>
      <c r="E3925" s="121"/>
      <c r="F3925" s="121"/>
    </row>
    <row r="3926" customHeight="1" spans="1:6">
      <c r="A3926" s="121"/>
      <c r="B3926" s="261"/>
      <c r="C3926" s="121"/>
      <c r="D3926" s="121"/>
      <c r="E3926" s="121"/>
      <c r="F3926" s="121"/>
    </row>
    <row r="3927" customHeight="1" spans="1:6">
      <c r="A3927" s="121"/>
      <c r="B3927" s="261"/>
      <c r="C3927" s="121"/>
      <c r="D3927" s="121"/>
      <c r="E3927" s="121"/>
      <c r="F3927" s="121"/>
    </row>
    <row r="3928" customHeight="1" spans="1:6">
      <c r="A3928" s="121"/>
      <c r="B3928" s="261"/>
      <c r="C3928" s="121"/>
      <c r="D3928" s="121"/>
      <c r="E3928" s="121"/>
      <c r="F3928" s="121"/>
    </row>
    <row r="3929" customHeight="1" spans="1:6">
      <c r="A3929" s="121"/>
      <c r="B3929" s="261"/>
      <c r="C3929" s="121"/>
      <c r="D3929" s="121"/>
      <c r="E3929" s="121"/>
      <c r="F3929" s="121"/>
    </row>
    <row r="3930" customHeight="1" spans="1:6">
      <c r="A3930" s="121"/>
      <c r="B3930" s="261"/>
      <c r="C3930" s="121"/>
      <c r="D3930" s="121"/>
      <c r="E3930" s="121"/>
      <c r="F3930" s="121"/>
    </row>
    <row r="3931" customHeight="1" spans="1:6">
      <c r="A3931" s="121"/>
      <c r="B3931" s="261"/>
      <c r="C3931" s="121"/>
      <c r="D3931" s="121"/>
      <c r="E3931" s="121"/>
      <c r="F3931" s="121"/>
    </row>
    <row r="3932" customHeight="1" spans="1:6">
      <c r="A3932" s="121"/>
      <c r="B3932" s="261"/>
      <c r="C3932" s="121"/>
      <c r="D3932" s="121"/>
      <c r="E3932" s="121"/>
      <c r="F3932" s="121"/>
    </row>
    <row r="3933" customHeight="1" spans="1:6">
      <c r="A3933" s="166" t="s">
        <v>1540</v>
      </c>
      <c r="B3933" s="205"/>
      <c r="C3933" s="205"/>
      <c r="D3933" s="205"/>
      <c r="E3933" s="205"/>
      <c r="F3933" s="205"/>
    </row>
    <row r="3934" customHeight="1" spans="1:6">
      <c r="A3934" s="205" t="s">
        <v>1541</v>
      </c>
      <c r="B3934" s="205"/>
      <c r="C3934" s="205"/>
      <c r="D3934" s="205"/>
      <c r="E3934" s="205"/>
      <c r="F3934" s="205"/>
    </row>
    <row r="3935" customHeight="1" spans="1:6">
      <c r="A3935" s="190" t="s">
        <v>1542</v>
      </c>
      <c r="B3935" s="190"/>
      <c r="C3935" s="168"/>
      <c r="D3935" s="168"/>
      <c r="E3935" s="191" t="s">
        <v>1242</v>
      </c>
      <c r="F3935" s="191"/>
    </row>
    <row r="3936" customHeight="1" spans="1:6">
      <c r="A3936" s="117" t="s">
        <v>1184</v>
      </c>
      <c r="B3936" s="192"/>
      <c r="C3936" s="192"/>
      <c r="D3936" s="192"/>
      <c r="E3936" s="192"/>
      <c r="F3936" s="118"/>
    </row>
    <row r="3937" customHeight="1" spans="1:6">
      <c r="A3937" s="57" t="s">
        <v>354</v>
      </c>
      <c r="B3937" s="57" t="s">
        <v>956</v>
      </c>
      <c r="C3937" s="57" t="s">
        <v>52</v>
      </c>
      <c r="D3937" s="57" t="s">
        <v>855</v>
      </c>
      <c r="E3937" s="57" t="s">
        <v>53</v>
      </c>
      <c r="F3937" s="57" t="s">
        <v>306</v>
      </c>
    </row>
    <row r="3938" customHeight="1" spans="1:6">
      <c r="A3938" s="57" t="s">
        <v>1367</v>
      </c>
      <c r="B3938" s="57" t="s">
        <v>960</v>
      </c>
      <c r="C3938" s="57"/>
      <c r="D3938" s="57"/>
      <c r="E3938" s="57"/>
      <c r="F3938" s="84">
        <f>F3939+F3949+F3950</f>
        <v>14357.3599372169</v>
      </c>
    </row>
    <row r="3939" customHeight="1" spans="1:6">
      <c r="A3939" s="57" t="s">
        <v>59</v>
      </c>
      <c r="B3939" s="57" t="s">
        <v>957</v>
      </c>
      <c r="C3939" s="57"/>
      <c r="D3939" s="57"/>
      <c r="E3939" s="57"/>
      <c r="F3939" s="84">
        <f>F3940+F3943+F3947</f>
        <v>13699.7709324589</v>
      </c>
    </row>
    <row r="3940" customHeight="1" spans="1:6">
      <c r="A3940" s="57">
        <v>1</v>
      </c>
      <c r="B3940" s="57" t="s">
        <v>964</v>
      </c>
      <c r="C3940" s="57" t="s">
        <v>965</v>
      </c>
      <c r="D3940" s="113"/>
      <c r="E3940" s="92">
        <f>SUM(E3941:E3942)</f>
        <v>685.2</v>
      </c>
      <c r="F3940" s="113">
        <f>SUM(F3941:F3942)</f>
        <v>3985.525</v>
      </c>
    </row>
    <row r="3941" customHeight="1" spans="1:6">
      <c r="A3941" s="57"/>
      <c r="B3941" s="57" t="s">
        <v>966</v>
      </c>
      <c r="C3941" s="57" t="s">
        <v>965</v>
      </c>
      <c r="D3941" s="113">
        <f>D3903</f>
        <v>8.1</v>
      </c>
      <c r="E3941" s="92">
        <v>13.7</v>
      </c>
      <c r="F3941" s="113">
        <f t="shared" ref="F3941:F3945" si="415">D3941*E3941</f>
        <v>110.97</v>
      </c>
    </row>
    <row r="3942" customHeight="1" spans="1:6">
      <c r="A3942" s="57"/>
      <c r="B3942" s="57" t="s">
        <v>968</v>
      </c>
      <c r="C3942" s="57" t="s">
        <v>965</v>
      </c>
      <c r="D3942" s="113">
        <f>D3904</f>
        <v>5.77</v>
      </c>
      <c r="E3942" s="92">
        <v>671.5</v>
      </c>
      <c r="F3942" s="113">
        <f t="shared" si="415"/>
        <v>3874.555</v>
      </c>
    </row>
    <row r="3943" customHeight="1" spans="1:6">
      <c r="A3943" s="57">
        <v>2</v>
      </c>
      <c r="B3943" s="57" t="s">
        <v>1219</v>
      </c>
      <c r="C3943" s="248"/>
      <c r="D3943" s="57"/>
      <c r="E3943" s="57"/>
      <c r="F3943" s="113">
        <f>SUM(F3944:F3946)</f>
        <v>9315.43315324067</v>
      </c>
    </row>
    <row r="3944" customHeight="1" spans="1:6">
      <c r="A3944" s="57"/>
      <c r="B3944" s="57" t="s">
        <v>1543</v>
      </c>
      <c r="C3944" s="57" t="s">
        <v>69</v>
      </c>
      <c r="D3944" s="113">
        <v>313.59</v>
      </c>
      <c r="E3944" s="57">
        <v>28.7</v>
      </c>
      <c r="F3944" s="113">
        <f t="shared" si="415"/>
        <v>9000.033</v>
      </c>
    </row>
    <row r="3945" customHeight="1" spans="1:6">
      <c r="A3945" s="57"/>
      <c r="B3945" s="57" t="s">
        <v>1544</v>
      </c>
      <c r="C3945" s="57" t="s">
        <v>1188</v>
      </c>
      <c r="D3945" s="113">
        <f>建筑工程单价分析表!F28/100</f>
        <v>1.58029287162314</v>
      </c>
      <c r="E3945" s="57">
        <v>84</v>
      </c>
      <c r="F3945" s="113">
        <f t="shared" si="415"/>
        <v>132.744601216343</v>
      </c>
    </row>
    <row r="3946" customHeight="1" spans="1:6">
      <c r="A3946" s="57"/>
      <c r="B3946" s="57" t="s">
        <v>1248</v>
      </c>
      <c r="C3946" s="57" t="s">
        <v>423</v>
      </c>
      <c r="D3946" s="113">
        <f>SUM(F3944:F3945)</f>
        <v>9132.77760121634</v>
      </c>
      <c r="E3946" s="57">
        <v>2</v>
      </c>
      <c r="F3946" s="113">
        <f>D3946*E3946/100</f>
        <v>182.655552024327</v>
      </c>
    </row>
    <row r="3947" customHeight="1" spans="1:6">
      <c r="A3947" s="57">
        <v>3</v>
      </c>
      <c r="B3947" s="57" t="s">
        <v>1171</v>
      </c>
      <c r="C3947" s="57"/>
      <c r="D3947" s="57"/>
      <c r="E3947" s="57"/>
      <c r="F3947" s="113">
        <f>SUM(F3948:F3948)</f>
        <v>398.812779218189</v>
      </c>
    </row>
    <row r="3948" customHeight="1" spans="1:6">
      <c r="A3948" s="57"/>
      <c r="B3948" s="57" t="s">
        <v>1545</v>
      </c>
      <c r="C3948" s="57" t="s">
        <v>988</v>
      </c>
      <c r="D3948" s="113">
        <f>台时!H21</f>
        <v>18.5494315915437</v>
      </c>
      <c r="E3948" s="57">
        <v>21.5</v>
      </c>
      <c r="F3948" s="113">
        <f>D3948*E3948</f>
        <v>398.812779218189</v>
      </c>
    </row>
    <row r="3949" customHeight="1" spans="1:6">
      <c r="A3949" s="57" t="s">
        <v>70</v>
      </c>
      <c r="B3949" s="57" t="s">
        <v>977</v>
      </c>
      <c r="C3949" s="101">
        <f>取费表!C12</f>
        <v>0.048</v>
      </c>
      <c r="D3949" s="113"/>
      <c r="E3949" s="84">
        <f>F3939</f>
        <v>13699.7709324589</v>
      </c>
      <c r="F3949" s="113">
        <f t="shared" ref="F3949:F3953" si="416">E3949*C3949</f>
        <v>657.589004758025</v>
      </c>
    </row>
    <row r="3950" customHeight="1" spans="1:6">
      <c r="A3950" s="57"/>
      <c r="B3950" s="57"/>
      <c r="C3950" s="102"/>
      <c r="D3950" s="113"/>
      <c r="E3950" s="84"/>
      <c r="F3950" s="113"/>
    </row>
    <row r="3951" customHeight="1" spans="1:6">
      <c r="A3951" s="57" t="s">
        <v>979</v>
      </c>
      <c r="B3951" s="57" t="s">
        <v>973</v>
      </c>
      <c r="C3951" s="102">
        <f>取费表!E12</f>
        <v>0.0725</v>
      </c>
      <c r="D3951" s="113"/>
      <c r="E3951" s="88">
        <f>F3938</f>
        <v>14357.3599372169</v>
      </c>
      <c r="F3951" s="113">
        <f t="shared" si="416"/>
        <v>1040.90859544822</v>
      </c>
    </row>
    <row r="3952" customHeight="1" spans="1:6">
      <c r="A3952" s="57" t="s">
        <v>162</v>
      </c>
      <c r="B3952" s="57" t="s">
        <v>980</v>
      </c>
      <c r="C3952" s="352">
        <f>取费表!F12</f>
        <v>0.05</v>
      </c>
      <c r="D3952" s="113"/>
      <c r="E3952" s="88">
        <f>F3951+F3938</f>
        <v>15398.2685326651</v>
      </c>
      <c r="F3952" s="113">
        <f t="shared" si="416"/>
        <v>769.913426633255</v>
      </c>
    </row>
    <row r="3953" customHeight="1" spans="1:6">
      <c r="A3953" s="57" t="s">
        <v>214</v>
      </c>
      <c r="B3953" s="57" t="s">
        <v>976</v>
      </c>
      <c r="C3953" s="102">
        <f>C3919</f>
        <v>0.09</v>
      </c>
      <c r="D3953" s="57"/>
      <c r="E3953" s="84">
        <f>F3952+F3951+F3938</f>
        <v>16168.1819592984</v>
      </c>
      <c r="F3953" s="113">
        <f t="shared" si="416"/>
        <v>1455.13637633685</v>
      </c>
    </row>
    <row r="3954" customHeight="1" spans="1:6">
      <c r="A3954" s="57"/>
      <c r="B3954" s="57" t="s">
        <v>984</v>
      </c>
      <c r="C3954" s="102"/>
      <c r="D3954" s="57"/>
      <c r="E3954" s="84"/>
      <c r="F3954" s="113">
        <f>(F3938+F3951+F3952+F3953)*取费表!H4</f>
        <v>528.699550069057</v>
      </c>
    </row>
    <row r="3955" customHeight="1" spans="1:6">
      <c r="A3955" s="57"/>
      <c r="B3955" s="57" t="s">
        <v>278</v>
      </c>
      <c r="C3955" s="57"/>
      <c r="D3955" s="57"/>
      <c r="E3955" s="57"/>
      <c r="F3955" s="113">
        <f>F3953+E3953+F3954</f>
        <v>18152.0178857043</v>
      </c>
    </row>
    <row r="3956" customHeight="1" spans="1:6">
      <c r="A3956" s="57"/>
      <c r="B3956" s="57"/>
      <c r="C3956" s="57"/>
      <c r="D3956" s="57"/>
      <c r="E3956" s="57"/>
      <c r="F3956" s="113"/>
    </row>
    <row r="3957" customHeight="1" spans="1:6">
      <c r="A3957" s="57"/>
      <c r="B3957" s="57"/>
      <c r="C3957" s="57"/>
      <c r="D3957" s="57"/>
      <c r="E3957" s="57"/>
      <c r="F3957" s="113"/>
    </row>
    <row r="3958" customHeight="1" spans="1:6">
      <c r="A3958" s="57"/>
      <c r="B3958" s="57"/>
      <c r="C3958" s="57"/>
      <c r="D3958" s="57"/>
      <c r="E3958" s="57"/>
      <c r="F3958" s="113"/>
    </row>
    <row r="3959" customHeight="1" spans="1:6">
      <c r="A3959" s="57"/>
      <c r="B3959" s="57"/>
      <c r="C3959" s="57"/>
      <c r="D3959" s="57"/>
      <c r="E3959" s="57"/>
      <c r="F3959" s="113"/>
    </row>
    <row r="3960" customHeight="1" spans="1:6">
      <c r="A3960" s="57"/>
      <c r="B3960" s="57"/>
      <c r="C3960" s="57"/>
      <c r="D3960" s="57"/>
      <c r="E3960" s="57"/>
      <c r="F3960" s="113"/>
    </row>
    <row r="3961" customHeight="1" spans="1:6">
      <c r="A3961" s="57"/>
      <c r="B3961" s="57"/>
      <c r="C3961" s="57"/>
      <c r="D3961" s="57"/>
      <c r="E3961" s="57"/>
      <c r="F3961" s="113"/>
    </row>
    <row r="3962" customHeight="1" spans="1:6">
      <c r="A3962" s="57"/>
      <c r="B3962" s="57"/>
      <c r="C3962" s="57"/>
      <c r="D3962" s="57"/>
      <c r="E3962" s="57"/>
      <c r="F3962" s="113"/>
    </row>
    <row r="3963" customHeight="1" spans="1:6">
      <c r="A3963" s="57"/>
      <c r="B3963" s="57"/>
      <c r="C3963" s="57"/>
      <c r="D3963" s="57"/>
      <c r="E3963" s="57"/>
      <c r="F3963" s="113"/>
    </row>
    <row r="3964" customHeight="1" spans="1:6">
      <c r="A3964" s="57"/>
      <c r="B3964" s="57"/>
      <c r="C3964" s="57"/>
      <c r="D3964" s="57"/>
      <c r="E3964" s="57"/>
      <c r="F3964" s="113"/>
    </row>
    <row r="3965" customHeight="1" spans="1:6">
      <c r="A3965" s="57"/>
      <c r="B3965" s="57"/>
      <c r="C3965" s="57"/>
      <c r="D3965" s="57"/>
      <c r="E3965" s="57"/>
      <c r="F3965" s="113"/>
    </row>
    <row r="3966" customHeight="1" spans="1:6">
      <c r="A3966" s="57"/>
      <c r="B3966" s="57"/>
      <c r="C3966" s="57"/>
      <c r="D3966" s="57"/>
      <c r="E3966" s="57"/>
      <c r="F3966" s="113"/>
    </row>
    <row r="3967" customHeight="1" spans="1:6">
      <c r="A3967" s="57"/>
      <c r="B3967" s="57"/>
      <c r="C3967" s="57"/>
      <c r="D3967" s="57"/>
      <c r="E3967" s="57"/>
      <c r="F3967" s="113"/>
    </row>
    <row r="3968" customHeight="1" spans="1:6">
      <c r="A3968" s="57"/>
      <c r="B3968" s="57"/>
      <c r="C3968" s="57"/>
      <c r="D3968" s="57"/>
      <c r="E3968" s="57"/>
      <c r="F3968" s="113"/>
    </row>
    <row r="3969" customHeight="1" spans="1:6">
      <c r="A3969" s="57"/>
      <c r="B3969" s="57"/>
      <c r="C3969" s="57"/>
      <c r="D3969" s="57"/>
      <c r="E3969" s="57"/>
      <c r="F3969" s="113"/>
    </row>
    <row r="3970" customHeight="1" spans="1:6">
      <c r="A3970" s="57"/>
      <c r="B3970" s="57"/>
      <c r="C3970" s="57"/>
      <c r="D3970" s="57"/>
      <c r="E3970" s="57"/>
      <c r="F3970" s="113"/>
    </row>
    <row r="3971" customHeight="1" spans="1:6">
      <c r="A3971" s="166" t="s">
        <v>1540</v>
      </c>
      <c r="B3971" s="205"/>
      <c r="C3971" s="205"/>
      <c r="D3971" s="205"/>
      <c r="E3971" s="205"/>
      <c r="F3971" s="205"/>
    </row>
    <row r="3972" customHeight="1" spans="1:6">
      <c r="A3972" s="205" t="s">
        <v>1546</v>
      </c>
      <c r="B3972" s="205"/>
      <c r="C3972" s="205"/>
      <c r="D3972" s="205"/>
      <c r="E3972" s="205"/>
      <c r="F3972" s="205"/>
    </row>
    <row r="3973" customHeight="1" spans="1:6">
      <c r="A3973" s="190" t="s">
        <v>1547</v>
      </c>
      <c r="B3973" s="190"/>
      <c r="C3973" s="168"/>
      <c r="D3973" s="168"/>
      <c r="E3973" s="191" t="s">
        <v>1242</v>
      </c>
      <c r="F3973" s="191"/>
    </row>
    <row r="3974" customHeight="1" spans="1:6">
      <c r="A3974" s="117" t="s">
        <v>1184</v>
      </c>
      <c r="B3974" s="192"/>
      <c r="C3974" s="192"/>
      <c r="D3974" s="192"/>
      <c r="E3974" s="192"/>
      <c r="F3974" s="118"/>
    </row>
    <row r="3975" customHeight="1" spans="1:6">
      <c r="A3975" s="57" t="s">
        <v>354</v>
      </c>
      <c r="B3975" s="57" t="s">
        <v>956</v>
      </c>
      <c r="C3975" s="57" t="s">
        <v>52</v>
      </c>
      <c r="D3975" s="57" t="s">
        <v>855</v>
      </c>
      <c r="E3975" s="57" t="s">
        <v>53</v>
      </c>
      <c r="F3975" s="57" t="s">
        <v>306</v>
      </c>
    </row>
    <row r="3976" customHeight="1" spans="1:6">
      <c r="A3976" s="57" t="s">
        <v>1367</v>
      </c>
      <c r="B3976" s="57" t="s">
        <v>960</v>
      </c>
      <c r="C3976" s="57"/>
      <c r="D3976" s="57"/>
      <c r="E3976" s="57"/>
      <c r="F3976" s="84">
        <f>F3977+F3987+F3988</f>
        <v>14603.3406840255</v>
      </c>
    </row>
    <row r="3977" customHeight="1" spans="1:6">
      <c r="A3977" s="57" t="s">
        <v>59</v>
      </c>
      <c r="B3977" s="57" t="s">
        <v>957</v>
      </c>
      <c r="C3977" s="57"/>
      <c r="D3977" s="57"/>
      <c r="E3977" s="57"/>
      <c r="F3977" s="84">
        <f>F3978+F3981+F3985</f>
        <v>13934.4853855205</v>
      </c>
    </row>
    <row r="3978" customHeight="1" spans="1:6">
      <c r="A3978" s="57">
        <v>1</v>
      </c>
      <c r="B3978" s="57" t="s">
        <v>964</v>
      </c>
      <c r="C3978" s="57" t="s">
        <v>965</v>
      </c>
      <c r="D3978" s="113"/>
      <c r="E3978" s="92">
        <f>SUM(E3979:E3980)</f>
        <v>685.2</v>
      </c>
      <c r="F3978" s="113">
        <f>SUM(F3979:F3980)</f>
        <v>3985.525</v>
      </c>
    </row>
    <row r="3979" customHeight="1" spans="1:6">
      <c r="A3979" s="57"/>
      <c r="B3979" s="57" t="s">
        <v>966</v>
      </c>
      <c r="C3979" s="57" t="s">
        <v>965</v>
      </c>
      <c r="D3979" s="113">
        <f>D3941</f>
        <v>8.1</v>
      </c>
      <c r="E3979" s="92">
        <v>13.7</v>
      </c>
      <c r="F3979" s="113">
        <f t="shared" ref="F3979:F3983" si="417">D3979*E3979</f>
        <v>110.97</v>
      </c>
    </row>
    <row r="3980" customHeight="1" spans="1:6">
      <c r="A3980" s="57"/>
      <c r="B3980" s="57" t="s">
        <v>968</v>
      </c>
      <c r="C3980" s="57" t="s">
        <v>965</v>
      </c>
      <c r="D3980" s="113">
        <f>D3942</f>
        <v>5.77</v>
      </c>
      <c r="E3980" s="92">
        <v>671.5</v>
      </c>
      <c r="F3980" s="113">
        <f t="shared" si="417"/>
        <v>3874.555</v>
      </c>
    </row>
    <row r="3981" customHeight="1" spans="1:6">
      <c r="A3981" s="57">
        <v>2</v>
      </c>
      <c r="B3981" s="57" t="s">
        <v>1219</v>
      </c>
      <c r="C3981" s="248"/>
      <c r="D3981" s="57"/>
      <c r="E3981" s="57"/>
      <c r="F3981" s="113">
        <f>SUM(F3982:F3984)</f>
        <v>8949.888</v>
      </c>
    </row>
    <row r="3982" customHeight="1" spans="1:6">
      <c r="A3982" s="57"/>
      <c r="B3982" s="57" t="s">
        <v>1141</v>
      </c>
      <c r="C3982" s="57" t="s">
        <v>69</v>
      </c>
      <c r="D3982" s="113">
        <f>材料预算价!L5</f>
        <v>255</v>
      </c>
      <c r="E3982" s="57">
        <v>33.3</v>
      </c>
      <c r="F3982" s="113">
        <f t="shared" si="417"/>
        <v>8491.5</v>
      </c>
    </row>
    <row r="3983" customHeight="1" spans="1:6">
      <c r="A3983" s="57"/>
      <c r="B3983" s="57" t="s">
        <v>1544</v>
      </c>
      <c r="C3983" s="57" t="s">
        <v>1188</v>
      </c>
      <c r="D3983" s="92">
        <v>3</v>
      </c>
      <c r="E3983" s="57">
        <v>94.3</v>
      </c>
      <c r="F3983" s="113">
        <f t="shared" si="417"/>
        <v>282.9</v>
      </c>
    </row>
    <row r="3984" customHeight="1" spans="1:6">
      <c r="A3984" s="57"/>
      <c r="B3984" s="57" t="s">
        <v>1248</v>
      </c>
      <c r="C3984" s="57" t="s">
        <v>423</v>
      </c>
      <c r="D3984" s="113">
        <f>SUM(F3982:F3983)</f>
        <v>8774.4</v>
      </c>
      <c r="E3984" s="57">
        <v>2</v>
      </c>
      <c r="F3984" s="113">
        <f>D3984*E3984/100</f>
        <v>175.488</v>
      </c>
    </row>
    <row r="3985" customHeight="1" spans="1:6">
      <c r="A3985" s="57">
        <v>3</v>
      </c>
      <c r="B3985" s="57" t="s">
        <v>1171</v>
      </c>
      <c r="C3985" s="57"/>
      <c r="D3985" s="57"/>
      <c r="E3985" s="57"/>
      <c r="F3985" s="113">
        <f>SUM(F3986:F3986)</f>
        <v>999.072385520542</v>
      </c>
    </row>
    <row r="3986" customHeight="1" spans="1:6">
      <c r="A3986" s="57"/>
      <c r="B3986" s="57" t="s">
        <v>1545</v>
      </c>
      <c r="C3986" s="57" t="s">
        <v>988</v>
      </c>
      <c r="D3986" s="113">
        <f>D3948</f>
        <v>18.5494315915437</v>
      </c>
      <c r="E3986" s="57">
        <v>53.86</v>
      </c>
      <c r="F3986" s="113">
        <f>D3986*E3986</f>
        <v>999.072385520542</v>
      </c>
    </row>
    <row r="3987" customHeight="1" spans="1:6">
      <c r="A3987" s="57" t="s">
        <v>70</v>
      </c>
      <c r="B3987" s="57" t="s">
        <v>977</v>
      </c>
      <c r="C3987" s="101">
        <f>取费表!C12</f>
        <v>0.048</v>
      </c>
      <c r="D3987" s="113"/>
      <c r="E3987" s="84">
        <f>F3977</f>
        <v>13934.4853855205</v>
      </c>
      <c r="F3987" s="113">
        <f t="shared" ref="F3987:F3990" si="418">E3987*C3987</f>
        <v>668.855298504986</v>
      </c>
    </row>
    <row r="3988" customHeight="1" spans="1:6">
      <c r="A3988" s="57"/>
      <c r="B3988" s="57"/>
      <c r="C3988" s="102"/>
      <c r="D3988" s="113"/>
      <c r="E3988" s="84"/>
      <c r="F3988" s="113"/>
    </row>
    <row r="3989" customHeight="1" spans="1:6">
      <c r="A3989" s="57" t="s">
        <v>979</v>
      </c>
      <c r="B3989" s="57" t="s">
        <v>973</v>
      </c>
      <c r="C3989" s="102">
        <f>取费表!E12</f>
        <v>0.0725</v>
      </c>
      <c r="D3989" s="113"/>
      <c r="E3989" s="88">
        <f>F3976</f>
        <v>14603.3406840255</v>
      </c>
      <c r="F3989" s="113">
        <f t="shared" si="418"/>
        <v>1058.74219959185</v>
      </c>
    </row>
    <row r="3990" customHeight="1" spans="1:6">
      <c r="A3990" s="57" t="s">
        <v>162</v>
      </c>
      <c r="B3990" s="57" t="s">
        <v>980</v>
      </c>
      <c r="C3990" s="352">
        <f>取费表!F12</f>
        <v>0.05</v>
      </c>
      <c r="D3990" s="113"/>
      <c r="E3990" s="88">
        <f>F3989+F3976</f>
        <v>15662.0828836174</v>
      </c>
      <c r="F3990" s="113">
        <f t="shared" si="418"/>
        <v>783.104144180869</v>
      </c>
    </row>
    <row r="3991" customHeight="1" spans="1:6">
      <c r="A3991" s="57" t="s">
        <v>214</v>
      </c>
      <c r="B3991" s="57" t="s">
        <v>1173</v>
      </c>
      <c r="C3991" s="57"/>
      <c r="D3991" s="57"/>
      <c r="E3991" s="57"/>
      <c r="F3991" s="113">
        <f>F3992</f>
        <v>5216.117661</v>
      </c>
    </row>
    <row r="3992" customHeight="1" spans="1:6">
      <c r="A3992" s="57"/>
      <c r="B3992" s="57" t="s">
        <v>1141</v>
      </c>
      <c r="C3992" s="57" t="s">
        <v>1188</v>
      </c>
      <c r="D3992" s="84">
        <f>材料预算价!K5-材料预算价!L5</f>
        <v>156.64017</v>
      </c>
      <c r="E3992" s="88">
        <f>E3982</f>
        <v>33.3</v>
      </c>
      <c r="F3992" s="113">
        <f>E3992*D3992</f>
        <v>5216.117661</v>
      </c>
    </row>
    <row r="3993" customHeight="1" spans="1:6">
      <c r="A3993" s="57" t="s">
        <v>327</v>
      </c>
      <c r="B3993" s="57" t="s">
        <v>976</v>
      </c>
      <c r="C3993" s="102">
        <f>取费表!G12</f>
        <v>0.09</v>
      </c>
      <c r="D3993" s="57"/>
      <c r="E3993" s="84">
        <f>F3990+F3989+F3976+F3991</f>
        <v>21661.3046887982</v>
      </c>
      <c r="F3993" s="113">
        <f>E3993*C3993</f>
        <v>1949.51742199184</v>
      </c>
    </row>
    <row r="3994" customHeight="1" spans="1:6">
      <c r="A3994" s="57"/>
      <c r="B3994" s="57" t="s">
        <v>984</v>
      </c>
      <c r="C3994" s="102"/>
      <c r="D3994" s="57"/>
      <c r="E3994" s="84"/>
      <c r="F3994" s="113">
        <f>(E3993+F3993)*取费表!H4</f>
        <v>708.324663323703</v>
      </c>
    </row>
    <row r="3995" customHeight="1" spans="1:6">
      <c r="A3995" s="57"/>
      <c r="B3995" s="57" t="s">
        <v>278</v>
      </c>
      <c r="C3995" s="57"/>
      <c r="D3995" s="57"/>
      <c r="E3995" s="57"/>
      <c r="F3995" s="113">
        <f>F3993+E3993+F3994</f>
        <v>24319.1467741138</v>
      </c>
    </row>
    <row r="3996" customHeight="1" spans="1:6">
      <c r="A3996" s="57"/>
      <c r="B3996" s="57"/>
      <c r="C3996" s="57"/>
      <c r="D3996" s="57"/>
      <c r="E3996" s="57"/>
      <c r="F3996" s="113"/>
    </row>
    <row r="3997" customHeight="1" spans="1:6">
      <c r="A3997" s="57"/>
      <c r="B3997" s="57"/>
      <c r="C3997" s="57"/>
      <c r="D3997" s="57"/>
      <c r="E3997" s="57"/>
      <c r="F3997" s="113"/>
    </row>
    <row r="3998" customHeight="1" spans="1:6">
      <c r="A3998" s="57"/>
      <c r="B3998" s="57"/>
      <c r="C3998" s="57"/>
      <c r="D3998" s="57"/>
      <c r="E3998" s="57"/>
      <c r="F3998" s="113"/>
    </row>
    <row r="3999" customHeight="1" spans="1:6">
      <c r="A3999" s="57"/>
      <c r="B3999" s="57"/>
      <c r="C3999" s="57"/>
      <c r="D3999" s="57"/>
      <c r="E3999" s="57"/>
      <c r="F3999" s="113"/>
    </row>
    <row r="4000" customHeight="1" spans="1:6">
      <c r="A4000" s="57"/>
      <c r="B4000" s="57"/>
      <c r="C4000" s="57"/>
      <c r="D4000" s="57"/>
      <c r="E4000" s="57"/>
      <c r="F4000" s="113"/>
    </row>
    <row r="4001" customHeight="1" spans="1:6">
      <c r="A4001" s="57"/>
      <c r="B4001" s="57"/>
      <c r="C4001" s="57"/>
      <c r="D4001" s="57"/>
      <c r="E4001" s="57"/>
      <c r="F4001" s="113"/>
    </row>
    <row r="4002" customHeight="1" spans="1:6">
      <c r="A4002" s="57"/>
      <c r="B4002" s="57"/>
      <c r="C4002" s="57"/>
      <c r="D4002" s="57"/>
      <c r="E4002" s="57"/>
      <c r="F4002" s="113"/>
    </row>
    <row r="4003" customHeight="1" spans="1:6">
      <c r="A4003" s="57"/>
      <c r="B4003" s="57"/>
      <c r="C4003" s="57"/>
      <c r="D4003" s="57"/>
      <c r="E4003" s="57"/>
      <c r="F4003" s="113"/>
    </row>
    <row r="4004" customHeight="1" spans="1:6">
      <c r="A4004" s="57"/>
      <c r="B4004" s="57"/>
      <c r="C4004" s="57"/>
      <c r="D4004" s="57"/>
      <c r="E4004" s="57"/>
      <c r="F4004" s="113"/>
    </row>
    <row r="4005" customHeight="1" spans="1:6">
      <c r="A4005" s="57"/>
      <c r="B4005" s="57"/>
      <c r="C4005" s="57"/>
      <c r="D4005" s="57"/>
      <c r="E4005" s="57"/>
      <c r="F4005" s="113"/>
    </row>
    <row r="4006" customHeight="1" spans="1:6">
      <c r="A4006" s="57"/>
      <c r="B4006" s="57"/>
      <c r="C4006" s="57"/>
      <c r="D4006" s="57"/>
      <c r="E4006" s="57"/>
      <c r="F4006" s="113"/>
    </row>
    <row r="4007" customHeight="1" spans="1:6">
      <c r="A4007" s="57"/>
      <c r="B4007" s="57"/>
      <c r="C4007" s="57"/>
      <c r="D4007" s="57"/>
      <c r="E4007" s="57"/>
      <c r="F4007" s="113"/>
    </row>
    <row r="4008" customHeight="1" spans="1:6">
      <c r="A4008" s="57"/>
      <c r="B4008" s="57"/>
      <c r="C4008" s="57"/>
      <c r="D4008" s="57"/>
      <c r="E4008" s="57"/>
      <c r="F4008" s="113"/>
    </row>
    <row r="4009" customHeight="1" spans="1:6">
      <c r="A4009" s="311" t="s">
        <v>1155</v>
      </c>
      <c r="B4009" s="175"/>
      <c r="C4009" s="367"/>
      <c r="D4009" s="175"/>
      <c r="E4009" s="175"/>
      <c r="F4009" s="175"/>
    </row>
    <row r="4010" customHeight="1" spans="1:6">
      <c r="A4010" s="205" t="s">
        <v>1548</v>
      </c>
      <c r="B4010" s="205"/>
      <c r="C4010" s="205"/>
      <c r="D4010" s="205"/>
      <c r="E4010" s="205"/>
      <c r="F4010" s="205"/>
    </row>
    <row r="4011" customHeight="1" spans="1:6">
      <c r="A4011" s="190" t="s">
        <v>1549</v>
      </c>
      <c r="B4011" s="190"/>
      <c r="C4011" s="368"/>
      <c r="D4011" s="168"/>
      <c r="E4011" s="191" t="s">
        <v>1459</v>
      </c>
      <c r="F4011" s="191"/>
    </row>
    <row r="4012" customHeight="1" spans="1:6">
      <c r="A4012" s="197" t="s">
        <v>1184</v>
      </c>
      <c r="B4012" s="201"/>
      <c r="C4012" s="369"/>
      <c r="D4012" s="201"/>
      <c r="E4012" s="201"/>
      <c r="F4012" s="202"/>
    </row>
    <row r="4013" customHeight="1" spans="1:6">
      <c r="A4013" s="57" t="s">
        <v>354</v>
      </c>
      <c r="B4013" s="57" t="s">
        <v>956</v>
      </c>
      <c r="C4013" s="102" t="s">
        <v>52</v>
      </c>
      <c r="D4013" s="57" t="s">
        <v>855</v>
      </c>
      <c r="E4013" s="57" t="s">
        <v>53</v>
      </c>
      <c r="F4013" s="57" t="s">
        <v>306</v>
      </c>
    </row>
    <row r="4014" customHeight="1" spans="1:6">
      <c r="A4014" s="57" t="s">
        <v>959</v>
      </c>
      <c r="B4014" s="57" t="s">
        <v>960</v>
      </c>
      <c r="C4014" s="102"/>
      <c r="D4014" s="57"/>
      <c r="E4014" s="57"/>
      <c r="F4014" s="84">
        <f>F4015+F4035+F4036</f>
        <v>15864.0864189479</v>
      </c>
    </row>
    <row r="4015" customHeight="1" spans="1:6">
      <c r="A4015" s="57" t="s">
        <v>59</v>
      </c>
      <c r="B4015" s="57" t="s">
        <v>957</v>
      </c>
      <c r="C4015" s="102"/>
      <c r="D4015" s="57"/>
      <c r="E4015" s="57"/>
      <c r="F4015" s="196">
        <f>F4016+F4019+F4026</f>
        <v>14909.855656906</v>
      </c>
    </row>
    <row r="4016" customHeight="1" spans="1:6">
      <c r="A4016" s="57">
        <v>1</v>
      </c>
      <c r="B4016" s="57" t="s">
        <v>964</v>
      </c>
      <c r="C4016" s="102" t="s">
        <v>965</v>
      </c>
      <c r="D4016" s="113"/>
      <c r="E4016" s="92">
        <f>SUM(E4017:E4018)</f>
        <v>431.2</v>
      </c>
      <c r="F4016" s="113">
        <f>SUM(F4017:F4018)</f>
        <v>3221.508</v>
      </c>
    </row>
    <row r="4017" customHeight="1" spans="1:6">
      <c r="A4017" s="57"/>
      <c r="B4017" s="57" t="s">
        <v>966</v>
      </c>
      <c r="C4017" s="102" t="s">
        <v>965</v>
      </c>
      <c r="D4017" s="113">
        <f>D3979</f>
        <v>8.1</v>
      </c>
      <c r="E4017" s="92">
        <f>17.2+146.7+150.9</f>
        <v>314.8</v>
      </c>
      <c r="F4017" s="113">
        <f>D4017*E4017</f>
        <v>2549.88</v>
      </c>
    </row>
    <row r="4018" customHeight="1" spans="1:6">
      <c r="A4018" s="57"/>
      <c r="B4018" s="57" t="s">
        <v>968</v>
      </c>
      <c r="C4018" s="102" t="s">
        <v>965</v>
      </c>
      <c r="D4018" s="113">
        <f>D3980</f>
        <v>5.77</v>
      </c>
      <c r="E4018" s="92">
        <v>116.4</v>
      </c>
      <c r="F4018" s="113">
        <f>D4018*E4018</f>
        <v>671.628</v>
      </c>
    </row>
    <row r="4019" customHeight="1" spans="1:6">
      <c r="A4019" s="57">
        <v>2</v>
      </c>
      <c r="B4019" s="57" t="s">
        <v>1219</v>
      </c>
      <c r="C4019" s="102"/>
      <c r="D4019" s="113"/>
      <c r="E4019" s="57"/>
      <c r="F4019" s="203">
        <f>SUM(F4020:F4025)</f>
        <v>5256.77006</v>
      </c>
    </row>
    <row r="4020" customHeight="1" spans="1:6">
      <c r="A4020" s="57"/>
      <c r="B4020" s="57" t="s">
        <v>1550</v>
      </c>
      <c r="C4020" s="102" t="s">
        <v>184</v>
      </c>
      <c r="D4020" s="113">
        <v>9</v>
      </c>
      <c r="E4020" s="113">
        <v>90.31</v>
      </c>
      <c r="F4020" s="113">
        <f t="shared" ref="F4020:F4025" si="419">E4020*D4020</f>
        <v>812.79</v>
      </c>
    </row>
    <row r="4021" customHeight="1" spans="1:6">
      <c r="A4021" s="57"/>
      <c r="B4021" s="57" t="s">
        <v>1551</v>
      </c>
      <c r="C4021" s="102" t="s">
        <v>184</v>
      </c>
      <c r="D4021" s="113">
        <v>5</v>
      </c>
      <c r="E4021" s="113">
        <v>693.09</v>
      </c>
      <c r="F4021" s="113">
        <f t="shared" si="419"/>
        <v>3465.45</v>
      </c>
    </row>
    <row r="4022" customHeight="1" spans="1:6">
      <c r="A4022" s="57"/>
      <c r="B4022" s="57" t="s">
        <v>1552</v>
      </c>
      <c r="C4022" s="102" t="s">
        <v>184</v>
      </c>
      <c r="D4022" s="113">
        <v>2.5</v>
      </c>
      <c r="E4022" s="113">
        <v>24.03</v>
      </c>
      <c r="F4022" s="113">
        <f t="shared" si="419"/>
        <v>60.075</v>
      </c>
    </row>
    <row r="4023" customHeight="1" spans="1:6">
      <c r="A4023" s="57"/>
      <c r="B4023" s="57" t="s">
        <v>1553</v>
      </c>
      <c r="C4023" s="102" t="s">
        <v>184</v>
      </c>
      <c r="D4023" s="113">
        <v>10</v>
      </c>
      <c r="E4023" s="113">
        <v>21.26</v>
      </c>
      <c r="F4023" s="113">
        <f t="shared" si="419"/>
        <v>212.6</v>
      </c>
    </row>
    <row r="4024" customHeight="1" spans="1:6">
      <c r="A4024" s="57"/>
      <c r="B4024" s="57" t="s">
        <v>1022</v>
      </c>
      <c r="C4024" s="102" t="s">
        <v>1554</v>
      </c>
      <c r="D4024" s="113">
        <f>材料预算价!K14</f>
        <v>4.37</v>
      </c>
      <c r="E4024" s="113">
        <v>4.62</v>
      </c>
      <c r="F4024" s="113">
        <f t="shared" si="419"/>
        <v>20.1894</v>
      </c>
    </row>
    <row r="4025" customHeight="1" spans="1:6">
      <c r="A4025" s="57"/>
      <c r="B4025" s="57" t="s">
        <v>1163</v>
      </c>
      <c r="C4025" s="195" t="s">
        <v>423</v>
      </c>
      <c r="D4025" s="113">
        <f>SUM(F4020:F4024)</f>
        <v>4571.1044</v>
      </c>
      <c r="E4025" s="352">
        <v>0.15</v>
      </c>
      <c r="F4025" s="113">
        <f t="shared" si="419"/>
        <v>685.66566</v>
      </c>
    </row>
    <row r="4026" customHeight="1" spans="1:6">
      <c r="A4026" s="57">
        <v>3</v>
      </c>
      <c r="B4026" s="57" t="s">
        <v>1171</v>
      </c>
      <c r="C4026" s="102"/>
      <c r="D4026" s="113"/>
      <c r="E4026" s="57"/>
      <c r="F4026" s="203">
        <f>SUM(F4027:F4034)</f>
        <v>6431.57759690595</v>
      </c>
    </row>
    <row r="4027" customHeight="1" spans="1:6">
      <c r="A4027" s="57"/>
      <c r="B4027" s="57" t="s">
        <v>1555</v>
      </c>
      <c r="C4027" s="102" t="s">
        <v>988</v>
      </c>
      <c r="D4027" s="113">
        <v>160.831999202234</v>
      </c>
      <c r="E4027" s="57">
        <v>14.53</v>
      </c>
      <c r="F4027" s="113">
        <f t="shared" ref="F4027:F4033" si="420">E4027*D4027</f>
        <v>2336.88894840846</v>
      </c>
    </row>
    <row r="4028" customHeight="1" spans="1:6">
      <c r="A4028" s="57"/>
      <c r="B4028" s="57" t="s">
        <v>1556</v>
      </c>
      <c r="C4028" s="102" t="s">
        <v>988</v>
      </c>
      <c r="D4028" s="113">
        <v>15.243592341444</v>
      </c>
      <c r="E4028" s="113">
        <v>24.29</v>
      </c>
      <c r="F4028" s="113">
        <f t="shared" si="420"/>
        <v>370.266857973675</v>
      </c>
    </row>
    <row r="4029" customHeight="1" spans="1:6">
      <c r="A4029" s="57"/>
      <c r="B4029" s="57" t="s">
        <v>1557</v>
      </c>
      <c r="C4029" s="102" t="s">
        <v>988</v>
      </c>
      <c r="D4029" s="113">
        <v>27.42</v>
      </c>
      <c r="E4029" s="113">
        <v>36.43</v>
      </c>
      <c r="F4029" s="113">
        <f t="shared" si="420"/>
        <v>998.9106</v>
      </c>
    </row>
    <row r="4030" customHeight="1" spans="1:6">
      <c r="A4030" s="57"/>
      <c r="B4030" s="57" t="s">
        <v>1558</v>
      </c>
      <c r="C4030" s="102" t="s">
        <v>988</v>
      </c>
      <c r="D4030" s="113">
        <v>35.964</v>
      </c>
      <c r="E4030" s="113">
        <v>36.43</v>
      </c>
      <c r="F4030" s="113">
        <f t="shared" si="420"/>
        <v>1310.16852</v>
      </c>
    </row>
    <row r="4031" customHeight="1" spans="1:6">
      <c r="A4031" s="57"/>
      <c r="B4031" s="57" t="s">
        <v>1559</v>
      </c>
      <c r="C4031" s="102" t="s">
        <v>988</v>
      </c>
      <c r="D4031" s="113">
        <v>1.56</v>
      </c>
      <c r="E4031" s="113">
        <v>72.86</v>
      </c>
      <c r="F4031" s="113">
        <f t="shared" si="420"/>
        <v>113.6616</v>
      </c>
    </row>
    <row r="4032" customHeight="1" spans="1:6">
      <c r="A4032" s="57"/>
      <c r="B4032" s="57" t="s">
        <v>1560</v>
      </c>
      <c r="C4032" s="102" t="s">
        <v>988</v>
      </c>
      <c r="D4032" s="113">
        <v>31.7417814120463</v>
      </c>
      <c r="E4032" s="113">
        <v>17.7</v>
      </c>
      <c r="F4032" s="113">
        <f t="shared" si="420"/>
        <v>561.829530993219</v>
      </c>
    </row>
    <row r="4033" customHeight="1" spans="1:6">
      <c r="A4033" s="57"/>
      <c r="B4033" s="57" t="s">
        <v>1561</v>
      </c>
      <c r="C4033" s="102" t="s">
        <v>988</v>
      </c>
      <c r="D4033" s="113">
        <v>14.8835245313123</v>
      </c>
      <c r="E4033" s="113">
        <f>E4032</f>
        <v>17.7</v>
      </c>
      <c r="F4033" s="113">
        <f t="shared" si="420"/>
        <v>263.438384204228</v>
      </c>
    </row>
    <row r="4034" customHeight="1" spans="1:6">
      <c r="A4034" s="57"/>
      <c r="B4034" s="57" t="s">
        <v>1263</v>
      </c>
      <c r="C4034" s="195" t="s">
        <v>423</v>
      </c>
      <c r="D4034" s="113">
        <f>SUM(F4027:F4033)</f>
        <v>5955.16444157958</v>
      </c>
      <c r="E4034" s="102">
        <v>0.08</v>
      </c>
      <c r="F4034" s="113">
        <f>D4034*E4034</f>
        <v>476.413155326367</v>
      </c>
    </row>
    <row r="4035" customHeight="1" spans="1:6">
      <c r="A4035" s="57" t="s">
        <v>70</v>
      </c>
      <c r="B4035" s="57" t="s">
        <v>977</v>
      </c>
      <c r="C4035" s="195">
        <v>0.064</v>
      </c>
      <c r="D4035" s="113"/>
      <c r="E4035" s="196">
        <f>F4015</f>
        <v>14909.855656906</v>
      </c>
      <c r="F4035" s="113">
        <f t="shared" ref="F4035:F4038" si="421">E4035*C4035</f>
        <v>954.230762041981</v>
      </c>
    </row>
    <row r="4036" customHeight="1" spans="1:6">
      <c r="A4036" s="57"/>
      <c r="B4036" s="57"/>
      <c r="C4036" s="195"/>
      <c r="D4036" s="113"/>
      <c r="E4036" s="196"/>
      <c r="F4036" s="113"/>
    </row>
    <row r="4037" customHeight="1" spans="1:6">
      <c r="A4037" s="57" t="s">
        <v>979</v>
      </c>
      <c r="B4037" s="57" t="s">
        <v>973</v>
      </c>
      <c r="C4037" s="195">
        <v>0.105</v>
      </c>
      <c r="D4037" s="113"/>
      <c r="E4037" s="84">
        <f>F4014</f>
        <v>15864.0864189479</v>
      </c>
      <c r="F4037" s="113">
        <f t="shared" si="421"/>
        <v>1665.72907398953</v>
      </c>
    </row>
    <row r="4038" customHeight="1" spans="1:6">
      <c r="A4038" s="57" t="s">
        <v>162</v>
      </c>
      <c r="B4038" s="57" t="s">
        <v>975</v>
      </c>
      <c r="C4038" s="195">
        <v>0.07</v>
      </c>
      <c r="D4038" s="113"/>
      <c r="E4038" s="84">
        <f>F4037+F4014</f>
        <v>17529.8154929375</v>
      </c>
      <c r="F4038" s="113">
        <f t="shared" si="421"/>
        <v>1227.08708450562</v>
      </c>
    </row>
    <row r="4039" customHeight="1" spans="1:6">
      <c r="A4039" s="57" t="s">
        <v>214</v>
      </c>
      <c r="B4039" s="57" t="s">
        <v>1173</v>
      </c>
      <c r="C4039" s="195"/>
      <c r="D4039" s="113"/>
      <c r="E4039" s="57"/>
      <c r="F4039" s="113">
        <f>SUM(F4040:F4041)</f>
        <v>23702.75704</v>
      </c>
    </row>
    <row r="4040" customHeight="1" spans="1:6">
      <c r="A4040" s="57"/>
      <c r="B4040" s="57" t="s">
        <v>1562</v>
      </c>
      <c r="C4040" s="102" t="s">
        <v>90</v>
      </c>
      <c r="D4040" s="113">
        <v>2290</v>
      </c>
      <c r="E4040" s="57">
        <v>10.05</v>
      </c>
      <c r="F4040" s="113">
        <f>E4040*D4040</f>
        <v>23014.5</v>
      </c>
    </row>
    <row r="4041" customHeight="1" spans="1:6">
      <c r="A4041" s="57"/>
      <c r="B4041" s="57" t="s">
        <v>1116</v>
      </c>
      <c r="C4041" s="102" t="s">
        <v>184</v>
      </c>
      <c r="D4041" s="88">
        <v>3.82</v>
      </c>
      <c r="E4041" s="113">
        <f>E4027*12.4</f>
        <v>180.172</v>
      </c>
      <c r="F4041" s="113">
        <f>E4041*D4041</f>
        <v>688.25704</v>
      </c>
    </row>
    <row r="4042" customHeight="1" spans="1:6">
      <c r="A4042" s="57" t="s">
        <v>327</v>
      </c>
      <c r="B4042" s="57" t="s">
        <v>976</v>
      </c>
      <c r="C4042" s="195">
        <v>0.09</v>
      </c>
      <c r="D4042" s="113"/>
      <c r="E4042" s="196">
        <f>F4039+F4038+F4037+F4014</f>
        <v>42459.6596174431</v>
      </c>
      <c r="F4042" s="113">
        <f>E4042*C4042</f>
        <v>3821.36936556988</v>
      </c>
    </row>
    <row r="4043" customHeight="1" spans="1:6">
      <c r="A4043" s="57"/>
      <c r="B4043" s="57" t="s">
        <v>984</v>
      </c>
      <c r="C4043" s="195"/>
      <c r="D4043" s="58"/>
      <c r="E4043" s="84"/>
      <c r="F4043" s="113">
        <f>(E4042+F4042)*取费表!H12</f>
        <v>1388.43086949039</v>
      </c>
    </row>
    <row r="4044" customHeight="1" spans="1:6">
      <c r="A4044" s="57"/>
      <c r="B4044" s="57" t="s">
        <v>278</v>
      </c>
      <c r="C4044" s="102"/>
      <c r="D4044" s="57"/>
      <c r="E4044" s="57"/>
      <c r="F4044" s="113">
        <f>E4042+F4042+F4043</f>
        <v>47669.4598525034</v>
      </c>
    </row>
    <row r="4045" customHeight="1" spans="1:6">
      <c r="A4045" s="57"/>
      <c r="B4045" s="57"/>
      <c r="C4045" s="102"/>
      <c r="D4045" s="57"/>
      <c r="E4045" s="57"/>
      <c r="F4045" s="113"/>
    </row>
    <row r="4046" customHeight="1" spans="1:6">
      <c r="A4046" s="57"/>
      <c r="B4046" s="57"/>
      <c r="C4046" s="102"/>
      <c r="D4046" s="57"/>
      <c r="E4046" s="57"/>
      <c r="F4046" s="113"/>
    </row>
    <row r="4047" customHeight="1" spans="1:6">
      <c r="A4047" s="311" t="s">
        <v>1155</v>
      </c>
      <c r="B4047" s="175"/>
      <c r="C4047" s="367"/>
      <c r="D4047" s="175"/>
      <c r="E4047" s="175"/>
      <c r="F4047" s="175"/>
    </row>
    <row r="4048" customHeight="1" spans="1:6">
      <c r="A4048" s="205" t="s">
        <v>1563</v>
      </c>
      <c r="B4048" s="205"/>
      <c r="C4048" s="205"/>
      <c r="D4048" s="205"/>
      <c r="E4048" s="205"/>
      <c r="F4048" s="205"/>
    </row>
    <row r="4049" customHeight="1" spans="1:6">
      <c r="A4049" s="190" t="s">
        <v>1564</v>
      </c>
      <c r="B4049" s="190"/>
      <c r="C4049" s="368"/>
      <c r="D4049" s="168"/>
      <c r="E4049" s="191" t="s">
        <v>1565</v>
      </c>
      <c r="F4049" s="191"/>
    </row>
    <row r="4050" customHeight="1" spans="1:6">
      <c r="A4050" s="197" t="s">
        <v>1184</v>
      </c>
      <c r="B4050" s="201" t="s">
        <v>1566</v>
      </c>
      <c r="C4050" s="369"/>
      <c r="D4050" s="201"/>
      <c r="E4050" s="201"/>
      <c r="F4050" s="202"/>
    </row>
    <row r="4051" customHeight="1" spans="1:6">
      <c r="A4051" s="57" t="s">
        <v>354</v>
      </c>
      <c r="B4051" s="57" t="s">
        <v>956</v>
      </c>
      <c r="C4051" s="102" t="s">
        <v>52</v>
      </c>
      <c r="D4051" s="57" t="s">
        <v>855</v>
      </c>
      <c r="E4051" s="57" t="s">
        <v>53</v>
      </c>
      <c r="F4051" s="57" t="s">
        <v>306</v>
      </c>
    </row>
    <row r="4052" customHeight="1" spans="1:6">
      <c r="A4052" s="57" t="s">
        <v>959</v>
      </c>
      <c r="B4052" s="57" t="s">
        <v>960</v>
      </c>
      <c r="C4052" s="102"/>
      <c r="D4052" s="57"/>
      <c r="E4052" s="57"/>
      <c r="F4052" s="84">
        <f>F4053+F4069+F4070</f>
        <v>4274.7336035316</v>
      </c>
    </row>
    <row r="4053" customHeight="1" spans="1:6">
      <c r="A4053" s="57" t="s">
        <v>59</v>
      </c>
      <c r="B4053" s="57" t="s">
        <v>957</v>
      </c>
      <c r="C4053" s="102"/>
      <c r="D4053" s="57"/>
      <c r="E4053" s="57"/>
      <c r="F4053" s="196">
        <f>F4054+F4057+F4064</f>
        <v>4017.60677023647</v>
      </c>
    </row>
    <row r="4054" customHeight="1" spans="1:6">
      <c r="A4054" s="57">
        <v>1</v>
      </c>
      <c r="B4054" s="57" t="s">
        <v>964</v>
      </c>
      <c r="C4054" s="102" t="s">
        <v>965</v>
      </c>
      <c r="D4054" s="113"/>
      <c r="E4054" s="92">
        <f>SUM(E4055:E4056)</f>
        <v>137.2</v>
      </c>
      <c r="F4054" s="113">
        <f>SUM(F4055:F4056)</f>
        <v>1025.11</v>
      </c>
    </row>
    <row r="4055" customHeight="1" spans="1:6">
      <c r="A4055" s="57"/>
      <c r="B4055" s="57" t="s">
        <v>966</v>
      </c>
      <c r="C4055" s="102" t="s">
        <v>965</v>
      </c>
      <c r="D4055" s="113">
        <f>D4017</f>
        <v>8.1</v>
      </c>
      <c r="E4055" s="92">
        <f>5.5+46.7+48</f>
        <v>100.2</v>
      </c>
      <c r="F4055" s="113">
        <f>D4055*E4055</f>
        <v>811.62</v>
      </c>
    </row>
    <row r="4056" customHeight="1" spans="1:6">
      <c r="A4056" s="57"/>
      <c r="B4056" s="57" t="s">
        <v>968</v>
      </c>
      <c r="C4056" s="102" t="s">
        <v>965</v>
      </c>
      <c r="D4056" s="113">
        <f>D4018</f>
        <v>5.77</v>
      </c>
      <c r="E4056" s="92">
        <v>37</v>
      </c>
      <c r="F4056" s="113">
        <f>D4056*E4056</f>
        <v>213.49</v>
      </c>
    </row>
    <row r="4057" customHeight="1" spans="1:6">
      <c r="A4057" s="57">
        <v>2</v>
      </c>
      <c r="B4057" s="57" t="s">
        <v>1219</v>
      </c>
      <c r="C4057" s="102"/>
      <c r="D4057" s="113"/>
      <c r="E4057" s="57"/>
      <c r="F4057" s="203">
        <f>SUM(F4058:F4063)</f>
        <v>1739.600087976</v>
      </c>
    </row>
    <row r="4058" customHeight="1" spans="1:6">
      <c r="A4058" s="57"/>
      <c r="B4058" s="57" t="s">
        <v>1567</v>
      </c>
      <c r="C4058" s="102" t="s">
        <v>184</v>
      </c>
      <c r="D4058" s="113">
        <v>4.5</v>
      </c>
      <c r="E4058" s="57">
        <v>151.98</v>
      </c>
      <c r="F4058" s="113">
        <f t="shared" ref="F4058:F4063" si="422">E4058*D4058</f>
        <v>683.91</v>
      </c>
    </row>
    <row r="4059" customHeight="1" spans="1:6">
      <c r="A4059" s="57"/>
      <c r="B4059" s="57" t="s">
        <v>1568</v>
      </c>
      <c r="C4059" s="102" t="s">
        <v>1023</v>
      </c>
      <c r="D4059" s="113">
        <v>5</v>
      </c>
      <c r="E4059" s="57">
        <v>0.26</v>
      </c>
      <c r="F4059" s="113">
        <f t="shared" si="422"/>
        <v>1.3</v>
      </c>
    </row>
    <row r="4060" customHeight="1" spans="1:6">
      <c r="A4060" s="57"/>
      <c r="B4060" s="57" t="s">
        <v>1496</v>
      </c>
      <c r="C4060" s="102" t="s">
        <v>1023</v>
      </c>
      <c r="D4060" s="113">
        <f>材料预算价!K8</f>
        <v>90.60443</v>
      </c>
      <c r="E4060" s="57">
        <v>1.54</v>
      </c>
      <c r="F4060" s="113">
        <f t="shared" si="422"/>
        <v>139.5308222</v>
      </c>
    </row>
    <row r="4061" customHeight="1" spans="1:6">
      <c r="A4061" s="57"/>
      <c r="B4061" s="57" t="s">
        <v>1569</v>
      </c>
      <c r="C4061" s="102" t="s">
        <v>184</v>
      </c>
      <c r="D4061" s="113">
        <v>6</v>
      </c>
      <c r="E4061" s="57">
        <v>0.95</v>
      </c>
      <c r="F4061" s="113">
        <f t="shared" si="422"/>
        <v>5.7</v>
      </c>
    </row>
    <row r="4062" customHeight="1" spans="1:6">
      <c r="A4062" s="57"/>
      <c r="B4062" s="57" t="s">
        <v>1274</v>
      </c>
      <c r="C4062" s="102" t="s">
        <v>184</v>
      </c>
      <c r="D4062" s="113">
        <v>4.5</v>
      </c>
      <c r="E4062" s="57">
        <v>173.4</v>
      </c>
      <c r="F4062" s="113">
        <f t="shared" si="422"/>
        <v>780.3</v>
      </c>
    </row>
    <row r="4063" customHeight="1" spans="1:6">
      <c r="A4063" s="57"/>
      <c r="B4063" s="57" t="s">
        <v>1163</v>
      </c>
      <c r="C4063" s="195" t="s">
        <v>423</v>
      </c>
      <c r="D4063" s="113">
        <f>F4058+F4059+F4060+F4061+F4062</f>
        <v>1610.7408222</v>
      </c>
      <c r="E4063" s="352">
        <v>0.08</v>
      </c>
      <c r="F4063" s="113">
        <f t="shared" si="422"/>
        <v>128.859265776</v>
      </c>
    </row>
    <row r="4064" customHeight="1" spans="1:6">
      <c r="A4064" s="57">
        <v>3</v>
      </c>
      <c r="B4064" s="57" t="s">
        <v>1171</v>
      </c>
      <c r="C4064" s="102"/>
      <c r="D4064" s="113"/>
      <c r="E4064" s="57"/>
      <c r="F4064" s="203">
        <f>SUM(F4065:F4068)</f>
        <v>1252.89668226047</v>
      </c>
    </row>
    <row r="4065" customHeight="1" spans="1:6">
      <c r="A4065" s="57"/>
      <c r="B4065" s="57" t="s">
        <v>1570</v>
      </c>
      <c r="C4065" s="102" t="s">
        <v>988</v>
      </c>
      <c r="D4065" s="113">
        <v>82.7108699641005</v>
      </c>
      <c r="E4065" s="57">
        <v>7.31</v>
      </c>
      <c r="F4065" s="113">
        <f>E4065*D4065</f>
        <v>604.616459437575</v>
      </c>
    </row>
    <row r="4066" customHeight="1" spans="1:6">
      <c r="A4066" s="57"/>
      <c r="B4066" s="57" t="s">
        <v>1571</v>
      </c>
      <c r="C4066" s="102" t="s">
        <v>988</v>
      </c>
      <c r="D4066" s="113">
        <v>73.10267092142</v>
      </c>
      <c r="E4066" s="57">
        <v>7.31</v>
      </c>
      <c r="F4066" s="113">
        <f>E4066*D4066</f>
        <v>534.38052443558</v>
      </c>
    </row>
    <row r="4067" customHeight="1" spans="1:6">
      <c r="A4067" s="57"/>
      <c r="B4067" s="57"/>
      <c r="C4067" s="102"/>
      <c r="D4067" s="113"/>
      <c r="E4067" s="57"/>
      <c r="F4067" s="113"/>
    </row>
    <row r="4068" customHeight="1" spans="1:6">
      <c r="A4068" s="57"/>
      <c r="B4068" s="57" t="s">
        <v>1263</v>
      </c>
      <c r="C4068" s="195" t="s">
        <v>423</v>
      </c>
      <c r="D4068" s="113">
        <f>SUM(F4065:F4066)</f>
        <v>1138.99698387315</v>
      </c>
      <c r="E4068" s="102">
        <v>0.1</v>
      </c>
      <c r="F4068" s="113">
        <f>D4068*E4068</f>
        <v>113.899698387315</v>
      </c>
    </row>
    <row r="4069" customHeight="1" spans="1:6">
      <c r="A4069" s="57" t="s">
        <v>70</v>
      </c>
      <c r="B4069" s="57" t="s">
        <v>977</v>
      </c>
      <c r="C4069" s="195">
        <f t="shared" ref="C4069:C4072" si="423">C4035</f>
        <v>0.064</v>
      </c>
      <c r="D4069" s="113"/>
      <c r="E4069" s="196">
        <f>F4053</f>
        <v>4017.60677023647</v>
      </c>
      <c r="F4069" s="113">
        <f t="shared" ref="F4069:F4072" si="424">E4069*C4069</f>
        <v>257.126833295134</v>
      </c>
    </row>
    <row r="4070" customHeight="1" spans="1:6">
      <c r="A4070" s="57"/>
      <c r="B4070" s="57"/>
      <c r="C4070" s="195"/>
      <c r="D4070" s="113"/>
      <c r="E4070" s="196"/>
      <c r="F4070" s="113"/>
    </row>
    <row r="4071" customHeight="1" spans="1:6">
      <c r="A4071" s="57" t="s">
        <v>979</v>
      </c>
      <c r="B4071" s="57" t="s">
        <v>973</v>
      </c>
      <c r="C4071" s="195">
        <f t="shared" si="423"/>
        <v>0.105</v>
      </c>
      <c r="D4071" s="113"/>
      <c r="E4071" s="84">
        <f>F4052</f>
        <v>4274.7336035316</v>
      </c>
      <c r="F4071" s="113">
        <f t="shared" si="424"/>
        <v>448.847028370818</v>
      </c>
    </row>
    <row r="4072" customHeight="1" spans="1:6">
      <c r="A4072" s="57" t="s">
        <v>162</v>
      </c>
      <c r="B4072" s="57" t="s">
        <v>975</v>
      </c>
      <c r="C4072" s="195">
        <f t="shared" si="423"/>
        <v>0.07</v>
      </c>
      <c r="D4072" s="113"/>
      <c r="E4072" s="84">
        <f>F4071+F4052</f>
        <v>4723.58063190242</v>
      </c>
      <c r="F4072" s="113">
        <f t="shared" si="424"/>
        <v>330.65064423317</v>
      </c>
    </row>
    <row r="4073" customHeight="1" spans="1:6">
      <c r="A4073" s="57" t="s">
        <v>214</v>
      </c>
      <c r="B4073" s="57" t="s">
        <v>1173</v>
      </c>
      <c r="C4073" s="195"/>
      <c r="D4073" s="113"/>
      <c r="E4073" s="57"/>
      <c r="F4073" s="113">
        <f>SUM(F4074:F4074)</f>
        <v>501.797874</v>
      </c>
    </row>
    <row r="4074" customHeight="1" spans="1:6">
      <c r="A4074" s="57"/>
      <c r="B4074" s="57" t="s">
        <v>1116</v>
      </c>
      <c r="C4074" s="102" t="s">
        <v>184</v>
      </c>
      <c r="D4074" s="88">
        <f>D4041</f>
        <v>3.82</v>
      </c>
      <c r="E4074" s="113">
        <f>E4065*7.77+E4066*10.2</f>
        <v>131.3607</v>
      </c>
      <c r="F4074" s="113">
        <f>E4074*D4074</f>
        <v>501.797874</v>
      </c>
    </row>
    <row r="4075" customHeight="1" spans="1:6">
      <c r="A4075" s="57" t="s">
        <v>327</v>
      </c>
      <c r="B4075" s="57" t="s">
        <v>976</v>
      </c>
      <c r="C4075" s="195">
        <f>C4042</f>
        <v>0.09</v>
      </c>
      <c r="D4075" s="113"/>
      <c r="E4075" s="196">
        <f>F4073+F4072+F4071+F4052</f>
        <v>5556.02915013559</v>
      </c>
      <c r="F4075" s="113">
        <f>E4075*C4075</f>
        <v>500.042623512203</v>
      </c>
    </row>
    <row r="4076" customHeight="1" spans="1:6">
      <c r="A4076" s="57"/>
      <c r="B4076" s="57" t="s">
        <v>984</v>
      </c>
      <c r="C4076" s="195"/>
      <c r="D4076" s="58"/>
      <c r="E4076" s="84"/>
      <c r="F4076" s="113">
        <f>(E4075+F4075)*取费表!H12</f>
        <v>181.682153209434</v>
      </c>
    </row>
    <row r="4077" customHeight="1" spans="1:6">
      <c r="A4077" s="57"/>
      <c r="B4077" s="57" t="s">
        <v>278</v>
      </c>
      <c r="C4077" s="102"/>
      <c r="D4077" s="57"/>
      <c r="E4077" s="57"/>
      <c r="F4077" s="113">
        <f>E4075+F4075+F4076</f>
        <v>6237.75392685723</v>
      </c>
    </row>
    <row r="4078" customHeight="1" spans="1:6">
      <c r="A4078" s="57"/>
      <c r="B4078" s="57"/>
      <c r="C4078" s="102"/>
      <c r="D4078" s="57"/>
      <c r="E4078" s="57"/>
      <c r="F4078" s="113"/>
    </row>
    <row r="4079" customHeight="1" spans="1:6">
      <c r="A4079" s="57"/>
      <c r="B4079" s="57"/>
      <c r="C4079" s="102"/>
      <c r="D4079" s="57"/>
      <c r="E4079" s="57"/>
      <c r="F4079" s="113"/>
    </row>
    <row r="4080" customHeight="1" spans="1:6">
      <c r="A4080" s="57"/>
      <c r="B4080" s="57"/>
      <c r="C4080" s="102"/>
      <c r="D4080" s="57"/>
      <c r="E4080" s="57"/>
      <c r="F4080" s="113"/>
    </row>
    <row r="4081" customHeight="1" spans="1:6">
      <c r="A4081" s="57"/>
      <c r="B4081" s="57"/>
      <c r="C4081" s="102"/>
      <c r="D4081" s="57"/>
      <c r="E4081" s="57"/>
      <c r="F4081" s="113"/>
    </row>
    <row r="4082" customHeight="1" spans="1:6">
      <c r="A4082" s="57"/>
      <c r="B4082" s="57"/>
      <c r="C4082" s="102"/>
      <c r="D4082" s="57"/>
      <c r="E4082" s="57"/>
      <c r="F4082" s="113"/>
    </row>
    <row r="4083" customHeight="1" spans="1:6">
      <c r="A4083" s="57"/>
      <c r="B4083" s="57"/>
      <c r="C4083" s="102"/>
      <c r="D4083" s="57"/>
      <c r="E4083" s="57"/>
      <c r="F4083" s="113"/>
    </row>
    <row r="4084" customHeight="1" spans="1:6">
      <c r="A4084" s="58"/>
      <c r="B4084" s="58"/>
      <c r="C4084" s="195"/>
      <c r="D4084" s="58"/>
      <c r="E4084" s="57"/>
      <c r="F4084" s="113"/>
    </row>
    <row r="4085" customHeight="1" spans="1:12">
      <c r="A4085" s="166" t="s">
        <v>1540</v>
      </c>
      <c r="B4085" s="205"/>
      <c r="C4085" s="205"/>
      <c r="D4085" s="205"/>
      <c r="E4085" s="205"/>
      <c r="F4085" s="205"/>
      <c r="G4085" s="166" t="s">
        <v>1540</v>
      </c>
      <c r="H4085" s="205"/>
      <c r="I4085" s="205"/>
      <c r="J4085" s="205"/>
      <c r="K4085" s="205"/>
      <c r="L4085" s="205"/>
    </row>
    <row r="4086" customHeight="1" spans="1:12">
      <c r="A4086" s="205" t="s">
        <v>1572</v>
      </c>
      <c r="B4086" s="205"/>
      <c r="C4086" s="205"/>
      <c r="D4086" s="205"/>
      <c r="E4086" s="205"/>
      <c r="F4086" s="205"/>
      <c r="G4086" s="205" t="s">
        <v>1572</v>
      </c>
      <c r="H4086" s="205"/>
      <c r="I4086" s="205"/>
      <c r="J4086" s="205"/>
      <c r="K4086" s="205"/>
      <c r="L4086" s="205"/>
    </row>
    <row r="4087" customHeight="1" spans="1:12">
      <c r="A4087" s="190" t="s">
        <v>1573</v>
      </c>
      <c r="B4087" s="190"/>
      <c r="C4087" s="168"/>
      <c r="D4087" s="168"/>
      <c r="E4087" s="191" t="s">
        <v>1574</v>
      </c>
      <c r="F4087" s="191"/>
      <c r="G4087" s="190" t="s">
        <v>1575</v>
      </c>
      <c r="H4087" s="190"/>
      <c r="I4087" s="168"/>
      <c r="J4087" s="168"/>
      <c r="K4087" s="191" t="s">
        <v>1574</v>
      </c>
      <c r="L4087" s="191"/>
    </row>
    <row r="4088" customHeight="1" spans="1:12">
      <c r="A4088" s="197" t="s">
        <v>1576</v>
      </c>
      <c r="B4088" s="201"/>
      <c r="C4088" s="201"/>
      <c r="D4088" s="201"/>
      <c r="E4088" s="192"/>
      <c r="F4088" s="118"/>
      <c r="G4088" s="197" t="s">
        <v>1576</v>
      </c>
      <c r="H4088" s="201"/>
      <c r="I4088" s="201"/>
      <c r="J4088" s="201"/>
      <c r="K4088" s="192"/>
      <c r="L4088" s="118"/>
    </row>
    <row r="4089" customHeight="1" spans="1:12">
      <c r="A4089" s="57" t="s">
        <v>354</v>
      </c>
      <c r="B4089" s="57" t="s">
        <v>956</v>
      </c>
      <c r="C4089" s="57" t="s">
        <v>52</v>
      </c>
      <c r="D4089" s="57" t="s">
        <v>855</v>
      </c>
      <c r="E4089" s="57" t="s">
        <v>53</v>
      </c>
      <c r="F4089" s="57" t="s">
        <v>306</v>
      </c>
      <c r="G4089" s="57" t="s">
        <v>354</v>
      </c>
      <c r="H4089" s="57" t="s">
        <v>956</v>
      </c>
      <c r="I4089" s="57" t="s">
        <v>52</v>
      </c>
      <c r="J4089" s="57" t="s">
        <v>855</v>
      </c>
      <c r="K4089" s="57" t="s">
        <v>53</v>
      </c>
      <c r="L4089" s="57" t="s">
        <v>306</v>
      </c>
    </row>
    <row r="4090" customHeight="1" spans="1:12">
      <c r="A4090" s="57" t="s">
        <v>1367</v>
      </c>
      <c r="B4090" s="57" t="s">
        <v>960</v>
      </c>
      <c r="C4090" s="57"/>
      <c r="D4090" s="57"/>
      <c r="E4090" s="57"/>
      <c r="F4090" s="84">
        <f>F4091+F4101</f>
        <v>274.586277736</v>
      </c>
      <c r="G4090" s="57" t="s">
        <v>1367</v>
      </c>
      <c r="H4090" s="57" t="s">
        <v>960</v>
      </c>
      <c r="I4090" s="57"/>
      <c r="J4090" s="57"/>
      <c r="K4090" s="57"/>
      <c r="L4090" s="84">
        <f>L4091+L4101</f>
        <v>626.1276</v>
      </c>
    </row>
    <row r="4091" customHeight="1" spans="1:12">
      <c r="A4091" s="57" t="s">
        <v>59</v>
      </c>
      <c r="B4091" s="57" t="s">
        <v>957</v>
      </c>
      <c r="C4091" s="57"/>
      <c r="D4091" s="57"/>
      <c r="E4091" s="57"/>
      <c r="F4091" s="84">
        <f>F4092+F4095+F4099</f>
        <v>262.009807</v>
      </c>
      <c r="G4091" s="57" t="s">
        <v>59</v>
      </c>
      <c r="H4091" s="57" t="s">
        <v>957</v>
      </c>
      <c r="I4091" s="57"/>
      <c r="J4091" s="57"/>
      <c r="K4091" s="57"/>
      <c r="L4091" s="84">
        <f>L4092+L4095+L4099</f>
        <v>597.45</v>
      </c>
    </row>
    <row r="4092" customHeight="1" spans="1:12">
      <c r="A4092" s="57">
        <v>1</v>
      </c>
      <c r="B4092" s="57" t="s">
        <v>964</v>
      </c>
      <c r="C4092" s="57" t="s">
        <v>965</v>
      </c>
      <c r="D4092" s="113"/>
      <c r="E4092" s="92">
        <f>SUM(E4093:E4094)</f>
        <v>42</v>
      </c>
      <c r="F4092" s="113">
        <f>SUM(F4093:F4094)</f>
        <v>242.34</v>
      </c>
      <c r="G4092" s="57">
        <v>1</v>
      </c>
      <c r="H4092" s="57" t="s">
        <v>964</v>
      </c>
      <c r="I4092" s="57" t="s">
        <v>965</v>
      </c>
      <c r="J4092" s="113"/>
      <c r="K4092" s="92">
        <f>SUM(K4093:K4094)</f>
        <v>99</v>
      </c>
      <c r="L4092" s="113">
        <f>SUM(L4093:L4094)</f>
        <v>571.23</v>
      </c>
    </row>
    <row r="4093" customHeight="1" spans="1:12">
      <c r="A4093" s="57"/>
      <c r="B4093" s="57" t="s">
        <v>966</v>
      </c>
      <c r="C4093" s="57" t="s">
        <v>965</v>
      </c>
      <c r="D4093" s="113"/>
      <c r="E4093" s="92"/>
      <c r="F4093" s="113">
        <f t="shared" ref="F4093:F4097" si="425">D4093*E4093</f>
        <v>0</v>
      </c>
      <c r="G4093" s="57"/>
      <c r="H4093" s="57" t="s">
        <v>966</v>
      </c>
      <c r="I4093" s="57" t="s">
        <v>965</v>
      </c>
      <c r="J4093" s="113"/>
      <c r="K4093" s="92"/>
      <c r="L4093" s="113">
        <f t="shared" ref="L4093:L4097" si="426">J4093*K4093</f>
        <v>0</v>
      </c>
    </row>
    <row r="4094" customHeight="1" spans="1:12">
      <c r="A4094" s="57"/>
      <c r="B4094" s="57" t="s">
        <v>968</v>
      </c>
      <c r="C4094" s="57" t="s">
        <v>965</v>
      </c>
      <c r="D4094" s="113">
        <f>D4056</f>
        <v>5.77</v>
      </c>
      <c r="E4094" s="92">
        <v>42</v>
      </c>
      <c r="F4094" s="113">
        <f t="shared" si="425"/>
        <v>242.34</v>
      </c>
      <c r="G4094" s="57"/>
      <c r="H4094" s="57" t="s">
        <v>968</v>
      </c>
      <c r="I4094" s="57" t="s">
        <v>965</v>
      </c>
      <c r="J4094" s="113">
        <f>D4094</f>
        <v>5.77</v>
      </c>
      <c r="K4094" s="92">
        <f>90*0.9+180*0.1</f>
        <v>99</v>
      </c>
      <c r="L4094" s="113">
        <f t="shared" si="426"/>
        <v>571.23</v>
      </c>
    </row>
    <row r="4095" customHeight="1" spans="1:12">
      <c r="A4095" s="57">
        <v>2</v>
      </c>
      <c r="B4095" s="57" t="s">
        <v>1219</v>
      </c>
      <c r="C4095" s="248"/>
      <c r="D4095" s="57"/>
      <c r="E4095" s="57"/>
      <c r="F4095" s="113">
        <f>SUM(F4096:F4098)</f>
        <v>19.669807</v>
      </c>
      <c r="G4095" s="57">
        <v>2</v>
      </c>
      <c r="H4095" s="57" t="s">
        <v>1219</v>
      </c>
      <c r="I4095" s="248"/>
      <c r="J4095" s="57"/>
      <c r="K4095" s="57"/>
      <c r="L4095" s="113">
        <f>SUM(L4096:L4098)</f>
        <v>26.22</v>
      </c>
    </row>
    <row r="4096" customHeight="1" spans="1:12">
      <c r="A4096" s="57"/>
      <c r="B4096" s="370" t="s">
        <v>1577</v>
      </c>
      <c r="C4096" s="57" t="s">
        <v>175</v>
      </c>
      <c r="D4096" s="113">
        <f>9.01</f>
        <v>9.01</v>
      </c>
      <c r="E4096" s="57">
        <v>102</v>
      </c>
      <c r="F4096" s="113"/>
      <c r="G4096" s="57"/>
      <c r="H4096" s="370" t="s">
        <v>1577</v>
      </c>
      <c r="I4096" s="57" t="s">
        <v>175</v>
      </c>
      <c r="J4096" s="113">
        <f>9.01</f>
        <v>9.01</v>
      </c>
      <c r="K4096" s="57">
        <v>102</v>
      </c>
      <c r="L4096" s="113"/>
    </row>
    <row r="4097" customHeight="1" spans="1:12">
      <c r="A4097" s="57"/>
      <c r="B4097" s="57" t="s">
        <v>1022</v>
      </c>
      <c r="C4097" s="57" t="s">
        <v>1554</v>
      </c>
      <c r="D4097" s="92">
        <f>材料预算价!K14</f>
        <v>4.37</v>
      </c>
      <c r="E4097" s="57">
        <f>材料预算价!K14</f>
        <v>4.37</v>
      </c>
      <c r="F4097" s="113">
        <f t="shared" si="425"/>
        <v>19.0969</v>
      </c>
      <c r="G4097" s="57"/>
      <c r="H4097" s="57" t="s">
        <v>1022</v>
      </c>
      <c r="I4097" s="57" t="s">
        <v>1554</v>
      </c>
      <c r="J4097" s="92">
        <f>D4097</f>
        <v>4.37</v>
      </c>
      <c r="K4097" s="57">
        <v>6</v>
      </c>
      <c r="L4097" s="113">
        <f t="shared" si="426"/>
        <v>26.22</v>
      </c>
    </row>
    <row r="4098" customHeight="1" spans="1:12">
      <c r="A4098" s="57"/>
      <c r="B4098" s="57" t="s">
        <v>1248</v>
      </c>
      <c r="C4098" s="57" t="s">
        <v>423</v>
      </c>
      <c r="D4098" s="113">
        <f>SUM(F4096:F4097)</f>
        <v>19.0969</v>
      </c>
      <c r="E4098" s="57">
        <v>3</v>
      </c>
      <c r="F4098" s="113">
        <f>D4098*E4098/100</f>
        <v>0.572907</v>
      </c>
      <c r="G4098" s="57"/>
      <c r="H4098" s="57" t="s">
        <v>1248</v>
      </c>
      <c r="I4098" s="57" t="s">
        <v>423</v>
      </c>
      <c r="J4098" s="113">
        <f>SUM(L4096:L4097)</f>
        <v>26.22</v>
      </c>
      <c r="K4098" s="57"/>
      <c r="L4098" s="113">
        <f>J4098*K4098/100</f>
        <v>0</v>
      </c>
    </row>
    <row r="4099" customHeight="1" spans="1:12">
      <c r="A4099" s="57">
        <v>3</v>
      </c>
      <c r="B4099" s="57" t="s">
        <v>1171</v>
      </c>
      <c r="C4099" s="57"/>
      <c r="D4099" s="57"/>
      <c r="E4099" s="57"/>
      <c r="F4099" s="113">
        <f>SUM(F4100:F4100)</f>
        <v>0</v>
      </c>
      <c r="G4099" s="57">
        <v>3</v>
      </c>
      <c r="H4099" s="57" t="s">
        <v>1171</v>
      </c>
      <c r="I4099" s="57"/>
      <c r="J4099" s="57"/>
      <c r="K4099" s="57"/>
      <c r="L4099" s="113">
        <f>SUM(L4100:L4100)</f>
        <v>0</v>
      </c>
    </row>
    <row r="4100" customHeight="1" spans="1:12">
      <c r="A4100" s="57"/>
      <c r="B4100" s="57"/>
      <c r="C4100" s="57"/>
      <c r="D4100" s="113"/>
      <c r="E4100" s="57"/>
      <c r="F4100" s="113"/>
      <c r="G4100" s="57"/>
      <c r="H4100" s="57"/>
      <c r="I4100" s="57"/>
      <c r="J4100" s="113"/>
      <c r="K4100" s="57"/>
      <c r="L4100" s="113"/>
    </row>
    <row r="4101" customHeight="1" spans="1:12">
      <c r="A4101" s="57" t="s">
        <v>70</v>
      </c>
      <c r="B4101" s="57" t="s">
        <v>977</v>
      </c>
      <c r="C4101" s="101">
        <f>取费表!C12</f>
        <v>0.048</v>
      </c>
      <c r="D4101" s="113"/>
      <c r="E4101" s="84">
        <f>F4091</f>
        <v>262.009807</v>
      </c>
      <c r="F4101" s="113">
        <f t="shared" ref="F4101:F4104" si="427">E4101*C4101</f>
        <v>12.576470736</v>
      </c>
      <c r="G4101" s="57" t="s">
        <v>70</v>
      </c>
      <c r="H4101" s="57" t="s">
        <v>977</v>
      </c>
      <c r="I4101" s="101">
        <f>取费表!C4</f>
        <v>0.048</v>
      </c>
      <c r="J4101" s="113"/>
      <c r="K4101" s="84">
        <f>L4091</f>
        <v>597.45</v>
      </c>
      <c r="L4101" s="113">
        <f t="shared" ref="L4101:L4104" si="428">K4101*I4101</f>
        <v>28.6776</v>
      </c>
    </row>
    <row r="4102" customHeight="1" spans="1:12">
      <c r="A4102" s="57" t="s">
        <v>979</v>
      </c>
      <c r="B4102" s="57" t="s">
        <v>973</v>
      </c>
      <c r="C4102" s="102">
        <f>取费表!E12</f>
        <v>0.0725</v>
      </c>
      <c r="D4102" s="113"/>
      <c r="E4102" s="88">
        <f>F4090</f>
        <v>274.586277736</v>
      </c>
      <c r="F4102" s="113">
        <f t="shared" si="427"/>
        <v>19.90750513586</v>
      </c>
      <c r="G4102" s="57" t="s">
        <v>979</v>
      </c>
      <c r="H4102" s="57" t="s">
        <v>973</v>
      </c>
      <c r="I4102" s="102">
        <f>取费表!E4</f>
        <v>0.04</v>
      </c>
      <c r="J4102" s="113"/>
      <c r="K4102" s="88">
        <f>L4090</f>
        <v>626.1276</v>
      </c>
      <c r="L4102" s="113">
        <f t="shared" si="428"/>
        <v>25.045104</v>
      </c>
    </row>
    <row r="4103" customHeight="1" spans="1:12">
      <c r="A4103" s="57" t="s">
        <v>162</v>
      </c>
      <c r="B4103" s="57" t="s">
        <v>980</v>
      </c>
      <c r="C4103" s="352">
        <f>取费表!F12</f>
        <v>0.05</v>
      </c>
      <c r="D4103" s="113"/>
      <c r="E4103" s="88">
        <f>F4102+F4090</f>
        <v>294.49378287186</v>
      </c>
      <c r="F4103" s="113">
        <f t="shared" si="427"/>
        <v>14.724689143593</v>
      </c>
      <c r="G4103" s="57" t="s">
        <v>162</v>
      </c>
      <c r="H4103" s="57" t="s">
        <v>980</v>
      </c>
      <c r="I4103" s="352">
        <f>取费表!F4</f>
        <v>0.05</v>
      </c>
      <c r="J4103" s="113"/>
      <c r="K4103" s="88">
        <f>L4102+L4090</f>
        <v>651.172704</v>
      </c>
      <c r="L4103" s="113">
        <f t="shared" si="428"/>
        <v>32.5586352</v>
      </c>
    </row>
    <row r="4104" customHeight="1" spans="1:12">
      <c r="A4104" s="57" t="s">
        <v>327</v>
      </c>
      <c r="B4104" s="57" t="s">
        <v>976</v>
      </c>
      <c r="C4104" s="102">
        <f>取费表!G12</f>
        <v>0.09</v>
      </c>
      <c r="D4104" s="57"/>
      <c r="E4104" s="84">
        <f>F4103+F4102+F4090</f>
        <v>309.218472015453</v>
      </c>
      <c r="F4104" s="113">
        <f t="shared" si="427"/>
        <v>27.8296624813908</v>
      </c>
      <c r="G4104" s="57" t="s">
        <v>327</v>
      </c>
      <c r="H4104" s="57" t="s">
        <v>976</v>
      </c>
      <c r="I4104" s="102">
        <f>取费表!G4</f>
        <v>0.09</v>
      </c>
      <c r="J4104" s="57"/>
      <c r="K4104" s="84">
        <f>L4103+L4102+L4090</f>
        <v>683.7313392</v>
      </c>
      <c r="L4104" s="113">
        <f t="shared" si="428"/>
        <v>61.535820528</v>
      </c>
    </row>
    <row r="4105" customHeight="1" spans="1:12">
      <c r="A4105" s="57"/>
      <c r="B4105" s="57" t="s">
        <v>984</v>
      </c>
      <c r="C4105" s="102"/>
      <c r="D4105" s="57"/>
      <c r="E4105" s="84"/>
      <c r="F4105" s="113">
        <f>(E4104+F4104)*取费表!H12</f>
        <v>10.1114440349053</v>
      </c>
      <c r="G4105" s="57"/>
      <c r="H4105" s="57" t="s">
        <v>984</v>
      </c>
      <c r="I4105" s="102"/>
      <c r="J4105" s="57"/>
      <c r="K4105" s="84"/>
      <c r="L4105" s="113">
        <f>(K4104+L4104)*取费表!O12</f>
        <v>0</v>
      </c>
    </row>
    <row r="4106" customHeight="1" spans="1:12">
      <c r="A4106" s="57"/>
      <c r="B4106" s="57" t="s">
        <v>278</v>
      </c>
      <c r="C4106" s="57"/>
      <c r="D4106" s="57"/>
      <c r="E4106" s="57"/>
      <c r="F4106" s="113">
        <f>F4104+E4104+F4105</f>
        <v>347.159578531749</v>
      </c>
      <c r="G4106" s="57"/>
      <c r="H4106" s="57" t="s">
        <v>278</v>
      </c>
      <c r="I4106" s="57"/>
      <c r="J4106" s="57"/>
      <c r="K4106" s="57"/>
      <c r="L4106" s="113">
        <f>L4104+K4104+L4105</f>
        <v>745.267159728</v>
      </c>
    </row>
    <row r="4107" customHeight="1" spans="1:12">
      <c r="A4107" s="57"/>
      <c r="B4107" s="57"/>
      <c r="C4107" s="57"/>
      <c r="D4107" s="57"/>
      <c r="E4107" s="57"/>
      <c r="F4107" s="113"/>
      <c r="G4107" s="57"/>
      <c r="H4107" s="57"/>
      <c r="I4107" s="57"/>
      <c r="J4107" s="57"/>
      <c r="K4107" s="57"/>
      <c r="L4107" s="113"/>
    </row>
    <row r="4108" customHeight="1" spans="1:12">
      <c r="A4108" s="57"/>
      <c r="B4108" s="57"/>
      <c r="C4108" s="57"/>
      <c r="D4108" s="57"/>
      <c r="E4108" s="57"/>
      <c r="F4108" s="113"/>
      <c r="G4108" s="57"/>
      <c r="H4108" s="57"/>
      <c r="I4108" s="57"/>
      <c r="J4108" s="57"/>
      <c r="K4108" s="57"/>
      <c r="L4108" s="113"/>
    </row>
    <row r="4109" customHeight="1" spans="1:12">
      <c r="A4109" s="57"/>
      <c r="B4109" s="57"/>
      <c r="C4109" s="57"/>
      <c r="D4109" s="57"/>
      <c r="E4109" s="57"/>
      <c r="F4109" s="113"/>
      <c r="G4109" s="57"/>
      <c r="H4109" s="57"/>
      <c r="I4109" s="57"/>
      <c r="J4109" s="57"/>
      <c r="K4109" s="57"/>
      <c r="L4109" s="113"/>
    </row>
    <row r="4110" customHeight="1" spans="1:12">
      <c r="A4110" s="57"/>
      <c r="B4110" s="57"/>
      <c r="C4110" s="57"/>
      <c r="D4110" s="57"/>
      <c r="E4110" s="57"/>
      <c r="F4110" s="113"/>
      <c r="G4110" s="57"/>
      <c r="H4110" s="57"/>
      <c r="I4110" s="57"/>
      <c r="J4110" s="57"/>
      <c r="K4110" s="57"/>
      <c r="L4110" s="113"/>
    </row>
    <row r="4111" customHeight="1" spans="1:12">
      <c r="A4111" s="57"/>
      <c r="B4111" s="57"/>
      <c r="C4111" s="57"/>
      <c r="D4111" s="57"/>
      <c r="E4111" s="57"/>
      <c r="F4111" s="113"/>
      <c r="G4111" s="57"/>
      <c r="H4111" s="57"/>
      <c r="I4111" s="57"/>
      <c r="J4111" s="57"/>
      <c r="K4111" s="57"/>
      <c r="L4111" s="113"/>
    </row>
    <row r="4112" customHeight="1" spans="1:12">
      <c r="A4112" s="57"/>
      <c r="B4112" s="57"/>
      <c r="C4112" s="57"/>
      <c r="D4112" s="57"/>
      <c r="E4112" s="57"/>
      <c r="F4112" s="113"/>
      <c r="G4112" s="57"/>
      <c r="H4112" s="57"/>
      <c r="I4112" s="57"/>
      <c r="J4112" s="57"/>
      <c r="K4112" s="57"/>
      <c r="L4112" s="113"/>
    </row>
    <row r="4113" customHeight="1" spans="1:12">
      <c r="A4113" s="57"/>
      <c r="B4113" s="57"/>
      <c r="C4113" s="57"/>
      <c r="D4113" s="57"/>
      <c r="E4113" s="57"/>
      <c r="F4113" s="113"/>
      <c r="G4113" s="57"/>
      <c r="H4113" s="57"/>
      <c r="I4113" s="57"/>
      <c r="J4113" s="57"/>
      <c r="K4113" s="57"/>
      <c r="L4113" s="113"/>
    </row>
    <row r="4114" customHeight="1" spans="1:12">
      <c r="A4114" s="57"/>
      <c r="B4114" s="57"/>
      <c r="C4114" s="57"/>
      <c r="D4114" s="57"/>
      <c r="E4114" s="57"/>
      <c r="F4114" s="113"/>
      <c r="G4114" s="57"/>
      <c r="H4114" s="57"/>
      <c r="I4114" s="57"/>
      <c r="J4114" s="57"/>
      <c r="K4114" s="57"/>
      <c r="L4114" s="113"/>
    </row>
    <row r="4115" customHeight="1" spans="1:12">
      <c r="A4115" s="57"/>
      <c r="B4115" s="57"/>
      <c r="C4115" s="57"/>
      <c r="D4115" s="57"/>
      <c r="E4115" s="57"/>
      <c r="F4115" s="113"/>
      <c r="G4115" s="57"/>
      <c r="H4115" s="57"/>
      <c r="I4115" s="57"/>
      <c r="J4115" s="57"/>
      <c r="K4115" s="57"/>
      <c r="L4115" s="113"/>
    </row>
    <row r="4116" customHeight="1" spans="1:12">
      <c r="A4116" s="57"/>
      <c r="B4116" s="57"/>
      <c r="C4116" s="57"/>
      <c r="D4116" s="57"/>
      <c r="E4116" s="57"/>
      <c r="F4116" s="113"/>
      <c r="G4116" s="57"/>
      <c r="H4116" s="57"/>
      <c r="I4116" s="57"/>
      <c r="J4116" s="57"/>
      <c r="K4116" s="57"/>
      <c r="L4116" s="113"/>
    </row>
    <row r="4117" customHeight="1" spans="1:12">
      <c r="A4117" s="57"/>
      <c r="B4117" s="57"/>
      <c r="C4117" s="57"/>
      <c r="D4117" s="57"/>
      <c r="E4117" s="57"/>
      <c r="F4117" s="113"/>
      <c r="G4117" s="57"/>
      <c r="H4117" s="57"/>
      <c r="I4117" s="57"/>
      <c r="J4117" s="57"/>
      <c r="K4117" s="57"/>
      <c r="L4117" s="113"/>
    </row>
    <row r="4118" customHeight="1" spans="1:12">
      <c r="A4118" s="57"/>
      <c r="B4118" s="57"/>
      <c r="C4118" s="57"/>
      <c r="D4118" s="57"/>
      <c r="E4118" s="57"/>
      <c r="F4118" s="113"/>
      <c r="G4118" s="57"/>
      <c r="H4118" s="57"/>
      <c r="I4118" s="57"/>
      <c r="J4118" s="57"/>
      <c r="K4118" s="57"/>
      <c r="L4118" s="113"/>
    </row>
    <row r="4119" customHeight="1" spans="1:12">
      <c r="A4119" s="57"/>
      <c r="B4119" s="57"/>
      <c r="C4119" s="57"/>
      <c r="D4119" s="57"/>
      <c r="E4119" s="57"/>
      <c r="F4119" s="113"/>
      <c r="G4119" s="57"/>
      <c r="H4119" s="57"/>
      <c r="I4119" s="57"/>
      <c r="J4119" s="57"/>
      <c r="K4119" s="57"/>
      <c r="L4119" s="113"/>
    </row>
    <row r="4120" customHeight="1" spans="1:12">
      <c r="A4120" s="57"/>
      <c r="B4120" s="57"/>
      <c r="C4120" s="57"/>
      <c r="D4120" s="57"/>
      <c r="E4120" s="57"/>
      <c r="F4120" s="113"/>
      <c r="G4120" s="57"/>
      <c r="H4120" s="57"/>
      <c r="I4120" s="57"/>
      <c r="J4120" s="57"/>
      <c r="K4120" s="57"/>
      <c r="L4120" s="113"/>
    </row>
    <row r="4121" customHeight="1" spans="1:12">
      <c r="A4121" s="57"/>
      <c r="B4121" s="57"/>
      <c r="C4121" s="57"/>
      <c r="D4121" s="57"/>
      <c r="E4121" s="57"/>
      <c r="F4121" s="113"/>
      <c r="G4121" s="57"/>
      <c r="H4121" s="57"/>
      <c r="I4121" s="57"/>
      <c r="J4121" s="57"/>
      <c r="K4121" s="57"/>
      <c r="L4121" s="113"/>
    </row>
    <row r="4122" customHeight="1" spans="1:12">
      <c r="A4122" s="57"/>
      <c r="B4122" s="57"/>
      <c r="C4122" s="57"/>
      <c r="D4122" s="57"/>
      <c r="E4122" s="57"/>
      <c r="F4122" s="113"/>
      <c r="G4122" s="57"/>
      <c r="H4122" s="57"/>
      <c r="I4122" s="57"/>
      <c r="J4122" s="57"/>
      <c r="K4122" s="57"/>
      <c r="L4122" s="113"/>
    </row>
    <row r="4123" customHeight="1" spans="1:6">
      <c r="A4123" s="166" t="s">
        <v>1540</v>
      </c>
      <c r="B4123" s="205"/>
      <c r="C4123" s="205"/>
      <c r="D4123" s="205"/>
      <c r="E4123" s="205"/>
      <c r="F4123" s="205"/>
    </row>
    <row r="4124" customHeight="1" spans="1:6">
      <c r="A4124" s="205" t="s">
        <v>751</v>
      </c>
      <c r="B4124" s="205"/>
      <c r="C4124" s="205"/>
      <c r="D4124" s="205"/>
      <c r="E4124" s="205"/>
      <c r="F4124" s="205"/>
    </row>
    <row r="4125" customHeight="1" spans="1:6">
      <c r="A4125" s="190" t="s">
        <v>1578</v>
      </c>
      <c r="B4125" s="190"/>
      <c r="C4125" s="168"/>
      <c r="D4125" s="168"/>
      <c r="E4125" s="191" t="s">
        <v>1579</v>
      </c>
      <c r="F4125" s="191"/>
    </row>
    <row r="4126" customHeight="1" spans="1:6">
      <c r="A4126" s="197" t="s">
        <v>1580</v>
      </c>
      <c r="B4126" s="201"/>
      <c r="C4126" s="201"/>
      <c r="D4126" s="201"/>
      <c r="E4126" s="201"/>
      <c r="F4126" s="202"/>
    </row>
    <row r="4127" customHeight="1" spans="1:6">
      <c r="A4127" s="57" t="s">
        <v>354</v>
      </c>
      <c r="B4127" s="57" t="s">
        <v>956</v>
      </c>
      <c r="C4127" s="57" t="s">
        <v>52</v>
      </c>
      <c r="D4127" s="57" t="s">
        <v>855</v>
      </c>
      <c r="E4127" s="57" t="s">
        <v>53</v>
      </c>
      <c r="F4127" s="57" t="s">
        <v>306</v>
      </c>
    </row>
    <row r="4128" customHeight="1" spans="1:6">
      <c r="A4128" s="57" t="s">
        <v>1367</v>
      </c>
      <c r="B4128" s="57" t="s">
        <v>960</v>
      </c>
      <c r="C4128" s="57"/>
      <c r="D4128" s="57"/>
      <c r="E4128" s="57"/>
      <c r="F4128" s="84">
        <f>F4129+F4136</f>
        <v>1219.067136</v>
      </c>
    </row>
    <row r="4129" customHeight="1" spans="1:6">
      <c r="A4129" s="57" t="s">
        <v>59</v>
      </c>
      <c r="B4129" s="57" t="s">
        <v>957</v>
      </c>
      <c r="C4129" s="57"/>
      <c r="D4129" s="57"/>
      <c r="E4129" s="57"/>
      <c r="F4129" s="84">
        <f>F4130+F4133+F4135</f>
        <v>1163.232</v>
      </c>
    </row>
    <row r="4130" customHeight="1" spans="1:6">
      <c r="A4130" s="57">
        <v>1</v>
      </c>
      <c r="B4130" s="57" t="s">
        <v>964</v>
      </c>
      <c r="C4130" s="57" t="s">
        <v>965</v>
      </c>
      <c r="D4130" s="113"/>
      <c r="E4130" s="92">
        <f>SUM(E4131:E4132)</f>
        <v>144</v>
      </c>
      <c r="F4130" s="113">
        <f>SUM(F4131:F4132)</f>
        <v>830.88</v>
      </c>
    </row>
    <row r="4131" customHeight="1" spans="1:6">
      <c r="A4131" s="57"/>
      <c r="B4131" s="57" t="s">
        <v>966</v>
      </c>
      <c r="C4131" s="57" t="s">
        <v>965</v>
      </c>
      <c r="D4131" s="113"/>
      <c r="E4131" s="92"/>
      <c r="F4131" s="113">
        <f>D4131*E4131</f>
        <v>0</v>
      </c>
    </row>
    <row r="4132" customHeight="1" spans="1:6">
      <c r="A4132" s="57"/>
      <c r="B4132" s="57" t="s">
        <v>968</v>
      </c>
      <c r="C4132" s="57" t="s">
        <v>965</v>
      </c>
      <c r="D4132" s="113">
        <f>D4094</f>
        <v>5.77</v>
      </c>
      <c r="E4132" s="92">
        <v>144</v>
      </c>
      <c r="F4132" s="113">
        <f>D4132*E4132</f>
        <v>830.88</v>
      </c>
    </row>
    <row r="4133" customHeight="1" spans="1:6">
      <c r="A4133" s="57">
        <v>2</v>
      </c>
      <c r="B4133" s="57" t="s">
        <v>1219</v>
      </c>
      <c r="C4133" s="248"/>
      <c r="D4133" s="57"/>
      <c r="E4133" s="57"/>
      <c r="F4133" s="113">
        <f>SUM(F4134:F4134)</f>
        <v>332.352</v>
      </c>
    </row>
    <row r="4134" customHeight="1" spans="1:6">
      <c r="A4134" s="57"/>
      <c r="B4134" s="57" t="s">
        <v>969</v>
      </c>
      <c r="C4134" s="352">
        <v>0.4</v>
      </c>
      <c r="D4134" s="113"/>
      <c r="E4134" s="57"/>
      <c r="F4134" s="113">
        <f>F4130*C4134</f>
        <v>332.352</v>
      </c>
    </row>
    <row r="4135" customHeight="1" spans="1:6">
      <c r="A4135" s="57">
        <v>3</v>
      </c>
      <c r="B4135" s="57" t="s">
        <v>1171</v>
      </c>
      <c r="C4135" s="57"/>
      <c r="D4135" s="57"/>
      <c r="E4135" s="57"/>
      <c r="F4135" s="113"/>
    </row>
    <row r="4136" customHeight="1" spans="1:6">
      <c r="A4136" s="57" t="s">
        <v>70</v>
      </c>
      <c r="B4136" s="57" t="s">
        <v>977</v>
      </c>
      <c r="C4136" s="101">
        <f t="shared" ref="C4136:C4139" si="429">C4101</f>
        <v>0.048</v>
      </c>
      <c r="D4136" s="113"/>
      <c r="E4136" s="84">
        <f>F4129</f>
        <v>1163.232</v>
      </c>
      <c r="F4136" s="113">
        <f t="shared" ref="F4136:F4139" si="430">E4136*C4136</f>
        <v>55.835136</v>
      </c>
    </row>
    <row r="4137" customHeight="1" spans="1:6">
      <c r="A4137" s="57" t="s">
        <v>979</v>
      </c>
      <c r="B4137" s="57" t="s">
        <v>973</v>
      </c>
      <c r="C4137" s="102">
        <f t="shared" si="429"/>
        <v>0.0725</v>
      </c>
      <c r="D4137" s="113"/>
      <c r="E4137" s="88">
        <f>F4128</f>
        <v>1219.067136</v>
      </c>
      <c r="F4137" s="113">
        <f t="shared" si="430"/>
        <v>88.38236736</v>
      </c>
    </row>
    <row r="4138" customHeight="1" spans="1:6">
      <c r="A4138" s="57" t="s">
        <v>162</v>
      </c>
      <c r="B4138" s="57" t="s">
        <v>980</v>
      </c>
      <c r="C4138" s="352">
        <f t="shared" si="429"/>
        <v>0.05</v>
      </c>
      <c r="D4138" s="113"/>
      <c r="E4138" s="88">
        <f>F4137+F4128</f>
        <v>1307.44950336</v>
      </c>
      <c r="F4138" s="113">
        <f t="shared" si="430"/>
        <v>65.372475168</v>
      </c>
    </row>
    <row r="4139" customHeight="1" spans="1:6">
      <c r="A4139" s="57" t="s">
        <v>327</v>
      </c>
      <c r="B4139" s="57" t="s">
        <v>976</v>
      </c>
      <c r="C4139" s="102">
        <f t="shared" si="429"/>
        <v>0.09</v>
      </c>
      <c r="D4139" s="57"/>
      <c r="E4139" s="84">
        <f>F4138+F4137+F4128</f>
        <v>1372.821978528</v>
      </c>
      <c r="F4139" s="113">
        <f t="shared" si="430"/>
        <v>123.55397806752</v>
      </c>
    </row>
    <row r="4140" customHeight="1" spans="1:6">
      <c r="A4140" s="57"/>
      <c r="B4140" s="57" t="s">
        <v>984</v>
      </c>
      <c r="C4140" s="102"/>
      <c r="D4140" s="57"/>
      <c r="E4140" s="84"/>
      <c r="F4140" s="113">
        <f>(E4139+F4139)*0.03</f>
        <v>44.8912786978656</v>
      </c>
    </row>
    <row r="4141" customHeight="1" spans="1:6">
      <c r="A4141" s="57"/>
      <c r="B4141" s="57" t="s">
        <v>278</v>
      </c>
      <c r="C4141" s="57"/>
      <c r="D4141" s="57"/>
      <c r="E4141" s="57"/>
      <c r="F4141" s="113">
        <f>F4139+E4139+F4140</f>
        <v>1541.26723529339</v>
      </c>
    </row>
    <row r="4142" customHeight="1" spans="1:6">
      <c r="A4142" s="166" t="s">
        <v>1540</v>
      </c>
      <c r="B4142" s="205"/>
      <c r="C4142" s="205"/>
      <c r="D4142" s="205"/>
      <c r="E4142" s="205"/>
      <c r="F4142" s="205"/>
    </row>
    <row r="4143" customHeight="1" spans="1:6">
      <c r="A4143" s="205" t="s">
        <v>752</v>
      </c>
      <c r="B4143" s="205"/>
      <c r="C4143" s="205"/>
      <c r="D4143" s="205"/>
      <c r="E4143" s="205"/>
      <c r="F4143" s="205"/>
    </row>
    <row r="4144" customHeight="1" spans="1:6">
      <c r="A4144" s="190" t="s">
        <v>1581</v>
      </c>
      <c r="B4144" s="190"/>
      <c r="C4144" s="168"/>
      <c r="D4144" s="168"/>
      <c r="E4144" s="191" t="s">
        <v>1579</v>
      </c>
      <c r="F4144" s="191"/>
    </row>
    <row r="4145" customHeight="1" spans="1:6">
      <c r="A4145" s="197" t="s">
        <v>1580</v>
      </c>
      <c r="B4145" s="201"/>
      <c r="C4145" s="201"/>
      <c r="D4145" s="201"/>
      <c r="E4145" s="201"/>
      <c r="F4145" s="202"/>
    </row>
    <row r="4146" customHeight="1" spans="1:6">
      <c r="A4146" s="57" t="s">
        <v>354</v>
      </c>
      <c r="B4146" s="57" t="s">
        <v>956</v>
      </c>
      <c r="C4146" s="57" t="s">
        <v>52</v>
      </c>
      <c r="D4146" s="57" t="s">
        <v>855</v>
      </c>
      <c r="E4146" s="57" t="s">
        <v>53</v>
      </c>
      <c r="F4146" s="57" t="s">
        <v>306</v>
      </c>
    </row>
    <row r="4147" customHeight="1" spans="1:6">
      <c r="A4147" s="57" t="s">
        <v>1367</v>
      </c>
      <c r="B4147" s="57" t="s">
        <v>960</v>
      </c>
      <c r="C4147" s="57"/>
      <c r="D4147" s="57"/>
      <c r="E4147" s="57"/>
      <c r="F4147" s="84">
        <f>F4148+F4155</f>
        <v>880.437376</v>
      </c>
    </row>
    <row r="4148" customHeight="1" spans="1:6">
      <c r="A4148" s="57" t="s">
        <v>59</v>
      </c>
      <c r="B4148" s="57" t="s">
        <v>957</v>
      </c>
      <c r="C4148" s="57"/>
      <c r="D4148" s="57"/>
      <c r="E4148" s="57"/>
      <c r="F4148" s="84">
        <f>F4149+F4152+F4154</f>
        <v>840.112</v>
      </c>
    </row>
    <row r="4149" customHeight="1" spans="1:6">
      <c r="A4149" s="57">
        <v>1</v>
      </c>
      <c r="B4149" s="57" t="s">
        <v>964</v>
      </c>
      <c r="C4149" s="57" t="s">
        <v>965</v>
      </c>
      <c r="D4149" s="113"/>
      <c r="E4149" s="92">
        <f>SUM(E4150:E4151)</f>
        <v>112</v>
      </c>
      <c r="F4149" s="113">
        <f>SUM(F4150:F4151)</f>
        <v>646.24</v>
      </c>
    </row>
    <row r="4150" customHeight="1" spans="1:6">
      <c r="A4150" s="57"/>
      <c r="B4150" s="57" t="s">
        <v>966</v>
      </c>
      <c r="C4150" s="57" t="s">
        <v>965</v>
      </c>
      <c r="D4150" s="113"/>
      <c r="E4150" s="92"/>
      <c r="F4150" s="113">
        <f>D4150*E4150</f>
        <v>0</v>
      </c>
    </row>
    <row r="4151" customHeight="1" spans="1:6">
      <c r="A4151" s="57"/>
      <c r="B4151" s="57" t="s">
        <v>968</v>
      </c>
      <c r="C4151" s="57" t="s">
        <v>965</v>
      </c>
      <c r="D4151" s="113">
        <f>D4132</f>
        <v>5.77</v>
      </c>
      <c r="E4151" s="92">
        <v>112</v>
      </c>
      <c r="F4151" s="113">
        <f>D4151*E4151</f>
        <v>646.24</v>
      </c>
    </row>
    <row r="4152" customHeight="1" spans="1:6">
      <c r="A4152" s="57">
        <v>2</v>
      </c>
      <c r="B4152" s="57" t="s">
        <v>1219</v>
      </c>
      <c r="C4152" s="248"/>
      <c r="D4152" s="57"/>
      <c r="E4152" s="57"/>
      <c r="F4152" s="113">
        <f>SUM(F4153:F4153)</f>
        <v>193.872</v>
      </c>
    </row>
    <row r="4153" customHeight="1" spans="1:6">
      <c r="A4153" s="57"/>
      <c r="B4153" s="57" t="s">
        <v>969</v>
      </c>
      <c r="C4153" s="352">
        <v>0.3</v>
      </c>
      <c r="D4153" s="113"/>
      <c r="E4153" s="57"/>
      <c r="F4153" s="113">
        <f>F4149*C4153</f>
        <v>193.872</v>
      </c>
    </row>
    <row r="4154" customHeight="1" spans="1:6">
      <c r="A4154" s="57">
        <v>3</v>
      </c>
      <c r="B4154" s="57" t="s">
        <v>1171</v>
      </c>
      <c r="C4154" s="57"/>
      <c r="D4154" s="57"/>
      <c r="E4154" s="57"/>
      <c r="F4154" s="113"/>
    </row>
    <row r="4155" customHeight="1" spans="1:6">
      <c r="A4155" s="57" t="s">
        <v>70</v>
      </c>
      <c r="B4155" s="57" t="s">
        <v>977</v>
      </c>
      <c r="C4155" s="101">
        <f t="shared" ref="C4155:C4158" si="431">C4136</f>
        <v>0.048</v>
      </c>
      <c r="D4155" s="113"/>
      <c r="E4155" s="84">
        <f>F4148</f>
        <v>840.112</v>
      </c>
      <c r="F4155" s="113">
        <f t="shared" ref="F4155:F4158" si="432">E4155*C4155</f>
        <v>40.325376</v>
      </c>
    </row>
    <row r="4156" customHeight="1" spans="1:6">
      <c r="A4156" s="57" t="s">
        <v>979</v>
      </c>
      <c r="B4156" s="57" t="s">
        <v>973</v>
      </c>
      <c r="C4156" s="102">
        <f t="shared" si="431"/>
        <v>0.0725</v>
      </c>
      <c r="D4156" s="113"/>
      <c r="E4156" s="88">
        <f>F4147</f>
        <v>880.437376</v>
      </c>
      <c r="F4156" s="113">
        <f t="shared" si="432"/>
        <v>63.83170976</v>
      </c>
    </row>
    <row r="4157" customHeight="1" spans="1:6">
      <c r="A4157" s="57" t="s">
        <v>162</v>
      </c>
      <c r="B4157" s="57" t="s">
        <v>980</v>
      </c>
      <c r="C4157" s="352">
        <f t="shared" si="431"/>
        <v>0.05</v>
      </c>
      <c r="D4157" s="113"/>
      <c r="E4157" s="88">
        <f>F4156+F4147</f>
        <v>944.26908576</v>
      </c>
      <c r="F4157" s="113">
        <f t="shared" si="432"/>
        <v>47.213454288</v>
      </c>
    </row>
    <row r="4158" customHeight="1" spans="1:6">
      <c r="A4158" s="57" t="s">
        <v>327</v>
      </c>
      <c r="B4158" s="57" t="s">
        <v>976</v>
      </c>
      <c r="C4158" s="102">
        <f t="shared" si="431"/>
        <v>0.09</v>
      </c>
      <c r="D4158" s="57"/>
      <c r="E4158" s="84">
        <f>F4157+F4156+F4147</f>
        <v>991.482540048</v>
      </c>
      <c r="F4158" s="113">
        <f t="shared" si="432"/>
        <v>89.23342860432</v>
      </c>
    </row>
    <row r="4159" customHeight="1" spans="1:6">
      <c r="A4159" s="57"/>
      <c r="B4159" s="57" t="s">
        <v>984</v>
      </c>
      <c r="C4159" s="102"/>
      <c r="D4159" s="57"/>
      <c r="E4159" s="84"/>
      <c r="F4159" s="113">
        <f>(E4158+F4158)*0.03</f>
        <v>32.4214790595696</v>
      </c>
    </row>
    <row r="4160" customHeight="1" spans="1:6">
      <c r="A4160" s="57"/>
      <c r="B4160" s="57" t="s">
        <v>278</v>
      </c>
      <c r="C4160" s="57"/>
      <c r="D4160" s="57"/>
      <c r="E4160" s="57"/>
      <c r="F4160" s="113">
        <f>F4158+E4158+F4159</f>
        <v>1113.13744771189</v>
      </c>
    </row>
    <row r="4161" ht="19.9" customHeight="1" spans="1:13">
      <c r="A4161" s="166" t="s">
        <v>1540</v>
      </c>
      <c r="B4161" s="205"/>
      <c r="C4161" s="205"/>
      <c r="D4161" s="205"/>
      <c r="E4161" s="205"/>
      <c r="F4161" s="205"/>
      <c r="H4161" s="371" t="s">
        <v>1540</v>
      </c>
      <c r="I4161" s="403"/>
      <c r="J4161" s="403"/>
      <c r="K4161" s="403"/>
      <c r="L4161" s="403"/>
      <c r="M4161" s="403"/>
    </row>
    <row r="4162" ht="19.9" customHeight="1" spans="1:13">
      <c r="A4162" s="372" t="s">
        <v>1582</v>
      </c>
      <c r="B4162" s="372"/>
      <c r="C4162" s="372"/>
      <c r="D4162" s="372"/>
      <c r="E4162" s="372"/>
      <c r="F4162" s="372"/>
      <c r="H4162" s="373" t="s">
        <v>1583</v>
      </c>
      <c r="I4162" s="373"/>
      <c r="J4162" s="373"/>
      <c r="K4162" s="373"/>
      <c r="L4162" s="373"/>
      <c r="M4162" s="373"/>
    </row>
    <row r="4163" ht="19.9" customHeight="1" spans="1:13">
      <c r="A4163" s="374" t="s">
        <v>1182</v>
      </c>
      <c r="B4163" s="375">
        <v>9012</v>
      </c>
      <c r="D4163" s="376"/>
      <c r="E4163" s="377" t="s">
        <v>1183</v>
      </c>
      <c r="F4163" s="375" t="s">
        <v>924</v>
      </c>
      <c r="H4163" s="378" t="s">
        <v>1584</v>
      </c>
      <c r="I4163" s="378"/>
      <c r="J4163" s="378"/>
      <c r="K4163" s="378"/>
      <c r="L4163" s="378"/>
      <c r="M4163" s="378"/>
    </row>
    <row r="4164" ht="19.9" customHeight="1" spans="1:13">
      <c r="A4164" s="379" t="s">
        <v>1184</v>
      </c>
      <c r="B4164" s="380"/>
      <c r="C4164" s="381"/>
      <c r="D4164" s="381"/>
      <c r="E4164" s="381"/>
      <c r="F4164" s="382"/>
      <c r="H4164" s="378" t="s">
        <v>1184</v>
      </c>
      <c r="I4164" s="378"/>
      <c r="J4164" s="378"/>
      <c r="K4164" s="378"/>
      <c r="L4164" s="378"/>
      <c r="M4164" s="378"/>
    </row>
    <row r="4165" ht="19.9" customHeight="1" spans="1:13">
      <c r="A4165" s="379" t="s">
        <v>354</v>
      </c>
      <c r="B4165" s="383" t="s">
        <v>956</v>
      </c>
      <c r="C4165" s="379" t="s">
        <v>52</v>
      </c>
      <c r="D4165" s="379" t="s">
        <v>54</v>
      </c>
      <c r="E4165" s="379" t="s">
        <v>53</v>
      </c>
      <c r="F4165" s="379" t="s">
        <v>1185</v>
      </c>
      <c r="H4165" s="384" t="s">
        <v>1585</v>
      </c>
      <c r="I4165" s="386" t="s">
        <v>1586</v>
      </c>
      <c r="J4165" s="386" t="s">
        <v>1587</v>
      </c>
      <c r="K4165" s="386" t="s">
        <v>1588</v>
      </c>
      <c r="L4165" s="386" t="s">
        <v>1589</v>
      </c>
      <c r="M4165" s="386" t="s">
        <v>1590</v>
      </c>
    </row>
    <row r="4166" ht="19.9" customHeight="1" spans="1:13">
      <c r="A4166" s="379">
        <v>1</v>
      </c>
      <c r="B4166" s="383" t="s">
        <v>960</v>
      </c>
      <c r="C4166" s="379"/>
      <c r="D4166" s="379"/>
      <c r="E4166" s="379"/>
      <c r="F4166" s="385">
        <f>F4167+F4179+F4180</f>
        <v>12390.1507051868</v>
      </c>
      <c r="H4166" s="386" t="s">
        <v>57</v>
      </c>
      <c r="I4166" s="386" t="s">
        <v>957</v>
      </c>
      <c r="J4166" s="386"/>
      <c r="K4166" s="386"/>
      <c r="L4166" s="386"/>
      <c r="M4166" s="404">
        <f>M4167+M4177+M4178</f>
        <v>15646.7896192813</v>
      </c>
    </row>
    <row r="4167" ht="19.9" customHeight="1" spans="1:13">
      <c r="A4167" s="379">
        <v>1.1</v>
      </c>
      <c r="B4167" s="383" t="s">
        <v>957</v>
      </c>
      <c r="C4167" s="379"/>
      <c r="D4167" s="379"/>
      <c r="E4167" s="379"/>
      <c r="F4167" s="385">
        <f>F4168+F4171+F4175+F4178</f>
        <v>11822.6628866286</v>
      </c>
      <c r="H4167" s="386" t="s">
        <v>1534</v>
      </c>
      <c r="I4167" s="386" t="s">
        <v>962</v>
      </c>
      <c r="J4167" s="386"/>
      <c r="K4167" s="386"/>
      <c r="L4167" s="386"/>
      <c r="M4167" s="404">
        <f>M4168+M4171+M4175</f>
        <v>14930.1427664898</v>
      </c>
    </row>
    <row r="4168" ht="19.9" customHeight="1" spans="1:13">
      <c r="A4168" s="379" t="s">
        <v>1186</v>
      </c>
      <c r="B4168" s="383" t="s">
        <v>963</v>
      </c>
      <c r="C4168" s="379"/>
      <c r="D4168" s="379"/>
      <c r="E4168" s="379"/>
      <c r="F4168" s="385">
        <f>F4169+F4170</f>
        <v>1754.657</v>
      </c>
      <c r="H4168" s="386">
        <v>1</v>
      </c>
      <c r="I4168" s="386" t="s">
        <v>963</v>
      </c>
      <c r="J4168" s="386"/>
      <c r="K4168" s="386"/>
      <c r="L4168" s="386"/>
      <c r="M4168" s="404">
        <f>M4169+M4170</f>
        <v>2696.186</v>
      </c>
    </row>
    <row r="4169" ht="19.9" customHeight="1" spans="1:13">
      <c r="A4169" s="379"/>
      <c r="B4169" s="383" t="s">
        <v>966</v>
      </c>
      <c r="C4169" s="379" t="s">
        <v>965</v>
      </c>
      <c r="D4169" s="379">
        <v>8.1</v>
      </c>
      <c r="E4169" s="387"/>
      <c r="F4169" s="385">
        <f t="shared" ref="F4169:F4173" si="433">D4169*E4169</f>
        <v>0</v>
      </c>
      <c r="H4169" s="386"/>
      <c r="I4169" s="386" t="s">
        <v>966</v>
      </c>
      <c r="J4169" s="386" t="s">
        <v>965</v>
      </c>
      <c r="K4169" s="405">
        <v>125</v>
      </c>
      <c r="L4169" s="386">
        <v>8.1</v>
      </c>
      <c r="M4169" s="404">
        <f t="shared" ref="M4169:M4172" si="434">K4169*L4169</f>
        <v>1012.5</v>
      </c>
    </row>
    <row r="4170" ht="19.9" customHeight="1" spans="1:13">
      <c r="A4170" s="379"/>
      <c r="B4170" s="383" t="s">
        <v>968</v>
      </c>
      <c r="C4170" s="379" t="s">
        <v>965</v>
      </c>
      <c r="D4170" s="379">
        <v>5.77</v>
      </c>
      <c r="E4170" s="387">
        <v>304.1</v>
      </c>
      <c r="F4170" s="385">
        <f t="shared" si="433"/>
        <v>1754.657</v>
      </c>
      <c r="H4170" s="386"/>
      <c r="I4170" s="386" t="s">
        <v>968</v>
      </c>
      <c r="J4170" s="386" t="s">
        <v>965</v>
      </c>
      <c r="K4170" s="405">
        <v>291.8</v>
      </c>
      <c r="L4170" s="386">
        <v>5.77</v>
      </c>
      <c r="M4170" s="404">
        <f t="shared" si="434"/>
        <v>1683.686</v>
      </c>
    </row>
    <row r="4171" ht="19.9" customHeight="1" spans="1:13">
      <c r="A4171" s="379" t="s">
        <v>1187</v>
      </c>
      <c r="B4171" s="383" t="s">
        <v>967</v>
      </c>
      <c r="C4171" s="379"/>
      <c r="D4171" s="379"/>
      <c r="E4171" s="379"/>
      <c r="F4171" s="385">
        <f>F4172+F4173+F4174</f>
        <v>10017.0155555556</v>
      </c>
      <c r="H4171" s="386">
        <v>2</v>
      </c>
      <c r="I4171" s="386" t="s">
        <v>967</v>
      </c>
      <c r="J4171" s="386" t="s">
        <v>423</v>
      </c>
      <c r="K4171" s="386"/>
      <c r="L4171" s="404"/>
      <c r="M4171" s="404">
        <f>M4172+M4173+M4174</f>
        <v>12173.0448717949</v>
      </c>
    </row>
    <row r="4172" ht="19.9" customHeight="1" spans="1:13">
      <c r="A4172" s="379"/>
      <c r="B4172" s="383" t="s">
        <v>1111</v>
      </c>
      <c r="C4172" s="379" t="s">
        <v>1188</v>
      </c>
      <c r="D4172" s="379">
        <v>70</v>
      </c>
      <c r="E4172" s="379">
        <v>103</v>
      </c>
      <c r="F4172" s="385">
        <f t="shared" si="433"/>
        <v>7210</v>
      </c>
      <c r="H4172" s="386"/>
      <c r="I4172" s="386" t="str">
        <f>B4173</f>
        <v>重镀高尔凡（5%铝锌合金）</v>
      </c>
      <c r="J4172" s="386" t="s">
        <v>394</v>
      </c>
      <c r="K4172" s="386">
        <v>683</v>
      </c>
      <c r="L4172" s="404">
        <f>D4173</f>
        <v>5.08547008547009</v>
      </c>
      <c r="M4172" s="404">
        <f t="shared" si="434"/>
        <v>3473.37606837607</v>
      </c>
    </row>
    <row r="4173" ht="19.9" customHeight="1" spans="1:13">
      <c r="A4173" s="379"/>
      <c r="B4173" s="383" t="s">
        <v>1591</v>
      </c>
      <c r="C4173" s="379" t="s">
        <v>1592</v>
      </c>
      <c r="D4173" s="388">
        <f>5.95/1.17</f>
        <v>5.08547008547009</v>
      </c>
      <c r="E4173" s="379">
        <v>550</v>
      </c>
      <c r="F4173" s="385">
        <f t="shared" si="433"/>
        <v>2797.00854700855</v>
      </c>
      <c r="H4173" s="386"/>
      <c r="I4173" s="386" t="s">
        <v>1111</v>
      </c>
      <c r="J4173" s="386" t="s">
        <v>62</v>
      </c>
      <c r="K4173" s="386">
        <v>116</v>
      </c>
      <c r="L4173" s="404">
        <v>70</v>
      </c>
      <c r="M4173" s="404">
        <f>L4173*K4173</f>
        <v>8120</v>
      </c>
    </row>
    <row r="4174" ht="19.9" customHeight="1" spans="1:13">
      <c r="A4174" s="379"/>
      <c r="B4174" s="383" t="s">
        <v>1163</v>
      </c>
      <c r="C4174" s="379" t="s">
        <v>423</v>
      </c>
      <c r="D4174" s="379">
        <f>F4172+F4173</f>
        <v>10007.0085470085</v>
      </c>
      <c r="E4174" s="379">
        <v>0.1</v>
      </c>
      <c r="F4174" s="385">
        <f>D4174*E4174/100</f>
        <v>10.0070085470085</v>
      </c>
      <c r="H4174" s="389"/>
      <c r="I4174" s="386" t="s">
        <v>1163</v>
      </c>
      <c r="J4174" s="386" t="s">
        <v>423</v>
      </c>
      <c r="K4174" s="386">
        <v>0.5</v>
      </c>
      <c r="L4174" s="404">
        <f>M4172+M4173</f>
        <v>11593.3760683761</v>
      </c>
      <c r="M4174" s="404">
        <f>L4174*0.05</f>
        <v>579.668803418804</v>
      </c>
    </row>
    <row r="4175" ht="19.9" customHeight="1" spans="1:13">
      <c r="A4175" s="379" t="s">
        <v>1189</v>
      </c>
      <c r="B4175" s="383" t="s">
        <v>1593</v>
      </c>
      <c r="C4175" s="379"/>
      <c r="D4175" s="379"/>
      <c r="E4175" s="379"/>
      <c r="F4175" s="385">
        <f>F4176+F4177</f>
        <v>50.9903310729956</v>
      </c>
      <c r="H4175" s="386">
        <v>3</v>
      </c>
      <c r="I4175" s="386" t="s">
        <v>974</v>
      </c>
      <c r="J4175" s="386"/>
      <c r="K4175" s="386"/>
      <c r="L4175" s="386"/>
      <c r="M4175" s="404">
        <f>M4176</f>
        <v>60.9118946948544</v>
      </c>
    </row>
    <row r="4176" ht="19.9" customHeight="1" spans="1:13">
      <c r="A4176" s="379"/>
      <c r="B4176" s="383" t="s">
        <v>1594</v>
      </c>
      <c r="C4176" s="379" t="s">
        <v>988</v>
      </c>
      <c r="D4176" s="388">
        <f>台时!D42</f>
        <v>23.7459521340247</v>
      </c>
      <c r="E4176" s="379">
        <v>0</v>
      </c>
      <c r="F4176" s="385">
        <f t="shared" ref="F4176:F4177" si="435">D4176*E4176</f>
        <v>0</v>
      </c>
      <c r="H4176" s="386"/>
      <c r="I4176" s="386" t="s">
        <v>1190</v>
      </c>
      <c r="J4176" s="386" t="s">
        <v>988</v>
      </c>
      <c r="K4176" s="386">
        <v>74.9</v>
      </c>
      <c r="L4176" s="404">
        <f>D4177</f>
        <v>0.813242919824491</v>
      </c>
      <c r="M4176" s="404">
        <f>L4176*K4176</f>
        <v>60.9118946948544</v>
      </c>
    </row>
    <row r="4177" ht="19.9" customHeight="1" spans="1:13">
      <c r="A4177" s="379"/>
      <c r="B4177" s="383" t="s">
        <v>1190</v>
      </c>
      <c r="C4177" s="379" t="s">
        <v>988</v>
      </c>
      <c r="D4177" s="388">
        <f>台时!C42</f>
        <v>0.813242919824491</v>
      </c>
      <c r="E4177" s="379">
        <v>62.7</v>
      </c>
      <c r="F4177" s="385">
        <f t="shared" si="435"/>
        <v>50.9903310729956</v>
      </c>
      <c r="H4177" s="386" t="s">
        <v>1536</v>
      </c>
      <c r="I4177" s="386" t="s">
        <v>977</v>
      </c>
      <c r="J4177" s="406">
        <f>E4179</f>
        <v>0.048</v>
      </c>
      <c r="K4177" s="386"/>
      <c r="L4177" s="386"/>
      <c r="M4177" s="404">
        <f>M4167*J4177</f>
        <v>716.646852791508</v>
      </c>
    </row>
    <row r="4178" ht="19.9" customHeight="1" spans="1:13">
      <c r="A4178" s="379"/>
      <c r="B4178" s="383"/>
      <c r="C4178" s="379"/>
      <c r="D4178" s="379"/>
      <c r="E4178" s="379"/>
      <c r="F4178" s="385"/>
      <c r="H4178" s="386" t="s">
        <v>1595</v>
      </c>
      <c r="I4178" s="386" t="s">
        <v>1191</v>
      </c>
      <c r="J4178" s="406"/>
      <c r="K4178" s="386"/>
      <c r="L4178" s="386"/>
      <c r="M4178" s="404"/>
    </row>
    <row r="4179" ht="19.9" customHeight="1" spans="1:13">
      <c r="A4179" s="379">
        <v>1.2</v>
      </c>
      <c r="B4179" s="383" t="s">
        <v>971</v>
      </c>
      <c r="C4179" s="379"/>
      <c r="D4179" s="385">
        <f>F4167</f>
        <v>11822.6628866286</v>
      </c>
      <c r="E4179" s="390">
        <f>取费表!C6</f>
        <v>0.048</v>
      </c>
      <c r="F4179" s="385">
        <f>D4179*E4179</f>
        <v>567.487818558173</v>
      </c>
      <c r="H4179" s="386" t="s">
        <v>72</v>
      </c>
      <c r="I4179" s="386" t="s">
        <v>973</v>
      </c>
      <c r="J4179" s="406">
        <f>E4181</f>
        <v>0.085</v>
      </c>
      <c r="K4179" s="386"/>
      <c r="L4179" s="386"/>
      <c r="M4179" s="404">
        <f>M4166*J4179</f>
        <v>1329.97711763891</v>
      </c>
    </row>
    <row r="4180" ht="19.9" customHeight="1" spans="1:13">
      <c r="A4180" s="379"/>
      <c r="B4180" s="383"/>
      <c r="C4180" s="379"/>
      <c r="D4180" s="385"/>
      <c r="E4180" s="390"/>
      <c r="F4180" s="385"/>
      <c r="H4180" s="386" t="s">
        <v>162</v>
      </c>
      <c r="I4180" s="386" t="s">
        <v>975</v>
      </c>
      <c r="J4180" s="407">
        <f>E4182</f>
        <v>0.07</v>
      </c>
      <c r="K4180" s="386"/>
      <c r="L4180" s="386"/>
      <c r="M4180" s="404">
        <f>(M4166+M4179)*J4180</f>
        <v>1188.37367158441</v>
      </c>
    </row>
    <row r="4181" ht="19.9" customHeight="1" spans="1:13">
      <c r="A4181" s="379">
        <v>2</v>
      </c>
      <c r="B4181" s="383" t="s">
        <v>973</v>
      </c>
      <c r="C4181" s="379"/>
      <c r="D4181" s="385">
        <f>F4166</f>
        <v>12390.1507051868</v>
      </c>
      <c r="E4181" s="390">
        <f>取费表!E6</f>
        <v>0.085</v>
      </c>
      <c r="F4181" s="385">
        <f>D4181*E4181</f>
        <v>1053.16280994088</v>
      </c>
      <c r="H4181" s="386" t="s">
        <v>214</v>
      </c>
      <c r="I4181" s="386" t="s">
        <v>1173</v>
      </c>
      <c r="J4181" s="386"/>
      <c r="K4181" s="386"/>
      <c r="L4181" s="386"/>
      <c r="M4181" s="404" t="e">
        <f>M4182+M4183</f>
        <v>#REF!</v>
      </c>
    </row>
    <row r="4182" ht="19.9" customHeight="1" spans="1:13">
      <c r="A4182" s="379">
        <v>3</v>
      </c>
      <c r="B4182" s="383" t="s">
        <v>975</v>
      </c>
      <c r="C4182" s="379"/>
      <c r="D4182" s="385">
        <f>F4166+F4181</f>
        <v>13443.3135151276</v>
      </c>
      <c r="E4182" s="390">
        <v>0.07</v>
      </c>
      <c r="F4182" s="385">
        <f>D4182*E4182</f>
        <v>941.031946058935</v>
      </c>
      <c r="H4182" s="386"/>
      <c r="I4182" s="386" t="s">
        <v>1111</v>
      </c>
      <c r="J4182" s="386" t="s">
        <v>62</v>
      </c>
      <c r="K4182" s="386">
        <v>103</v>
      </c>
      <c r="L4182" s="404">
        <f>D4184</f>
        <v>72.9672</v>
      </c>
      <c r="M4182" s="404">
        <f>K4182*L4182</f>
        <v>7515.6216</v>
      </c>
    </row>
    <row r="4183" ht="19.9" customHeight="1" spans="1:13">
      <c r="A4183" s="379">
        <v>4</v>
      </c>
      <c r="B4183" s="383" t="s">
        <v>1173</v>
      </c>
      <c r="C4183" s="379"/>
      <c r="D4183" s="379"/>
      <c r="E4183" s="379"/>
      <c r="F4183" s="385" t="e">
        <f>F4184+F4185</f>
        <v>#REF!</v>
      </c>
      <c r="H4183" s="386"/>
      <c r="I4183" s="386" t="str">
        <f>I4172</f>
        <v>重镀高尔凡（5%铝锌合金）</v>
      </c>
      <c r="J4183" s="386" t="s">
        <v>394</v>
      </c>
      <c r="K4183" s="386">
        <f>K4172</f>
        <v>683</v>
      </c>
      <c r="L4183" s="404" t="e">
        <f>D4185</f>
        <v>#REF!</v>
      </c>
      <c r="M4183" s="404" t="e">
        <f>K4183*L4183</f>
        <v>#REF!</v>
      </c>
    </row>
    <row r="4184" ht="19.9" customHeight="1" spans="1:13">
      <c r="A4184" s="379"/>
      <c r="B4184" s="383" t="s">
        <v>1111</v>
      </c>
      <c r="C4184" s="379" t="s">
        <v>1188</v>
      </c>
      <c r="D4184" s="391">
        <f>材料预算价!K9-材料预算价!L9</f>
        <v>72.9672</v>
      </c>
      <c r="E4184" s="379">
        <f>E4172</f>
        <v>103</v>
      </c>
      <c r="F4184" s="385">
        <f>D4184*E4184</f>
        <v>7515.6216</v>
      </c>
      <c r="H4184" s="386" t="s">
        <v>327</v>
      </c>
      <c r="I4184" s="386" t="s">
        <v>1596</v>
      </c>
      <c r="J4184" s="406">
        <f>E4186</f>
        <v>0.09</v>
      </c>
      <c r="K4184" s="386"/>
      <c r="L4184" s="386"/>
      <c r="M4184" s="404">
        <f>(M4166+M4179+M4180)*J4184</f>
        <v>1634.86263676541</v>
      </c>
    </row>
    <row r="4185" ht="19.9" customHeight="1" spans="1:13">
      <c r="A4185" s="379"/>
      <c r="B4185" s="383" t="s">
        <v>1591</v>
      </c>
      <c r="C4185" s="379" t="s">
        <v>1592</v>
      </c>
      <c r="D4185" s="392" t="e">
        <f>材料预算价!#REF!-新定额单价!D4173</f>
        <v>#REF!</v>
      </c>
      <c r="E4185" s="379">
        <f>E4173</f>
        <v>550</v>
      </c>
      <c r="F4185" s="385" t="e">
        <f>D4185*E4185</f>
        <v>#REF!</v>
      </c>
      <c r="H4185" s="386"/>
      <c r="I4185" s="386" t="s">
        <v>278</v>
      </c>
      <c r="J4185" s="386"/>
      <c r="K4185" s="386"/>
      <c r="L4185" s="386"/>
      <c r="M4185" s="404" t="e">
        <f>M4166+M4179+M4180+M4181+M4184</f>
        <v>#REF!</v>
      </c>
    </row>
    <row r="4186" ht="19.9" customHeight="1" spans="1:13">
      <c r="A4186" s="379">
        <v>5</v>
      </c>
      <c r="B4186" s="383" t="s">
        <v>976</v>
      </c>
      <c r="C4186" s="379"/>
      <c r="D4186" s="385" t="e">
        <f>F4166+F4181+F4183+F4182</f>
        <v>#REF!</v>
      </c>
      <c r="E4186" s="390">
        <v>0.09</v>
      </c>
      <c r="F4186" s="385" t="e">
        <f>D4186*E4186</f>
        <v>#REF!</v>
      </c>
      <c r="H4186" s="386" t="s">
        <v>328</v>
      </c>
      <c r="I4186" s="386" t="s">
        <v>1597</v>
      </c>
      <c r="J4186" s="408">
        <v>0.03</v>
      </c>
      <c r="K4186" s="409"/>
      <c r="L4186" s="409"/>
      <c r="M4186" s="410" t="e">
        <f>M4185*取费表!H6</f>
        <v>#REF!</v>
      </c>
    </row>
    <row r="4187" ht="19.9" customHeight="1" spans="1:13">
      <c r="A4187" s="379">
        <v>6</v>
      </c>
      <c r="B4187" s="383" t="s">
        <v>278</v>
      </c>
      <c r="C4187" s="379"/>
      <c r="D4187" s="379"/>
      <c r="E4187" s="379"/>
      <c r="F4187" s="385" t="e">
        <f>F4166+F4181+F4182+F4183+F4186</f>
        <v>#REF!</v>
      </c>
      <c r="H4187" s="393"/>
      <c r="I4187" s="386" t="s">
        <v>1193</v>
      </c>
      <c r="J4187" s="393"/>
      <c r="K4187" s="393"/>
      <c r="L4187" s="393"/>
      <c r="M4187" s="404" t="e">
        <f>M4185+M4186</f>
        <v>#REF!</v>
      </c>
    </row>
    <row r="4188" customHeight="1" spans="1:6">
      <c r="A4188" s="181">
        <v>7</v>
      </c>
      <c r="B4188" s="274" t="s">
        <v>1597</v>
      </c>
      <c r="C4188" s="394">
        <v>0.03</v>
      </c>
      <c r="D4188" s="181"/>
      <c r="E4188" s="181"/>
      <c r="F4188" s="182" t="e">
        <f>F4187*取费表!H6</f>
        <v>#REF!</v>
      </c>
    </row>
    <row r="4189" ht="19.9" customHeight="1" spans="1:6">
      <c r="A4189" s="379"/>
      <c r="B4189" s="383" t="s">
        <v>1193</v>
      </c>
      <c r="C4189" s="379"/>
      <c r="D4189" s="385"/>
      <c r="E4189" s="390"/>
      <c r="F4189" s="385" t="e">
        <f>F4187+F4188</f>
        <v>#REF!</v>
      </c>
    </row>
    <row r="4190" ht="19.9" customHeight="1" spans="1:6">
      <c r="A4190" s="379"/>
      <c r="B4190" s="383"/>
      <c r="C4190" s="379"/>
      <c r="D4190" s="379"/>
      <c r="E4190" s="379"/>
      <c r="F4190" s="385"/>
    </row>
    <row r="4191" ht="19.9" customHeight="1" spans="1:6">
      <c r="A4191" s="379"/>
      <c r="B4191" s="383"/>
      <c r="C4191" s="379"/>
      <c r="D4191" s="379"/>
      <c r="E4191" s="379"/>
      <c r="F4191" s="385"/>
    </row>
    <row r="4192" ht="19.9" customHeight="1" spans="1:6">
      <c r="A4192" s="379"/>
      <c r="B4192" s="383"/>
      <c r="C4192" s="379"/>
      <c r="D4192" s="379"/>
      <c r="E4192" s="379"/>
      <c r="F4192" s="385"/>
    </row>
    <row r="4193" ht="19.9" customHeight="1" spans="1:6">
      <c r="A4193" s="379"/>
      <c r="B4193" s="383"/>
      <c r="C4193" s="379"/>
      <c r="D4193" s="379"/>
      <c r="E4193" s="379"/>
      <c r="F4193" s="385"/>
    </row>
    <row r="4194" ht="19.9" customHeight="1" spans="1:6">
      <c r="A4194" s="379"/>
      <c r="B4194" s="383"/>
      <c r="C4194" s="379"/>
      <c r="D4194" s="379"/>
      <c r="E4194" s="379"/>
      <c r="F4194" s="385"/>
    </row>
    <row r="4195" ht="19.9" customHeight="1" spans="1:6">
      <c r="A4195" s="379"/>
      <c r="B4195" s="383"/>
      <c r="C4195" s="379"/>
      <c r="D4195" s="379"/>
      <c r="E4195" s="379"/>
      <c r="F4195" s="385"/>
    </row>
    <row r="4196" ht="19.9" customHeight="1" spans="1:6">
      <c r="A4196" s="379"/>
      <c r="B4196" s="383"/>
      <c r="C4196" s="379"/>
      <c r="D4196" s="379"/>
      <c r="E4196" s="379"/>
      <c r="F4196" s="385"/>
    </row>
    <row r="4197" ht="19.9" customHeight="1" spans="1:6">
      <c r="A4197" s="379"/>
      <c r="B4197" s="383"/>
      <c r="C4197" s="379"/>
      <c r="D4197" s="379"/>
      <c r="E4197" s="379"/>
      <c r="F4197" s="385"/>
    </row>
    <row r="4198" ht="19.9" customHeight="1" spans="1:6">
      <c r="A4198" s="379"/>
      <c r="B4198" s="383"/>
      <c r="C4198" s="379"/>
      <c r="D4198" s="379"/>
      <c r="E4198" s="379"/>
      <c r="F4198" s="385"/>
    </row>
    <row r="4199" customHeight="1" spans="1:6">
      <c r="A4199" s="166" t="s">
        <v>1540</v>
      </c>
      <c r="B4199" s="205"/>
      <c r="C4199" s="205"/>
      <c r="D4199" s="205"/>
      <c r="E4199" s="205"/>
      <c r="F4199" s="205"/>
    </row>
    <row r="4200" customHeight="1" spans="1:6">
      <c r="A4200" s="178" t="s">
        <v>1598</v>
      </c>
      <c r="B4200" s="178"/>
      <c r="C4200" s="178"/>
      <c r="D4200" s="178"/>
      <c r="E4200" s="178"/>
      <c r="F4200" s="178"/>
    </row>
    <row r="4201" customHeight="1" spans="1:6">
      <c r="A4201" s="395" t="s">
        <v>1599</v>
      </c>
      <c r="B4201" s="179"/>
      <c r="C4201" s="180"/>
      <c r="D4201" s="180"/>
      <c r="E4201" s="179" t="s">
        <v>1600</v>
      </c>
      <c r="F4201" s="179"/>
    </row>
    <row r="4202" customHeight="1" spans="1:6">
      <c r="A4202" s="396" t="s">
        <v>1218</v>
      </c>
      <c r="B4202" s="397"/>
      <c r="C4202" s="397"/>
      <c r="D4202" s="397"/>
      <c r="E4202" s="397"/>
      <c r="F4202" s="398"/>
    </row>
    <row r="4203" customHeight="1" spans="1:6">
      <c r="A4203" s="181" t="s">
        <v>354</v>
      </c>
      <c r="B4203" s="181" t="s">
        <v>956</v>
      </c>
      <c r="C4203" s="181" t="s">
        <v>52</v>
      </c>
      <c r="D4203" s="181" t="s">
        <v>855</v>
      </c>
      <c r="E4203" s="181" t="s">
        <v>53</v>
      </c>
      <c r="F4203" s="181" t="s">
        <v>306</v>
      </c>
    </row>
    <row r="4204" customHeight="1" spans="1:6">
      <c r="A4204" s="181" t="s">
        <v>1367</v>
      </c>
      <c r="B4204" s="181" t="s">
        <v>960</v>
      </c>
      <c r="C4204" s="181"/>
      <c r="D4204" s="181"/>
      <c r="E4204" s="181"/>
      <c r="F4204" s="182">
        <f>F4205+F4215+F4216</f>
        <v>18157.4456528121</v>
      </c>
    </row>
    <row r="4205" customHeight="1" spans="1:6">
      <c r="A4205" s="181" t="s">
        <v>59</v>
      </c>
      <c r="B4205" s="181" t="s">
        <v>957</v>
      </c>
      <c r="C4205" s="181"/>
      <c r="D4205" s="181"/>
      <c r="E4205" s="181"/>
      <c r="F4205" s="182">
        <f>F4206+F4209+F4213</f>
        <v>17325.8069206223</v>
      </c>
    </row>
    <row r="4206" customHeight="1" spans="1:6">
      <c r="A4206" s="181">
        <v>1</v>
      </c>
      <c r="B4206" s="181" t="s">
        <v>964</v>
      </c>
      <c r="C4206" s="181" t="s">
        <v>965</v>
      </c>
      <c r="D4206" s="183"/>
      <c r="E4206" s="184">
        <f>SUM(E4207:E4208)</f>
        <v>579.1</v>
      </c>
      <c r="F4206" s="183">
        <f>SUM(F4207:F4208)</f>
        <v>3799.485</v>
      </c>
    </row>
    <row r="4207" customHeight="1" spans="1:6">
      <c r="A4207" s="181"/>
      <c r="B4207" s="181" t="s">
        <v>966</v>
      </c>
      <c r="C4207" s="181" t="s">
        <v>965</v>
      </c>
      <c r="D4207" s="183">
        <f>D4169</f>
        <v>8.1</v>
      </c>
      <c r="E4207" s="184">
        <v>196.6</v>
      </c>
      <c r="F4207" s="183">
        <f t="shared" ref="F4207:F4211" si="436">D4207*E4207</f>
        <v>1592.46</v>
      </c>
    </row>
    <row r="4208" customHeight="1" spans="1:6">
      <c r="A4208" s="181"/>
      <c r="B4208" s="181" t="s">
        <v>968</v>
      </c>
      <c r="C4208" s="181" t="s">
        <v>965</v>
      </c>
      <c r="D4208" s="183">
        <f>D4170</f>
        <v>5.77</v>
      </c>
      <c r="E4208" s="184">
        <v>382.5</v>
      </c>
      <c r="F4208" s="183">
        <f t="shared" si="436"/>
        <v>2207.025</v>
      </c>
    </row>
    <row r="4209" customHeight="1" spans="1:6">
      <c r="A4209" s="181">
        <v>2</v>
      </c>
      <c r="B4209" s="181" t="s">
        <v>967</v>
      </c>
      <c r="C4209" s="181"/>
      <c r="D4209" s="399"/>
      <c r="E4209" s="399"/>
      <c r="F4209" s="399">
        <f>SUM(F4210:F4212)</f>
        <v>13462.645</v>
      </c>
    </row>
    <row r="4210" customHeight="1" spans="1:7">
      <c r="A4210" s="181"/>
      <c r="B4210" s="400" t="s">
        <v>1601</v>
      </c>
      <c r="C4210" s="181" t="s">
        <v>379</v>
      </c>
      <c r="D4210" s="399">
        <v>70</v>
      </c>
      <c r="E4210" s="399">
        <v>116</v>
      </c>
      <c r="F4210" s="399">
        <f t="shared" si="436"/>
        <v>8120</v>
      </c>
      <c r="G4210" s="216">
        <f>2*5*0.3</f>
        <v>3</v>
      </c>
    </row>
    <row r="4211" customHeight="1" spans="1:7">
      <c r="A4211" s="181"/>
      <c r="B4211" s="400" t="s">
        <v>1602</v>
      </c>
      <c r="C4211" s="181" t="s">
        <v>1603</v>
      </c>
      <c r="D4211" s="399">
        <v>5.95</v>
      </c>
      <c r="E4211" s="399">
        <f>G4212*100</f>
        <v>886.666666666667</v>
      </c>
      <c r="F4211" s="399">
        <f t="shared" si="436"/>
        <v>5275.66666666667</v>
      </c>
      <c r="G4211" s="216">
        <f>2*5*2+2*0.3*2+5*0.3*2+2*0.3*4</f>
        <v>26.6</v>
      </c>
    </row>
    <row r="4212" customHeight="1" spans="1:7">
      <c r="A4212" s="181"/>
      <c r="B4212" s="181" t="s">
        <v>1163</v>
      </c>
      <c r="C4212" s="181" t="s">
        <v>423</v>
      </c>
      <c r="D4212" s="399">
        <f>F4210+F4211</f>
        <v>13395.6666666667</v>
      </c>
      <c r="E4212" s="399">
        <v>0.5</v>
      </c>
      <c r="F4212" s="399">
        <f>D4212*E4212/100</f>
        <v>66.9783333333333</v>
      </c>
      <c r="G4212" s="401">
        <f>G4211/G4210</f>
        <v>8.86666666666667</v>
      </c>
    </row>
    <row r="4213" customHeight="1" spans="1:6">
      <c r="A4213" s="181">
        <v>3</v>
      </c>
      <c r="B4213" s="181" t="s">
        <v>974</v>
      </c>
      <c r="C4213" s="181"/>
      <c r="D4213" s="399"/>
      <c r="E4213" s="399"/>
      <c r="F4213" s="399">
        <f>F4214</f>
        <v>63.6769206222576</v>
      </c>
    </row>
    <row r="4214" customHeight="1" spans="1:6">
      <c r="A4214" s="181"/>
      <c r="B4214" s="181" t="s">
        <v>1604</v>
      </c>
      <c r="C4214" s="181" t="s">
        <v>988</v>
      </c>
      <c r="D4214" s="399">
        <f>D4177</f>
        <v>0.813242919824491</v>
      </c>
      <c r="E4214" s="399">
        <v>78.3</v>
      </c>
      <c r="F4214" s="399">
        <f>D4214*E4214</f>
        <v>63.6769206222576</v>
      </c>
    </row>
    <row r="4215" customHeight="1" spans="1:6">
      <c r="A4215" s="181" t="s">
        <v>70</v>
      </c>
      <c r="B4215" s="181" t="s">
        <v>977</v>
      </c>
      <c r="C4215" s="394">
        <v>0.048</v>
      </c>
      <c r="D4215" s="399"/>
      <c r="E4215" s="399">
        <f>F4205</f>
        <v>17325.8069206223</v>
      </c>
      <c r="F4215" s="399">
        <f t="shared" ref="F4215:F4218" si="437">E4215*C4215</f>
        <v>831.638732189868</v>
      </c>
    </row>
    <row r="4216" customHeight="1" spans="1:6">
      <c r="A4216" s="181"/>
      <c r="B4216" s="181"/>
      <c r="C4216" s="394"/>
      <c r="D4216" s="399"/>
      <c r="E4216" s="399"/>
      <c r="F4216" s="399"/>
    </row>
    <row r="4217" customHeight="1" spans="1:6">
      <c r="A4217" s="181" t="s">
        <v>979</v>
      </c>
      <c r="B4217" s="181" t="s">
        <v>973</v>
      </c>
      <c r="C4217" s="394">
        <f>E4181</f>
        <v>0.085</v>
      </c>
      <c r="D4217" s="399"/>
      <c r="E4217" s="399">
        <f>F4204</f>
        <v>18157.4456528121</v>
      </c>
      <c r="F4217" s="399">
        <f t="shared" si="437"/>
        <v>1543.38288048903</v>
      </c>
    </row>
    <row r="4218" customHeight="1" spans="1:6">
      <c r="A4218" s="181" t="s">
        <v>162</v>
      </c>
      <c r="B4218" s="181" t="s">
        <v>980</v>
      </c>
      <c r="C4218" s="394">
        <v>0.07</v>
      </c>
      <c r="D4218" s="399"/>
      <c r="E4218" s="399">
        <f>F4217+F4204</f>
        <v>19700.8285333012</v>
      </c>
      <c r="F4218" s="399">
        <f t="shared" si="437"/>
        <v>1379.05799733108</v>
      </c>
    </row>
    <row r="4219" customHeight="1" spans="1:6">
      <c r="A4219" s="181" t="s">
        <v>214</v>
      </c>
      <c r="B4219" s="181" t="s">
        <v>1173</v>
      </c>
      <c r="C4219" s="181"/>
      <c r="D4219" s="399"/>
      <c r="E4219" s="399"/>
      <c r="F4219" s="399" t="e">
        <f>F4220+F4221</f>
        <v>#REF!</v>
      </c>
    </row>
    <row r="4220" customHeight="1" spans="1:6">
      <c r="A4220" s="181"/>
      <c r="B4220" s="181" t="s">
        <v>1605</v>
      </c>
      <c r="C4220" s="181" t="s">
        <v>379</v>
      </c>
      <c r="D4220" s="399">
        <f>D4184</f>
        <v>72.9672</v>
      </c>
      <c r="E4220" s="399">
        <f>E4210</f>
        <v>116</v>
      </c>
      <c r="F4220" s="399">
        <f>E4220*D4220</f>
        <v>8464.1952</v>
      </c>
    </row>
    <row r="4221" customHeight="1" spans="1:6">
      <c r="A4221" s="181"/>
      <c r="B4221" s="400" t="s">
        <v>1602</v>
      </c>
      <c r="C4221" s="181" t="s">
        <v>1603</v>
      </c>
      <c r="D4221" s="399" t="e">
        <f>D4185</f>
        <v>#REF!</v>
      </c>
      <c r="E4221" s="399">
        <f>E4211</f>
        <v>886.666666666667</v>
      </c>
      <c r="F4221" s="399" t="e">
        <f>D4221*E4221</f>
        <v>#REF!</v>
      </c>
    </row>
    <row r="4222" customHeight="1" spans="1:6">
      <c r="A4222" s="181" t="s">
        <v>327</v>
      </c>
      <c r="B4222" s="181" t="s">
        <v>976</v>
      </c>
      <c r="C4222" s="402">
        <v>0.09</v>
      </c>
      <c r="D4222" s="399"/>
      <c r="E4222" s="182" t="e">
        <f>F4219+F4218+F4217+F4204</f>
        <v>#REF!</v>
      </c>
      <c r="F4222" s="399" t="e">
        <f>E4222*C4222</f>
        <v>#REF!</v>
      </c>
    </row>
    <row r="4223" customHeight="1" spans="1:6">
      <c r="A4223" s="181"/>
      <c r="B4223" s="181" t="s">
        <v>278</v>
      </c>
      <c r="C4223" s="181"/>
      <c r="D4223" s="399"/>
      <c r="E4223" s="399"/>
      <c r="F4223" s="399" t="e">
        <f>F4222+E4222</f>
        <v>#REF!</v>
      </c>
    </row>
    <row r="4224" customHeight="1" spans="1:6">
      <c r="A4224" s="181" t="s">
        <v>328</v>
      </c>
      <c r="B4224" s="181" t="s">
        <v>1597</v>
      </c>
      <c r="C4224" s="394">
        <v>0.03</v>
      </c>
      <c r="D4224" s="181"/>
      <c r="E4224" s="181"/>
      <c r="F4224" s="182" t="e">
        <f>F4223*取费表!H6</f>
        <v>#REF!</v>
      </c>
    </row>
    <row r="4225" customHeight="1" spans="1:6">
      <c r="A4225" s="186"/>
      <c r="B4225" s="181" t="s">
        <v>1193</v>
      </c>
      <c r="C4225" s="186"/>
      <c r="D4225" s="186"/>
      <c r="E4225" s="186"/>
      <c r="F4225" s="182" t="e">
        <f>F4223+F4224</f>
        <v>#REF!</v>
      </c>
    </row>
    <row r="4226" customHeight="1" spans="1:6">
      <c r="A4226" s="57"/>
      <c r="B4226" s="57"/>
      <c r="C4226" s="57"/>
      <c r="D4226" s="88"/>
      <c r="E4226" s="88"/>
      <c r="F4226" s="88"/>
    </row>
    <row r="4227" customHeight="1" spans="1:6">
      <c r="A4227" s="57"/>
      <c r="B4227" s="57"/>
      <c r="C4227" s="57"/>
      <c r="D4227" s="88"/>
      <c r="E4227" s="88"/>
      <c r="F4227" s="88"/>
    </row>
    <row r="4228" customHeight="1" spans="1:6">
      <c r="A4228" s="57"/>
      <c r="B4228" s="57"/>
      <c r="C4228" s="57"/>
      <c r="D4228" s="88"/>
      <c r="E4228" s="88"/>
      <c r="F4228" s="88"/>
    </row>
    <row r="4229" customHeight="1" spans="1:6">
      <c r="A4229" s="57"/>
      <c r="B4229" s="57"/>
      <c r="C4229" s="57"/>
      <c r="D4229" s="88"/>
      <c r="E4229" s="88"/>
      <c r="F4229" s="88"/>
    </row>
    <row r="4230" customHeight="1" spans="1:6">
      <c r="A4230" s="57"/>
      <c r="B4230" s="57"/>
      <c r="C4230" s="57"/>
      <c r="D4230" s="88"/>
      <c r="E4230" s="88"/>
      <c r="F4230" s="88"/>
    </row>
    <row r="4231" customHeight="1" spans="1:6">
      <c r="A4231" s="57"/>
      <c r="B4231" s="57"/>
      <c r="C4231" s="57"/>
      <c r="D4231" s="88"/>
      <c r="E4231" s="88"/>
      <c r="F4231" s="88"/>
    </row>
    <row r="4232" customHeight="1" spans="1:6">
      <c r="A4232" s="57"/>
      <c r="B4232" s="57"/>
      <c r="C4232" s="57"/>
      <c r="D4232" s="88"/>
      <c r="E4232" s="88"/>
      <c r="F4232" s="88"/>
    </row>
    <row r="4233" customHeight="1" spans="1:6">
      <c r="A4233" s="57"/>
      <c r="B4233" s="57"/>
      <c r="C4233" s="57"/>
      <c r="D4233" s="88"/>
      <c r="E4233" s="88"/>
      <c r="F4233" s="88"/>
    </row>
    <row r="4234" customHeight="1" spans="1:6">
      <c r="A4234" s="57"/>
      <c r="B4234" s="57"/>
      <c r="C4234" s="57"/>
      <c r="D4234" s="88"/>
      <c r="E4234" s="88"/>
      <c r="F4234" s="88"/>
    </row>
    <row r="4235" customHeight="1" spans="1:6">
      <c r="A4235" s="57"/>
      <c r="B4235" s="57"/>
      <c r="C4235" s="57"/>
      <c r="D4235" s="88"/>
      <c r="E4235" s="88"/>
      <c r="F4235" s="88"/>
    </row>
    <row r="4236" customHeight="1" spans="1:6">
      <c r="A4236" s="57"/>
      <c r="B4236" s="57"/>
      <c r="C4236" s="57"/>
      <c r="D4236" s="88"/>
      <c r="E4236" s="88"/>
      <c r="F4236" s="88"/>
    </row>
    <row r="4237" customHeight="1" spans="1:6">
      <c r="A4237" s="57"/>
      <c r="B4237" s="57"/>
      <c r="C4237" s="57"/>
      <c r="D4237" s="88"/>
      <c r="E4237" s="88"/>
      <c r="F4237" s="88"/>
    </row>
    <row r="4238" customHeight="1" spans="1:6">
      <c r="A4238" s="57"/>
      <c r="B4238" s="57"/>
      <c r="C4238" s="57"/>
      <c r="D4238" s="88"/>
      <c r="E4238" s="88"/>
      <c r="F4238" s="88"/>
    </row>
    <row r="4239" customHeight="1" spans="1:6">
      <c r="A4239" s="57"/>
      <c r="B4239" s="57"/>
      <c r="C4239" s="57"/>
      <c r="D4239" s="88"/>
      <c r="E4239" s="88"/>
      <c r="F4239" s="88"/>
    </row>
    <row r="4240" customHeight="1" spans="1:6">
      <c r="A4240" s="57"/>
      <c r="B4240" s="57"/>
      <c r="C4240" s="57"/>
      <c r="D4240" s="88"/>
      <c r="E4240" s="88"/>
      <c r="F4240" s="88"/>
    </row>
    <row r="4241" ht="28.9" customHeight="1" spans="1:6">
      <c r="A4241" s="166" t="s">
        <v>1540</v>
      </c>
      <c r="B4241" s="205"/>
      <c r="C4241" s="205"/>
      <c r="D4241" s="205"/>
      <c r="E4241" s="205"/>
      <c r="F4241" s="205"/>
    </row>
    <row r="4242" customHeight="1" spans="1:6">
      <c r="A4242" s="411" t="s">
        <v>1606</v>
      </c>
      <c r="B4242" s="411"/>
      <c r="C4242" s="411"/>
      <c r="D4242" s="411"/>
      <c r="E4242" s="411"/>
      <c r="F4242" s="411"/>
    </row>
    <row r="4243" customHeight="1" spans="1:6">
      <c r="A4243" s="412" t="s">
        <v>1584</v>
      </c>
      <c r="B4243" s="412"/>
      <c r="C4243" s="412"/>
      <c r="D4243" s="412"/>
      <c r="E4243" s="412"/>
      <c r="F4243" s="412"/>
    </row>
    <row r="4244" customHeight="1" spans="1:6">
      <c r="A4244" s="412" t="s">
        <v>1184</v>
      </c>
      <c r="B4244" s="412"/>
      <c r="C4244" s="412"/>
      <c r="D4244" s="412"/>
      <c r="E4244" s="412"/>
      <c r="F4244" s="412"/>
    </row>
    <row r="4245" customHeight="1" spans="1:6">
      <c r="A4245" s="181" t="s">
        <v>1585</v>
      </c>
      <c r="B4245" s="181" t="s">
        <v>1586</v>
      </c>
      <c r="C4245" s="181" t="s">
        <v>1587</v>
      </c>
      <c r="D4245" s="181" t="s">
        <v>1588</v>
      </c>
      <c r="E4245" s="181" t="s">
        <v>1589</v>
      </c>
      <c r="F4245" s="181" t="s">
        <v>1590</v>
      </c>
    </row>
    <row r="4246" customHeight="1" spans="1:6">
      <c r="A4246" s="181" t="s">
        <v>57</v>
      </c>
      <c r="B4246" s="181" t="s">
        <v>957</v>
      </c>
      <c r="C4246" s="181"/>
      <c r="D4246" s="181"/>
      <c r="E4246" s="181"/>
      <c r="F4246" s="182">
        <f>F4247+F4257+F4258</f>
        <v>11393.4471029645</v>
      </c>
    </row>
    <row r="4247" customHeight="1" spans="1:6">
      <c r="A4247" s="181" t="s">
        <v>1534</v>
      </c>
      <c r="B4247" s="181" t="s">
        <v>962</v>
      </c>
      <c r="C4247" s="181"/>
      <c r="D4247" s="181"/>
      <c r="E4247" s="181"/>
      <c r="F4247" s="182">
        <f>F4248+F4251+F4255</f>
        <v>10871.609831073</v>
      </c>
    </row>
    <row r="4248" customHeight="1" spans="1:6">
      <c r="A4248" s="181">
        <v>1</v>
      </c>
      <c r="B4248" s="181" t="s">
        <v>963</v>
      </c>
      <c r="C4248" s="181"/>
      <c r="D4248" s="181"/>
      <c r="E4248" s="181"/>
      <c r="F4248" s="182">
        <f>F4249+F4250</f>
        <v>1754.657</v>
      </c>
    </row>
    <row r="4249" customHeight="1" spans="1:6">
      <c r="A4249" s="181"/>
      <c r="B4249" s="181" t="s">
        <v>966</v>
      </c>
      <c r="C4249" s="181" t="s">
        <v>965</v>
      </c>
      <c r="D4249" s="181"/>
      <c r="E4249" s="181">
        <v>8.1</v>
      </c>
      <c r="F4249" s="182">
        <f t="shared" ref="F4249:F4252" si="438">D4249*E4249</f>
        <v>0</v>
      </c>
    </row>
    <row r="4250" customHeight="1" spans="1:6">
      <c r="A4250" s="181"/>
      <c r="B4250" s="181" t="s">
        <v>968</v>
      </c>
      <c r="C4250" s="181" t="s">
        <v>965</v>
      </c>
      <c r="D4250" s="181">
        <v>304.1</v>
      </c>
      <c r="E4250" s="181">
        <v>5.77</v>
      </c>
      <c r="F4250" s="182">
        <f t="shared" si="438"/>
        <v>1754.657</v>
      </c>
    </row>
    <row r="4251" customHeight="1" spans="1:6">
      <c r="A4251" s="181">
        <v>2</v>
      </c>
      <c r="B4251" s="181" t="s">
        <v>967</v>
      </c>
      <c r="C4251" s="181" t="s">
        <v>423</v>
      </c>
      <c r="D4251" s="181"/>
      <c r="E4251" s="182"/>
      <c r="F4251" s="182">
        <f>F4252+F4253+F4254</f>
        <v>9065.9625</v>
      </c>
    </row>
    <row r="4252" customHeight="1" spans="1:6">
      <c r="A4252" s="181"/>
      <c r="B4252" s="181" t="s">
        <v>1607</v>
      </c>
      <c r="C4252" s="181" t="s">
        <v>394</v>
      </c>
      <c r="D4252" s="181">
        <v>633</v>
      </c>
      <c r="E4252" s="182">
        <v>2.25</v>
      </c>
      <c r="F4252" s="182">
        <f t="shared" si="438"/>
        <v>1424.25</v>
      </c>
    </row>
    <row r="4253" customHeight="1" spans="1:6">
      <c r="A4253" s="181"/>
      <c r="B4253" s="181" t="s">
        <v>1111</v>
      </c>
      <c r="C4253" s="181" t="s">
        <v>62</v>
      </c>
      <c r="D4253" s="181">
        <v>103</v>
      </c>
      <c r="E4253" s="182">
        <v>70</v>
      </c>
      <c r="F4253" s="182">
        <f>E4253*D4253</f>
        <v>7210</v>
      </c>
    </row>
    <row r="4254" customHeight="1" spans="1:6">
      <c r="A4254" s="413"/>
      <c r="B4254" s="181" t="s">
        <v>1163</v>
      </c>
      <c r="C4254" s="181" t="s">
        <v>423</v>
      </c>
      <c r="D4254" s="181">
        <v>0.5</v>
      </c>
      <c r="E4254" s="182">
        <f>F4252+F4253</f>
        <v>8634.25</v>
      </c>
      <c r="F4254" s="182">
        <f>E4254*0.05</f>
        <v>431.7125</v>
      </c>
    </row>
    <row r="4255" customHeight="1" spans="1:6">
      <c r="A4255" s="181">
        <v>3</v>
      </c>
      <c r="B4255" s="181" t="s">
        <v>974</v>
      </c>
      <c r="C4255" s="181"/>
      <c r="D4255" s="181"/>
      <c r="E4255" s="181"/>
      <c r="F4255" s="182">
        <f>F4256</f>
        <v>50.9903310729956</v>
      </c>
    </row>
    <row r="4256" customHeight="1" spans="1:6">
      <c r="A4256" s="181"/>
      <c r="B4256" s="181" t="s">
        <v>1190</v>
      </c>
      <c r="C4256" s="181" t="s">
        <v>988</v>
      </c>
      <c r="D4256" s="181">
        <v>62.7</v>
      </c>
      <c r="E4256" s="182">
        <f>D4214</f>
        <v>0.813242919824491</v>
      </c>
      <c r="F4256" s="182">
        <f>E4256*D4256</f>
        <v>50.9903310729956</v>
      </c>
    </row>
    <row r="4257" customHeight="1" spans="1:6">
      <c r="A4257" s="181" t="s">
        <v>1536</v>
      </c>
      <c r="B4257" s="181" t="s">
        <v>977</v>
      </c>
      <c r="C4257" s="402">
        <f>C4215</f>
        <v>0.048</v>
      </c>
      <c r="D4257" s="181"/>
      <c r="E4257" s="181"/>
      <c r="F4257" s="182">
        <f>F4247*C4257</f>
        <v>521.837271891504</v>
      </c>
    </row>
    <row r="4258" customHeight="1" spans="1:6">
      <c r="A4258" s="181" t="s">
        <v>1595</v>
      </c>
      <c r="B4258" s="181" t="s">
        <v>1191</v>
      </c>
      <c r="C4258" s="402"/>
      <c r="D4258" s="181"/>
      <c r="E4258" s="181"/>
      <c r="F4258" s="182"/>
    </row>
    <row r="4259" customHeight="1" spans="1:6">
      <c r="A4259" s="181" t="s">
        <v>72</v>
      </c>
      <c r="B4259" s="181" t="s">
        <v>973</v>
      </c>
      <c r="C4259" s="402">
        <f>C4217</f>
        <v>0.085</v>
      </c>
      <c r="D4259" s="181"/>
      <c r="E4259" s="181"/>
      <c r="F4259" s="182">
        <f>F4246*C4259</f>
        <v>968.443003751982</v>
      </c>
    </row>
    <row r="4260" customHeight="1" spans="1:6">
      <c r="A4260" s="181" t="s">
        <v>162</v>
      </c>
      <c r="B4260" s="181" t="s">
        <v>975</v>
      </c>
      <c r="C4260" s="414">
        <f>C4218</f>
        <v>0.07</v>
      </c>
      <c r="D4260" s="181"/>
      <c r="E4260" s="181"/>
      <c r="F4260" s="182">
        <f>(F4246+F4259)*C4260</f>
        <v>865.332307470154</v>
      </c>
    </row>
    <row r="4261" customHeight="1" spans="1:6">
      <c r="A4261" s="181" t="s">
        <v>214</v>
      </c>
      <c r="B4261" s="181" t="s">
        <v>1173</v>
      </c>
      <c r="C4261" s="181"/>
      <c r="D4261" s="181"/>
      <c r="E4261" s="181"/>
      <c r="F4261" s="182">
        <f>F4262+F4263</f>
        <v>11979.0831384615</v>
      </c>
    </row>
    <row r="4262" customHeight="1" spans="1:6">
      <c r="A4262" s="181"/>
      <c r="B4262" s="181" t="s">
        <v>1111</v>
      </c>
      <c r="C4262" s="181" t="s">
        <v>62</v>
      </c>
      <c r="D4262" s="181">
        <v>103</v>
      </c>
      <c r="E4262" s="182">
        <f>D4220</f>
        <v>72.9672</v>
      </c>
      <c r="F4262" s="182">
        <f>D4262*E4262</f>
        <v>7515.6216</v>
      </c>
    </row>
    <row r="4263" customHeight="1" spans="1:6">
      <c r="A4263" s="181"/>
      <c r="B4263" s="181" t="s">
        <v>1607</v>
      </c>
      <c r="C4263" s="181" t="s">
        <v>394</v>
      </c>
      <c r="D4263" s="181">
        <f>D4252</f>
        <v>633</v>
      </c>
      <c r="E4263" s="182">
        <f>8.25/1.17</f>
        <v>7.05128205128205</v>
      </c>
      <c r="F4263" s="182">
        <f>D4263*E4263</f>
        <v>4463.46153846154</v>
      </c>
    </row>
    <row r="4264" customHeight="1" spans="1:6">
      <c r="A4264" s="181" t="s">
        <v>327</v>
      </c>
      <c r="B4264" s="181" t="s">
        <v>1596</v>
      </c>
      <c r="C4264" s="402">
        <f>C4222</f>
        <v>0.09</v>
      </c>
      <c r="D4264" s="181"/>
      <c r="E4264" s="181"/>
      <c r="F4264" s="182">
        <f>(F4246+F4259+F4260)*C4264</f>
        <v>1190.4500172768</v>
      </c>
    </row>
    <row r="4265" customHeight="1" spans="1:6">
      <c r="A4265" s="181"/>
      <c r="B4265" s="181" t="s">
        <v>278</v>
      </c>
      <c r="C4265" s="181"/>
      <c r="D4265" s="181"/>
      <c r="E4265" s="181"/>
      <c r="F4265" s="182">
        <f>F4246+F4259+F4260+F4261+F4264</f>
        <v>26396.755569925</v>
      </c>
    </row>
    <row r="4266" customHeight="1" spans="1:6">
      <c r="A4266" s="181" t="s">
        <v>328</v>
      </c>
      <c r="B4266" s="181" t="s">
        <v>1597</v>
      </c>
      <c r="C4266" s="394">
        <v>0.03</v>
      </c>
      <c r="D4266" s="181"/>
      <c r="E4266" s="181"/>
      <c r="F4266" s="182">
        <f>F4265*C4266</f>
        <v>791.902667097749</v>
      </c>
    </row>
    <row r="4267" customHeight="1" spans="1:6">
      <c r="A4267" s="186"/>
      <c r="B4267" s="181" t="s">
        <v>1193</v>
      </c>
      <c r="C4267" s="186"/>
      <c r="D4267" s="186"/>
      <c r="E4267" s="186"/>
      <c r="F4267" s="182">
        <f>F4265+F4266</f>
        <v>27188.6582370227</v>
      </c>
    </row>
    <row r="4268" customHeight="1" spans="1:6">
      <c r="A4268" s="166" t="s">
        <v>1540</v>
      </c>
      <c r="B4268" s="205"/>
      <c r="C4268" s="205"/>
      <c r="D4268" s="205"/>
      <c r="E4268" s="205"/>
      <c r="F4268" s="205"/>
    </row>
    <row r="4269" customHeight="1" spans="1:6">
      <c r="A4269" s="205" t="s">
        <v>1608</v>
      </c>
      <c r="B4269" s="205"/>
      <c r="C4269" s="205"/>
      <c r="D4269" s="205"/>
      <c r="E4269" s="205"/>
      <c r="F4269" s="205"/>
    </row>
    <row r="4270" customHeight="1" spans="1:6">
      <c r="A4270" s="191" t="s">
        <v>1609</v>
      </c>
      <c r="B4270" s="190"/>
      <c r="C4270" s="168"/>
      <c r="D4270" s="168"/>
      <c r="E4270" s="191" t="s">
        <v>1242</v>
      </c>
      <c r="F4270" s="191"/>
    </row>
    <row r="4271" customHeight="1" spans="1:6">
      <c r="A4271" s="117" t="s">
        <v>1184</v>
      </c>
      <c r="B4271" s="192"/>
      <c r="C4271" s="192"/>
      <c r="D4271" s="192"/>
      <c r="E4271" s="192"/>
      <c r="F4271" s="118"/>
    </row>
    <row r="4272" customHeight="1" spans="1:6">
      <c r="A4272" s="57" t="s">
        <v>354</v>
      </c>
      <c r="B4272" s="57" t="s">
        <v>956</v>
      </c>
      <c r="C4272" s="57" t="s">
        <v>52</v>
      </c>
      <c r="D4272" s="57" t="s">
        <v>855</v>
      </c>
      <c r="E4272" s="57" t="s">
        <v>53</v>
      </c>
      <c r="F4272" s="57" t="s">
        <v>306</v>
      </c>
    </row>
    <row r="4273" customHeight="1" spans="1:6">
      <c r="A4273" s="57" t="s">
        <v>1367</v>
      </c>
      <c r="B4273" s="57" t="s">
        <v>960</v>
      </c>
      <c r="C4273" s="57"/>
      <c r="D4273" s="57"/>
      <c r="E4273" s="57"/>
      <c r="F4273" s="84">
        <f>F4274+F4284+F4285</f>
        <v>27403.978081256</v>
      </c>
    </row>
    <row r="4274" customHeight="1" spans="1:6">
      <c r="A4274" s="57" t="s">
        <v>59</v>
      </c>
      <c r="B4274" s="57" t="s">
        <v>957</v>
      </c>
      <c r="C4274" s="57"/>
      <c r="D4274" s="57"/>
      <c r="E4274" s="57"/>
      <c r="F4274" s="84">
        <f>F4275+F4278+F4281</f>
        <v>26148.834047</v>
      </c>
    </row>
    <row r="4275" customHeight="1" spans="1:6">
      <c r="A4275" s="57">
        <v>1</v>
      </c>
      <c r="B4275" s="57" t="s">
        <v>964</v>
      </c>
      <c r="C4275" s="57" t="s">
        <v>965</v>
      </c>
      <c r="D4275" s="113"/>
      <c r="E4275" s="92">
        <f>SUM(E4276:E4277)</f>
        <v>1113</v>
      </c>
      <c r="F4275" s="113">
        <f>SUM(F4276:F4277)</f>
        <v>7199.997</v>
      </c>
    </row>
    <row r="4276" customHeight="1" spans="1:6">
      <c r="A4276" s="57"/>
      <c r="B4276" s="57" t="s">
        <v>966</v>
      </c>
      <c r="C4276" s="57" t="s">
        <v>965</v>
      </c>
      <c r="D4276" s="113">
        <f>E4249</f>
        <v>8.1</v>
      </c>
      <c r="E4276" s="92">
        <v>333.9</v>
      </c>
      <c r="F4276" s="113">
        <f t="shared" ref="F4276:F4279" si="439">D4276*E4276</f>
        <v>2704.59</v>
      </c>
    </row>
    <row r="4277" customHeight="1" spans="1:6">
      <c r="A4277" s="57"/>
      <c r="B4277" s="57" t="s">
        <v>968</v>
      </c>
      <c r="C4277" s="57" t="s">
        <v>965</v>
      </c>
      <c r="D4277" s="113">
        <f>E4250</f>
        <v>5.77</v>
      </c>
      <c r="E4277" s="92">
        <v>779.1</v>
      </c>
      <c r="F4277" s="113">
        <f t="shared" si="439"/>
        <v>4495.407</v>
      </c>
    </row>
    <row r="4278" customHeight="1" spans="1:6">
      <c r="A4278" s="57">
        <v>2</v>
      </c>
      <c r="B4278" s="57" t="s">
        <v>1219</v>
      </c>
      <c r="C4278" s="248"/>
      <c r="D4278" s="57"/>
      <c r="E4278" s="57"/>
      <c r="F4278" s="113">
        <f>SUM(F4279:F4280)</f>
        <v>7224.42</v>
      </c>
    </row>
    <row r="4279" customHeight="1" spans="1:6">
      <c r="A4279" s="57"/>
      <c r="B4279" s="57" t="s">
        <v>1610</v>
      </c>
      <c r="C4279" s="181" t="s">
        <v>62</v>
      </c>
      <c r="D4279" s="92">
        <v>70</v>
      </c>
      <c r="E4279" s="57">
        <v>103</v>
      </c>
      <c r="F4279" s="113">
        <f t="shared" si="439"/>
        <v>7210</v>
      </c>
    </row>
    <row r="4280" customHeight="1" spans="1:6">
      <c r="A4280" s="57"/>
      <c r="B4280" s="57" t="s">
        <v>1248</v>
      </c>
      <c r="C4280" s="57" t="s">
        <v>423</v>
      </c>
      <c r="D4280" s="113">
        <f>SUM(F4279:F4279)</f>
        <v>7210</v>
      </c>
      <c r="E4280" s="57">
        <v>0.2</v>
      </c>
      <c r="F4280" s="113">
        <f>D4280*E4280/100</f>
        <v>14.42</v>
      </c>
    </row>
    <row r="4281" customHeight="1" spans="1:6">
      <c r="A4281" s="57">
        <v>3</v>
      </c>
      <c r="B4281" s="57" t="s">
        <v>1171</v>
      </c>
      <c r="C4281" s="57"/>
      <c r="D4281" s="57"/>
      <c r="E4281" s="57"/>
      <c r="F4281" s="113">
        <f>SUM(F4282:F4283)</f>
        <v>11724.417047</v>
      </c>
    </row>
    <row r="4282" customHeight="1" spans="1:6">
      <c r="A4282" s="57"/>
      <c r="B4282" s="57" t="s">
        <v>1611</v>
      </c>
      <c r="C4282" s="57" t="s">
        <v>988</v>
      </c>
      <c r="D4282" s="113">
        <v>187.63</v>
      </c>
      <c r="E4282" s="57">
        <v>62.3</v>
      </c>
      <c r="F4282" s="113">
        <f>D4282*E4282</f>
        <v>11689.349</v>
      </c>
    </row>
    <row r="4283" customHeight="1" spans="1:6">
      <c r="A4283" s="57"/>
      <c r="B4283" s="57" t="s">
        <v>1223</v>
      </c>
      <c r="C4283" s="57" t="s">
        <v>423</v>
      </c>
      <c r="D4283" s="113">
        <f>F4282</f>
        <v>11689.349</v>
      </c>
      <c r="E4283" s="57">
        <v>0.3</v>
      </c>
      <c r="F4283" s="113">
        <f>D4283*E4283/100</f>
        <v>35.068047</v>
      </c>
    </row>
    <row r="4284" customHeight="1" spans="1:6">
      <c r="A4284" s="57" t="s">
        <v>70</v>
      </c>
      <c r="B4284" s="57" t="s">
        <v>977</v>
      </c>
      <c r="C4284" s="101">
        <v>0.048</v>
      </c>
      <c r="D4284" s="113"/>
      <c r="E4284" s="84">
        <f>F4274</f>
        <v>26148.834047</v>
      </c>
      <c r="F4284" s="113">
        <f t="shared" ref="F4284:F4287" si="440">E4284*C4284</f>
        <v>1255.144034256</v>
      </c>
    </row>
    <row r="4285" customHeight="1" spans="1:6">
      <c r="A4285" s="57"/>
      <c r="B4285" s="57"/>
      <c r="C4285" s="102"/>
      <c r="D4285" s="113"/>
      <c r="E4285" s="84"/>
      <c r="F4285" s="113"/>
    </row>
    <row r="4286" customHeight="1" spans="1:6">
      <c r="A4286" s="57" t="s">
        <v>979</v>
      </c>
      <c r="B4286" s="57" t="s">
        <v>973</v>
      </c>
      <c r="C4286" s="102">
        <f>取费表!E12</f>
        <v>0.0725</v>
      </c>
      <c r="D4286" s="113"/>
      <c r="E4286" s="88">
        <f>F4273</f>
        <v>27403.978081256</v>
      </c>
      <c r="F4286" s="113">
        <f t="shared" si="440"/>
        <v>1986.78841089106</v>
      </c>
    </row>
    <row r="4287" customHeight="1" spans="1:6">
      <c r="A4287" s="57" t="s">
        <v>162</v>
      </c>
      <c r="B4287" s="57" t="s">
        <v>980</v>
      </c>
      <c r="C4287" s="352">
        <f>取费表!F12</f>
        <v>0.05</v>
      </c>
      <c r="D4287" s="113"/>
      <c r="E4287" s="88">
        <f>F4286+F4273</f>
        <v>29390.7664921471</v>
      </c>
      <c r="F4287" s="113">
        <f t="shared" si="440"/>
        <v>1469.53832460735</v>
      </c>
    </row>
    <row r="4288" customHeight="1" spans="1:6">
      <c r="A4288" s="57" t="s">
        <v>214</v>
      </c>
      <c r="B4288" s="57" t="s">
        <v>1173</v>
      </c>
      <c r="C4288" s="57"/>
      <c r="D4288" s="57"/>
      <c r="E4288" s="57"/>
      <c r="F4288" s="113">
        <f>F4290+F4289</f>
        <v>8908.4004</v>
      </c>
    </row>
    <row r="4289" customHeight="1" spans="1:6">
      <c r="A4289" s="181"/>
      <c r="B4289" s="181" t="s">
        <v>1111</v>
      </c>
      <c r="C4289" s="181" t="s">
        <v>62</v>
      </c>
      <c r="D4289" s="399">
        <f>E4262</f>
        <v>72.9672</v>
      </c>
      <c r="E4289" s="182">
        <f>E4279</f>
        <v>103</v>
      </c>
      <c r="F4289" s="182">
        <f>D4289*E4289</f>
        <v>7515.6216</v>
      </c>
    </row>
    <row r="4290" customHeight="1" spans="1:6">
      <c r="A4290" s="57"/>
      <c r="B4290" s="57" t="s">
        <v>1116</v>
      </c>
      <c r="C4290" s="57" t="s">
        <v>184</v>
      </c>
      <c r="D4290" s="84">
        <f>材料预算价!K12-材料预算价!L12</f>
        <v>4.86</v>
      </c>
      <c r="E4290" s="88">
        <f>E4282*4.6</f>
        <v>286.58</v>
      </c>
      <c r="F4290" s="113">
        <f>E4290*D4290</f>
        <v>1392.7788</v>
      </c>
    </row>
    <row r="4291" customHeight="1" spans="1:6">
      <c r="A4291" s="57" t="s">
        <v>327</v>
      </c>
      <c r="B4291" s="57" t="s">
        <v>976</v>
      </c>
      <c r="C4291" s="102">
        <v>0.09</v>
      </c>
      <c r="D4291" s="57"/>
      <c r="E4291" s="84">
        <f>F4287+F4286+F4273+F4288</f>
        <v>39768.7052167544</v>
      </c>
      <c r="F4291" s="113">
        <f>E4291*C4291</f>
        <v>3579.1834695079</v>
      </c>
    </row>
    <row r="4292" customHeight="1" spans="1:6">
      <c r="A4292" s="57"/>
      <c r="B4292" s="57" t="s">
        <v>984</v>
      </c>
      <c r="C4292" s="102"/>
      <c r="D4292" s="57"/>
      <c r="E4292" s="84"/>
      <c r="F4292" s="113">
        <f>(E4291+F4291)*取费表!H12</f>
        <v>1300.43666058787</v>
      </c>
    </row>
    <row r="4293" customHeight="1" spans="1:6">
      <c r="A4293" s="57"/>
      <c r="B4293" s="57" t="s">
        <v>278</v>
      </c>
      <c r="C4293" s="57"/>
      <c r="D4293" s="57"/>
      <c r="E4293" s="57"/>
      <c r="F4293" s="113">
        <f>F4291+E4291+F4292</f>
        <v>44648.3253468502</v>
      </c>
    </row>
    <row r="4294" customHeight="1" spans="1:6">
      <c r="A4294" s="57"/>
      <c r="B4294" s="57"/>
      <c r="C4294" s="57"/>
      <c r="D4294" s="57"/>
      <c r="E4294" s="57"/>
      <c r="F4294" s="113"/>
    </row>
    <row r="4295" customHeight="1" spans="1:6">
      <c r="A4295" s="57"/>
      <c r="B4295" s="57"/>
      <c r="C4295" s="57"/>
      <c r="D4295" s="57"/>
      <c r="E4295" s="57"/>
      <c r="F4295" s="113"/>
    </row>
    <row r="4296" customHeight="1" spans="1:6">
      <c r="A4296" s="57"/>
      <c r="B4296" s="57"/>
      <c r="C4296" s="57"/>
      <c r="D4296" s="57"/>
      <c r="E4296" s="57"/>
      <c r="F4296" s="113"/>
    </row>
    <row r="4297" customHeight="1" spans="1:6">
      <c r="A4297" s="57"/>
      <c r="B4297" s="57"/>
      <c r="C4297" s="57"/>
      <c r="D4297" s="57"/>
      <c r="E4297" s="57"/>
      <c r="F4297" s="113"/>
    </row>
    <row r="4298" customHeight="1" spans="1:6">
      <c r="A4298" s="57"/>
      <c r="B4298" s="57"/>
      <c r="C4298" s="57"/>
      <c r="D4298" s="57"/>
      <c r="E4298" s="57"/>
      <c r="F4298" s="113"/>
    </row>
    <row r="4299" customHeight="1" spans="1:6">
      <c r="A4299" s="57"/>
      <c r="B4299" s="57"/>
      <c r="C4299" s="57"/>
      <c r="D4299" s="57"/>
      <c r="E4299" s="57"/>
      <c r="F4299" s="113"/>
    </row>
    <row r="4300" customHeight="1" spans="1:6">
      <c r="A4300" s="57"/>
      <c r="B4300" s="57"/>
      <c r="C4300" s="57"/>
      <c r="D4300" s="57"/>
      <c r="E4300" s="57"/>
      <c r="F4300" s="113"/>
    </row>
    <row r="4301" customHeight="1" spans="1:6">
      <c r="A4301" s="57"/>
      <c r="B4301" s="57"/>
      <c r="C4301" s="57"/>
      <c r="D4301" s="57"/>
      <c r="E4301" s="57"/>
      <c r="F4301" s="113"/>
    </row>
    <row r="4302" customHeight="1" spans="1:6">
      <c r="A4302" s="57"/>
      <c r="B4302" s="57"/>
      <c r="C4302" s="57"/>
      <c r="D4302" s="57"/>
      <c r="E4302" s="57"/>
      <c r="F4302" s="113"/>
    </row>
    <row r="4303" customHeight="1" spans="1:6">
      <c r="A4303" s="57"/>
      <c r="B4303" s="57"/>
      <c r="C4303" s="57"/>
      <c r="D4303" s="57"/>
      <c r="E4303" s="57"/>
      <c r="F4303" s="113"/>
    </row>
    <row r="4304" customHeight="1" spans="1:6">
      <c r="A4304" s="57"/>
      <c r="B4304" s="57"/>
      <c r="C4304" s="57"/>
      <c r="D4304" s="57"/>
      <c r="E4304" s="57"/>
      <c r="F4304" s="113"/>
    </row>
    <row r="4305" customHeight="1" spans="1:6">
      <c r="A4305" s="57"/>
      <c r="B4305" s="57"/>
      <c r="C4305" s="57"/>
      <c r="D4305" s="57"/>
      <c r="E4305" s="57"/>
      <c r="F4305" s="113"/>
    </row>
    <row r="4306" customHeight="1" spans="1:6">
      <c r="A4306" s="57"/>
      <c r="B4306" s="57"/>
      <c r="C4306" s="57"/>
      <c r="D4306" s="57"/>
      <c r="E4306" s="57"/>
      <c r="F4306" s="113"/>
    </row>
    <row r="4307" customFormat="1" ht="14.25" spans="1:7">
      <c r="A4307" s="128" t="s">
        <v>1612</v>
      </c>
      <c r="B4307" s="128"/>
      <c r="C4307" s="128"/>
      <c r="D4307" s="128"/>
      <c r="E4307" s="129"/>
      <c r="F4307" s="128"/>
      <c r="G4307" s="128"/>
    </row>
    <row r="4308" customFormat="1" ht="14.25" spans="1:7">
      <c r="A4308" s="130" t="s">
        <v>1613</v>
      </c>
      <c r="B4308" s="130"/>
      <c r="C4308" s="130"/>
      <c r="D4308" s="130"/>
      <c r="E4308" s="131"/>
      <c r="F4308" s="130"/>
      <c r="G4308" s="130"/>
    </row>
    <row r="4309" customFormat="1" ht="14.25" spans="1:7">
      <c r="A4309" s="146">
        <v>8032</v>
      </c>
      <c r="B4309" s="146"/>
      <c r="C4309" s="146"/>
      <c r="D4309" s="146"/>
      <c r="E4309" s="133"/>
      <c r="F4309" s="134" t="s">
        <v>1614</v>
      </c>
      <c r="G4309" s="134"/>
    </row>
    <row r="4310" customFormat="1" ht="14.25" spans="1:7">
      <c r="A4310" s="135" t="s">
        <v>1184</v>
      </c>
      <c r="B4310" s="135"/>
      <c r="C4310" s="135"/>
      <c r="D4310" s="135"/>
      <c r="E4310" s="136"/>
      <c r="F4310" s="135"/>
      <c r="G4310" s="135"/>
    </row>
    <row r="4311" customFormat="1" ht="14.25" spans="1:7">
      <c r="A4311" s="137" t="s">
        <v>354</v>
      </c>
      <c r="B4311" s="137" t="s">
        <v>1586</v>
      </c>
      <c r="C4311" s="137" t="s">
        <v>52</v>
      </c>
      <c r="D4311" s="137" t="s">
        <v>53</v>
      </c>
      <c r="E4311" s="138" t="s">
        <v>855</v>
      </c>
      <c r="F4311" s="139" t="s">
        <v>306</v>
      </c>
      <c r="G4311" s="137" t="s">
        <v>56</v>
      </c>
    </row>
    <row r="4312" customFormat="1" ht="14.25" spans="1:7">
      <c r="A4312" s="137" t="s">
        <v>57</v>
      </c>
      <c r="B4312" s="137" t="s">
        <v>960</v>
      </c>
      <c r="C4312" s="137"/>
      <c r="D4312" s="137"/>
      <c r="E4312" s="140"/>
      <c r="F4312" s="141">
        <f>F4313+F4324+F4325</f>
        <v>74.284336</v>
      </c>
      <c r="G4312" s="137"/>
    </row>
    <row r="4313" customFormat="1" ht="14.25" spans="1:7">
      <c r="A4313" s="137" t="s">
        <v>1534</v>
      </c>
      <c r="B4313" s="137" t="s">
        <v>957</v>
      </c>
      <c r="C4313" s="137"/>
      <c r="D4313" s="137"/>
      <c r="E4313" s="140"/>
      <c r="F4313" s="141">
        <f>F4314+F4317+F4322</f>
        <v>70.882</v>
      </c>
      <c r="G4313" s="137"/>
    </row>
    <row r="4314" customFormat="1" ht="14.25" spans="1:7">
      <c r="A4314" s="137">
        <v>1</v>
      </c>
      <c r="B4314" s="137" t="s">
        <v>963</v>
      </c>
      <c r="C4314" s="142"/>
      <c r="D4314" s="137"/>
      <c r="E4314" s="140"/>
      <c r="F4314" s="143">
        <f>SUM(F4315:F4316)</f>
        <v>70.882</v>
      </c>
      <c r="G4314" s="137"/>
    </row>
    <row r="4315" customFormat="1" ht="14.25" spans="1:7">
      <c r="A4315" s="137"/>
      <c r="B4315" s="142" t="s">
        <v>966</v>
      </c>
      <c r="C4315" s="142" t="s">
        <v>965</v>
      </c>
      <c r="D4315" s="137">
        <v>1.2</v>
      </c>
      <c r="E4315" s="140">
        <v>8.1</v>
      </c>
      <c r="F4315" s="143">
        <f>E4315*D4315</f>
        <v>9.72</v>
      </c>
      <c r="G4315" s="137"/>
    </row>
    <row r="4316" customFormat="1" ht="14.25" spans="1:7">
      <c r="A4316" s="137"/>
      <c r="B4316" s="142" t="s">
        <v>968</v>
      </c>
      <c r="C4316" s="142" t="s">
        <v>965</v>
      </c>
      <c r="D4316" s="137">
        <v>10.6</v>
      </c>
      <c r="E4316" s="140">
        <v>5.77</v>
      </c>
      <c r="F4316" s="143">
        <f>E4316*D4316</f>
        <v>61.162</v>
      </c>
      <c r="G4316" s="137"/>
    </row>
    <row r="4317" customFormat="1" ht="14.25" spans="1:7">
      <c r="A4317" s="137">
        <v>2</v>
      </c>
      <c r="B4317" s="137" t="s">
        <v>967</v>
      </c>
      <c r="C4317" s="142"/>
      <c r="D4317" s="137"/>
      <c r="E4317" s="140"/>
      <c r="F4317" s="143">
        <f>SUM(F4318:F4321)</f>
        <v>0</v>
      </c>
      <c r="G4317" s="137"/>
    </row>
    <row r="4318" customFormat="1" ht="14.25" spans="1:7">
      <c r="A4318" s="137"/>
      <c r="B4318" s="137" t="s">
        <v>1615</v>
      </c>
      <c r="C4318" s="142" t="s">
        <v>90</v>
      </c>
      <c r="D4318" s="137"/>
      <c r="E4318" s="140"/>
      <c r="F4318" s="143"/>
      <c r="G4318" s="137"/>
    </row>
    <row r="4319" customFormat="1" ht="14.25" spans="1:7">
      <c r="A4319" s="137"/>
      <c r="B4319" s="137" t="s">
        <v>1616</v>
      </c>
      <c r="C4319" s="142" t="s">
        <v>184</v>
      </c>
      <c r="D4319" s="137"/>
      <c r="E4319" s="140">
        <v>3.88</v>
      </c>
      <c r="F4319" s="143">
        <f t="shared" ref="F4319:F4329" si="441">D4319*E4319</f>
        <v>0</v>
      </c>
      <c r="G4319" s="137"/>
    </row>
    <row r="4320" customFormat="1" ht="14.25" spans="1:7">
      <c r="A4320" s="137"/>
      <c r="B4320" s="137" t="s">
        <v>1617</v>
      </c>
      <c r="C4320" s="142" t="s">
        <v>184</v>
      </c>
      <c r="D4320" s="137"/>
      <c r="E4320" s="140">
        <v>11.44</v>
      </c>
      <c r="F4320" s="143">
        <f t="shared" si="441"/>
        <v>0</v>
      </c>
      <c r="G4320" s="137"/>
    </row>
    <row r="4321" customFormat="1" ht="14.25" spans="1:7">
      <c r="A4321" s="137"/>
      <c r="B4321" s="137" t="s">
        <v>1163</v>
      </c>
      <c r="C4321" s="137"/>
      <c r="D4321" s="137"/>
      <c r="E4321" s="140">
        <v>1</v>
      </c>
      <c r="F4321" s="147">
        <f>E4321*D4321</f>
        <v>0</v>
      </c>
      <c r="G4321" s="137"/>
    </row>
    <row r="4322" customFormat="1" ht="14.25" spans="1:7">
      <c r="A4322" s="137">
        <v>3</v>
      </c>
      <c r="B4322" s="137" t="s">
        <v>974</v>
      </c>
      <c r="C4322" s="137"/>
      <c r="D4322" s="137"/>
      <c r="E4322" s="140"/>
      <c r="F4322" s="143">
        <f>F4323</f>
        <v>0</v>
      </c>
      <c r="G4322" s="137"/>
    </row>
    <row r="4323" customFormat="1" ht="14.25" spans="1:7">
      <c r="A4323" s="137"/>
      <c r="B4323" s="137" t="s">
        <v>1618</v>
      </c>
      <c r="C4323" s="137" t="s">
        <v>988</v>
      </c>
      <c r="D4323" s="137"/>
      <c r="E4323" s="140">
        <f>259.73/8</f>
        <v>32.46625</v>
      </c>
      <c r="F4323" s="143">
        <f t="shared" si="441"/>
        <v>0</v>
      </c>
      <c r="G4323" s="137"/>
    </row>
    <row r="4324" customFormat="1" ht="14.25" spans="1:7">
      <c r="A4324" s="137" t="s">
        <v>1536</v>
      </c>
      <c r="B4324" s="137" t="s">
        <v>977</v>
      </c>
      <c r="C4324" s="144"/>
      <c r="D4324" s="145">
        <f>取费表!C12</f>
        <v>0.048</v>
      </c>
      <c r="E4324" s="140">
        <f>F4313</f>
        <v>70.882</v>
      </c>
      <c r="F4324" s="143">
        <f t="shared" si="441"/>
        <v>3.402336</v>
      </c>
      <c r="G4324" s="137"/>
    </row>
    <row r="4325" customFormat="1" ht="14.25" spans="1:7">
      <c r="A4325" s="137"/>
      <c r="B4325" s="137"/>
      <c r="C4325" s="144"/>
      <c r="D4325" s="145"/>
      <c r="E4325" s="140"/>
      <c r="F4325" s="143"/>
      <c r="G4325" s="137"/>
    </row>
    <row r="4326" customFormat="1" ht="14.25" spans="1:7">
      <c r="A4326" s="137" t="s">
        <v>72</v>
      </c>
      <c r="B4326" s="137" t="s">
        <v>973</v>
      </c>
      <c r="C4326" s="144"/>
      <c r="D4326" s="145">
        <f>取费表!E12</f>
        <v>0.0725</v>
      </c>
      <c r="E4326" s="140">
        <f>F4312</f>
        <v>74.284336</v>
      </c>
      <c r="F4326" s="143">
        <f t="shared" si="441"/>
        <v>5.38561436</v>
      </c>
      <c r="G4326" s="137"/>
    </row>
    <row r="4327" customFormat="1" ht="14.25" spans="1:7">
      <c r="A4327" s="137" t="s">
        <v>162</v>
      </c>
      <c r="B4327" s="137" t="s">
        <v>975</v>
      </c>
      <c r="C4327" s="145"/>
      <c r="D4327" s="145">
        <f>取费表!F12</f>
        <v>0.05</v>
      </c>
      <c r="E4327" s="140">
        <f>F4312+F4326</f>
        <v>79.66995036</v>
      </c>
      <c r="F4327" s="143">
        <f t="shared" si="441"/>
        <v>3.983497518</v>
      </c>
      <c r="G4327" s="137"/>
    </row>
    <row r="4328" customFormat="1" ht="14.25" spans="1:7">
      <c r="A4328" s="137" t="s">
        <v>214</v>
      </c>
      <c r="B4328" s="137" t="s">
        <v>1596</v>
      </c>
      <c r="C4328" s="145"/>
      <c r="D4328" s="145">
        <f>取费表!G12</f>
        <v>0.09</v>
      </c>
      <c r="E4328" s="140">
        <f>F4312+F4326+F4327</f>
        <v>83.653447878</v>
      </c>
      <c r="F4328" s="143">
        <f t="shared" si="441"/>
        <v>7.52881030902</v>
      </c>
      <c r="G4328" s="137"/>
    </row>
    <row r="4329" customFormat="1" ht="14.25" spans="1:7">
      <c r="A4329" s="137"/>
      <c r="B4329" s="137" t="s">
        <v>1192</v>
      </c>
      <c r="C4329" s="145"/>
      <c r="D4329" s="145">
        <f>取费表!H12</f>
        <v>0.03</v>
      </c>
      <c r="E4329" s="140">
        <f>E4328+F4328</f>
        <v>91.18225818702</v>
      </c>
      <c r="F4329" s="141">
        <f t="shared" si="441"/>
        <v>2.7354677456106</v>
      </c>
      <c r="G4329" s="137"/>
    </row>
    <row r="4330" customFormat="1" ht="14.25" spans="1:7">
      <c r="A4330" s="137"/>
      <c r="B4330" s="137" t="s">
        <v>1193</v>
      </c>
      <c r="C4330" s="137"/>
      <c r="D4330" s="137"/>
      <c r="E4330" s="140"/>
      <c r="F4330" s="141">
        <f>E4329+F4329</f>
        <v>93.9177259326306</v>
      </c>
      <c r="G4330" s="137"/>
    </row>
    <row r="4331" customFormat="1" ht="14.25" spans="1:7">
      <c r="A4331" s="128" t="s">
        <v>1612</v>
      </c>
      <c r="B4331" s="128"/>
      <c r="C4331" s="128"/>
      <c r="D4331" s="128"/>
      <c r="E4331" s="129"/>
      <c r="F4331" s="128"/>
      <c r="G4331" s="128"/>
    </row>
    <row r="4332" customFormat="1" ht="14.25" spans="1:7">
      <c r="A4332" s="130" t="s">
        <v>1619</v>
      </c>
      <c r="B4332" s="130"/>
      <c r="C4332" s="130"/>
      <c r="D4332" s="130"/>
      <c r="E4332" s="131"/>
      <c r="F4332" s="130"/>
      <c r="G4332" s="130"/>
    </row>
    <row r="4333" customFormat="1" ht="14.25" spans="1:7">
      <c r="A4333" s="132" t="s">
        <v>1620</v>
      </c>
      <c r="B4333" s="132"/>
      <c r="C4333" s="132"/>
      <c r="D4333" s="132"/>
      <c r="E4333" s="133"/>
      <c r="F4333" s="134" t="s">
        <v>1614</v>
      </c>
      <c r="G4333" s="134"/>
    </row>
    <row r="4334" customFormat="1" ht="14.25" spans="1:7">
      <c r="A4334" s="135" t="s">
        <v>1184</v>
      </c>
      <c r="B4334" s="135"/>
      <c r="C4334" s="135"/>
      <c r="D4334" s="135"/>
      <c r="E4334" s="136"/>
      <c r="F4334" s="135"/>
      <c r="G4334" s="135"/>
    </row>
    <row r="4335" customFormat="1" ht="14.25" spans="1:7">
      <c r="A4335" s="137" t="s">
        <v>354</v>
      </c>
      <c r="B4335" s="137" t="s">
        <v>1586</v>
      </c>
      <c r="C4335" s="137" t="s">
        <v>52</v>
      </c>
      <c r="D4335" s="137" t="s">
        <v>53</v>
      </c>
      <c r="E4335" s="138" t="s">
        <v>855</v>
      </c>
      <c r="F4335" s="139" t="s">
        <v>306</v>
      </c>
      <c r="G4335" s="137" t="s">
        <v>56</v>
      </c>
    </row>
    <row r="4336" customFormat="1" ht="14.25" spans="1:7">
      <c r="A4336" s="137" t="s">
        <v>57</v>
      </c>
      <c r="B4336" s="137" t="s">
        <v>960</v>
      </c>
      <c r="C4336" s="137"/>
      <c r="D4336" s="137"/>
      <c r="E4336" s="140"/>
      <c r="F4336" s="141">
        <f>F4337+F4348+F4349</f>
        <v>56.620296</v>
      </c>
      <c r="G4336" s="137"/>
    </row>
    <row r="4337" customFormat="1" ht="14.25" spans="1:7">
      <c r="A4337" s="137" t="s">
        <v>1534</v>
      </c>
      <c r="B4337" s="137" t="s">
        <v>957</v>
      </c>
      <c r="C4337" s="137"/>
      <c r="D4337" s="137"/>
      <c r="E4337" s="140"/>
      <c r="F4337" s="141">
        <f>F4338+F4341+F4346</f>
        <v>54.027</v>
      </c>
      <c r="G4337" s="137"/>
    </row>
    <row r="4338" customFormat="1" ht="14.25" spans="1:7">
      <c r="A4338" s="137">
        <v>1</v>
      </c>
      <c r="B4338" s="137" t="s">
        <v>963</v>
      </c>
      <c r="C4338" s="142"/>
      <c r="D4338" s="137"/>
      <c r="E4338" s="140"/>
      <c r="F4338" s="143">
        <f>SUM(F4339:F4340)</f>
        <v>54.027</v>
      </c>
      <c r="G4338" s="137"/>
    </row>
    <row r="4339" customFormat="1" ht="14.25" spans="1:7">
      <c r="A4339" s="137"/>
      <c r="B4339" s="142" t="s">
        <v>966</v>
      </c>
      <c r="C4339" s="142" t="s">
        <v>965</v>
      </c>
      <c r="D4339" s="137">
        <v>0.9</v>
      </c>
      <c r="E4339" s="140">
        <v>8.1</v>
      </c>
      <c r="F4339" s="143">
        <f>E4339*D4339</f>
        <v>7.29</v>
      </c>
      <c r="G4339" s="137"/>
    </row>
    <row r="4340" customFormat="1" ht="14.25" spans="1:7">
      <c r="A4340" s="137"/>
      <c r="B4340" s="142" t="s">
        <v>968</v>
      </c>
      <c r="C4340" s="142" t="s">
        <v>965</v>
      </c>
      <c r="D4340" s="137">
        <v>8.1</v>
      </c>
      <c r="E4340" s="140">
        <v>5.77</v>
      </c>
      <c r="F4340" s="143">
        <f>E4340*D4340</f>
        <v>46.737</v>
      </c>
      <c r="G4340" s="137"/>
    </row>
    <row r="4341" customFormat="1" ht="14.25" spans="1:7">
      <c r="A4341" s="137">
        <v>2</v>
      </c>
      <c r="B4341" s="137" t="s">
        <v>967</v>
      </c>
      <c r="C4341" s="142"/>
      <c r="D4341" s="137"/>
      <c r="E4341" s="140"/>
      <c r="F4341" s="143">
        <f>SUM(F4342:F4345)</f>
        <v>0</v>
      </c>
      <c r="G4341" s="137"/>
    </row>
    <row r="4342" customFormat="1" ht="14.25" spans="1:7">
      <c r="A4342" s="137"/>
      <c r="B4342" s="137" t="s">
        <v>1615</v>
      </c>
      <c r="C4342" s="142" t="s">
        <v>90</v>
      </c>
      <c r="D4342" s="137"/>
      <c r="E4342" s="140"/>
      <c r="F4342" s="143"/>
      <c r="G4342" s="137"/>
    </row>
    <row r="4343" customFormat="1" ht="14.25" spans="1:7">
      <c r="A4343" s="137"/>
      <c r="B4343" s="137" t="s">
        <v>1616</v>
      </c>
      <c r="C4343" s="142" t="s">
        <v>184</v>
      </c>
      <c r="D4343" s="137"/>
      <c r="E4343" s="140">
        <v>3.88</v>
      </c>
      <c r="F4343" s="143">
        <f t="shared" ref="F4343:F4353" si="442">D4343*E4343</f>
        <v>0</v>
      </c>
      <c r="G4343" s="137"/>
    </row>
    <row r="4344" customFormat="1" ht="14.25" spans="1:7">
      <c r="A4344" s="137"/>
      <c r="B4344" s="137" t="s">
        <v>1617</v>
      </c>
      <c r="C4344" s="142" t="s">
        <v>184</v>
      </c>
      <c r="D4344" s="137"/>
      <c r="E4344" s="140">
        <v>11.44</v>
      </c>
      <c r="F4344" s="143">
        <f t="shared" si="442"/>
        <v>0</v>
      </c>
      <c r="G4344" s="137"/>
    </row>
    <row r="4345" customFormat="1" ht="14.25" spans="1:7">
      <c r="A4345" s="137"/>
      <c r="B4345" s="137" t="s">
        <v>1163</v>
      </c>
      <c r="C4345" s="137"/>
      <c r="D4345" s="137"/>
      <c r="E4345" s="140">
        <v>1</v>
      </c>
      <c r="F4345" s="147">
        <f>E4345*D4345</f>
        <v>0</v>
      </c>
      <c r="G4345" s="137"/>
    </row>
    <row r="4346" customFormat="1" ht="14.25" spans="1:7">
      <c r="A4346" s="137">
        <v>3</v>
      </c>
      <c r="B4346" s="137" t="s">
        <v>974</v>
      </c>
      <c r="C4346" s="137"/>
      <c r="D4346" s="137"/>
      <c r="E4346" s="140"/>
      <c r="F4346" s="143">
        <f>F4347</f>
        <v>0</v>
      </c>
      <c r="G4346" s="137"/>
    </row>
    <row r="4347" customFormat="1" ht="14.25" spans="1:7">
      <c r="A4347" s="137"/>
      <c r="B4347" s="137" t="s">
        <v>1618</v>
      </c>
      <c r="C4347" s="137" t="s">
        <v>988</v>
      </c>
      <c r="D4347" s="137"/>
      <c r="E4347" s="140">
        <f>259.73/8</f>
        <v>32.46625</v>
      </c>
      <c r="F4347" s="143">
        <f t="shared" si="442"/>
        <v>0</v>
      </c>
      <c r="G4347" s="137"/>
    </row>
    <row r="4348" customFormat="1" ht="14.25" spans="1:7">
      <c r="A4348" s="137" t="s">
        <v>1536</v>
      </c>
      <c r="B4348" s="137" t="s">
        <v>977</v>
      </c>
      <c r="C4348" s="144"/>
      <c r="D4348" s="145">
        <f t="shared" ref="D4348:D4353" si="443">D4324</f>
        <v>0.048</v>
      </c>
      <c r="E4348" s="140">
        <f>F4337</f>
        <v>54.027</v>
      </c>
      <c r="F4348" s="143">
        <f t="shared" si="442"/>
        <v>2.593296</v>
      </c>
      <c r="G4348" s="137"/>
    </row>
    <row r="4349" customFormat="1" ht="14.25" spans="1:7">
      <c r="A4349" s="137"/>
      <c r="B4349" s="137"/>
      <c r="C4349" s="144"/>
      <c r="D4349" s="145"/>
      <c r="E4349" s="140"/>
      <c r="F4349" s="143"/>
      <c r="G4349" s="137"/>
    </row>
    <row r="4350" customFormat="1" ht="14.25" spans="1:7">
      <c r="A4350" s="137" t="s">
        <v>72</v>
      </c>
      <c r="B4350" s="137" t="s">
        <v>973</v>
      </c>
      <c r="C4350" s="144"/>
      <c r="D4350" s="145">
        <f t="shared" si="443"/>
        <v>0.0725</v>
      </c>
      <c r="E4350" s="140">
        <f>F4336</f>
        <v>56.620296</v>
      </c>
      <c r="F4350" s="143">
        <f t="shared" si="442"/>
        <v>4.10497146</v>
      </c>
      <c r="G4350" s="137"/>
    </row>
    <row r="4351" customFormat="1" ht="14.25" spans="1:7">
      <c r="A4351" s="137" t="s">
        <v>162</v>
      </c>
      <c r="B4351" s="137" t="s">
        <v>975</v>
      </c>
      <c r="C4351" s="145"/>
      <c r="D4351" s="145">
        <f t="shared" si="443"/>
        <v>0.05</v>
      </c>
      <c r="E4351" s="140">
        <f>F4336+F4350</f>
        <v>60.72526746</v>
      </c>
      <c r="F4351" s="143">
        <f t="shared" si="442"/>
        <v>3.036263373</v>
      </c>
      <c r="G4351" s="137"/>
    </row>
    <row r="4352" customFormat="1" ht="14.25" spans="1:7">
      <c r="A4352" s="137" t="s">
        <v>214</v>
      </c>
      <c r="B4352" s="137" t="s">
        <v>1596</v>
      </c>
      <c r="C4352" s="145"/>
      <c r="D4352" s="145">
        <f t="shared" si="443"/>
        <v>0.09</v>
      </c>
      <c r="E4352" s="140">
        <f>F4336+F4350+F4351</f>
        <v>63.761530833</v>
      </c>
      <c r="F4352" s="143">
        <f t="shared" si="442"/>
        <v>5.73853777497</v>
      </c>
      <c r="G4352" s="137"/>
    </row>
    <row r="4353" customFormat="1" ht="14.25" spans="1:7">
      <c r="A4353" s="137"/>
      <c r="B4353" s="137" t="s">
        <v>1192</v>
      </c>
      <c r="C4353" s="145"/>
      <c r="D4353" s="145">
        <f t="shared" si="443"/>
        <v>0.03</v>
      </c>
      <c r="E4353" s="140">
        <f>E4352+F4352</f>
        <v>69.50006860797</v>
      </c>
      <c r="F4353" s="141">
        <f t="shared" si="442"/>
        <v>2.0850020582391</v>
      </c>
      <c r="G4353" s="137"/>
    </row>
    <row r="4354" customFormat="1" ht="14.25" spans="1:7">
      <c r="A4354" s="137"/>
      <c r="B4354" s="137" t="s">
        <v>1193</v>
      </c>
      <c r="C4354" s="137"/>
      <c r="D4354" s="137"/>
      <c r="E4354" s="140"/>
      <c r="F4354" s="141">
        <f>E4353+F4353</f>
        <v>71.5850706662091</v>
      </c>
      <c r="G4354" s="137"/>
    </row>
    <row r="4355" customFormat="1" ht="14.25" spans="1:7">
      <c r="A4355" s="128" t="s">
        <v>1612</v>
      </c>
      <c r="B4355" s="128"/>
      <c r="C4355" s="128"/>
      <c r="D4355" s="128"/>
      <c r="E4355" s="129"/>
      <c r="F4355" s="128"/>
      <c r="G4355" s="128"/>
    </row>
    <row r="4356" customFormat="1" ht="14.25" spans="1:7">
      <c r="A4356" s="130" t="s">
        <v>1621</v>
      </c>
      <c r="B4356" s="130"/>
      <c r="C4356" s="130"/>
      <c r="D4356" s="130"/>
      <c r="E4356" s="131"/>
      <c r="F4356" s="130"/>
      <c r="G4356" s="130"/>
    </row>
    <row r="4357" customFormat="1" ht="14.25" spans="1:7">
      <c r="A4357" s="146" t="s">
        <v>1622</v>
      </c>
      <c r="B4357" s="146"/>
      <c r="C4357" s="146"/>
      <c r="D4357" s="146"/>
      <c r="E4357" s="133"/>
      <c r="F4357" s="134" t="s">
        <v>1614</v>
      </c>
      <c r="G4357" s="134"/>
    </row>
    <row r="4358" customFormat="1" ht="14.25" spans="1:7">
      <c r="A4358" s="135" t="s">
        <v>1184</v>
      </c>
      <c r="B4358" s="135"/>
      <c r="C4358" s="135"/>
      <c r="D4358" s="135"/>
      <c r="E4358" s="136"/>
      <c r="F4358" s="135"/>
      <c r="G4358" s="135"/>
    </row>
    <row r="4359" customFormat="1" ht="14.25" spans="1:7">
      <c r="A4359" s="137" t="s">
        <v>354</v>
      </c>
      <c r="B4359" s="137" t="s">
        <v>1586</v>
      </c>
      <c r="C4359" s="137" t="s">
        <v>52</v>
      </c>
      <c r="D4359" s="137" t="s">
        <v>53</v>
      </c>
      <c r="E4359" s="138" t="s">
        <v>855</v>
      </c>
      <c r="F4359" s="139" t="s">
        <v>306</v>
      </c>
      <c r="G4359" s="137" t="s">
        <v>56</v>
      </c>
    </row>
    <row r="4360" customFormat="1" ht="14.25" spans="1:7">
      <c r="A4360" s="137" t="s">
        <v>57</v>
      </c>
      <c r="B4360" s="137" t="s">
        <v>960</v>
      </c>
      <c r="C4360" s="137"/>
      <c r="D4360" s="137"/>
      <c r="E4360" s="140"/>
      <c r="F4360" s="141">
        <f>F4361+F4372+F4373</f>
        <v>63.42995896</v>
      </c>
      <c r="G4360" s="137"/>
    </row>
    <row r="4361" customFormat="1" ht="14.25" spans="1:7">
      <c r="A4361" s="137" t="s">
        <v>1534</v>
      </c>
      <c r="B4361" s="137" t="s">
        <v>957</v>
      </c>
      <c r="C4361" s="137"/>
      <c r="D4361" s="137"/>
      <c r="E4361" s="140"/>
      <c r="F4361" s="141">
        <f>F4362+F4365+F4370</f>
        <v>60.52477</v>
      </c>
      <c r="G4361" s="137"/>
    </row>
    <row r="4362" customFormat="1" ht="14.25" spans="1:7">
      <c r="A4362" s="137">
        <v>1</v>
      </c>
      <c r="B4362" s="137" t="s">
        <v>963</v>
      </c>
      <c r="C4362" s="142"/>
      <c r="D4362" s="137"/>
      <c r="E4362" s="140"/>
      <c r="F4362" s="143">
        <f>SUM(F4363:F4364)</f>
        <v>17.6328</v>
      </c>
      <c r="G4362" s="137"/>
    </row>
    <row r="4363" customFormat="1" ht="14.25" spans="1:7">
      <c r="A4363" s="137"/>
      <c r="B4363" s="142" t="s">
        <v>966</v>
      </c>
      <c r="C4363" s="142" t="s">
        <v>965</v>
      </c>
      <c r="D4363" s="137">
        <f>(0.215+0.036-0.043)*8</f>
        <v>1.664</v>
      </c>
      <c r="E4363" s="140">
        <v>8.1</v>
      </c>
      <c r="F4363" s="143">
        <f>E4363*D4363</f>
        <v>13.4784</v>
      </c>
      <c r="G4363" s="137"/>
    </row>
    <row r="4364" customFormat="1" ht="14.25" spans="1:7">
      <c r="A4364" s="137"/>
      <c r="B4364" s="142" t="s">
        <v>968</v>
      </c>
      <c r="C4364" s="142" t="s">
        <v>965</v>
      </c>
      <c r="D4364" s="137">
        <f>0.108*8-0.018*8</f>
        <v>0.72</v>
      </c>
      <c r="E4364" s="140">
        <v>5.77</v>
      </c>
      <c r="F4364" s="143">
        <f>E4364*D4364</f>
        <v>4.1544</v>
      </c>
      <c r="G4364" s="137"/>
    </row>
    <row r="4365" customFormat="1" ht="14.25" spans="1:7">
      <c r="A4365" s="137">
        <v>2</v>
      </c>
      <c r="B4365" s="137" t="s">
        <v>967</v>
      </c>
      <c r="C4365" s="142"/>
      <c r="D4365" s="137"/>
      <c r="E4365" s="140"/>
      <c r="F4365" s="143">
        <f>SUM(F4366:F4369)</f>
        <v>0.03652</v>
      </c>
      <c r="G4365" s="137"/>
    </row>
    <row r="4366" customFormat="1" ht="14.25" spans="1:7">
      <c r="A4366" s="137"/>
      <c r="B4366" s="137" t="s">
        <v>1615</v>
      </c>
      <c r="C4366" s="142" t="s">
        <v>90</v>
      </c>
      <c r="D4366" s="137">
        <v>10</v>
      </c>
      <c r="E4366" s="140"/>
      <c r="F4366" s="143"/>
      <c r="G4366" s="137"/>
    </row>
    <row r="4367" customFormat="1" ht="14.25" spans="1:7">
      <c r="A4367" s="137"/>
      <c r="B4367" s="137" t="s">
        <v>1616</v>
      </c>
      <c r="C4367" s="142" t="s">
        <v>184</v>
      </c>
      <c r="D4367" s="137">
        <f>0.025-0.022</f>
        <v>0.003</v>
      </c>
      <c r="E4367" s="140">
        <v>3.88</v>
      </c>
      <c r="F4367" s="143">
        <f t="shared" ref="F4367:F4377" si="444">D4367*E4367</f>
        <v>0.01164</v>
      </c>
      <c r="G4367" s="137"/>
    </row>
    <row r="4368" customFormat="1" ht="14.25" spans="1:7">
      <c r="A4368" s="137"/>
      <c r="B4368" s="137" t="s">
        <v>1617</v>
      </c>
      <c r="C4368" s="142" t="s">
        <v>184</v>
      </c>
      <c r="D4368" s="137">
        <v>0.002</v>
      </c>
      <c r="E4368" s="140">
        <v>11.44</v>
      </c>
      <c r="F4368" s="143">
        <f t="shared" si="444"/>
        <v>0.02288</v>
      </c>
      <c r="G4368" s="137"/>
    </row>
    <row r="4369" customFormat="1" ht="14.25" spans="1:7">
      <c r="A4369" s="137"/>
      <c r="B4369" s="137" t="s">
        <v>1163</v>
      </c>
      <c r="C4369" s="137"/>
      <c r="D4369" s="137">
        <v>0.002</v>
      </c>
      <c r="E4369" s="140">
        <v>1</v>
      </c>
      <c r="F4369" s="147">
        <f>E4369*D4369</f>
        <v>0.002</v>
      </c>
      <c r="G4369" s="137"/>
    </row>
    <row r="4370" customFormat="1" ht="14.25" spans="1:7">
      <c r="A4370" s="137">
        <v>3</v>
      </c>
      <c r="B4370" s="137" t="s">
        <v>974</v>
      </c>
      <c r="C4370" s="137"/>
      <c r="D4370" s="137"/>
      <c r="E4370" s="140"/>
      <c r="F4370" s="143">
        <f>F4371</f>
        <v>42.85545</v>
      </c>
      <c r="G4370" s="137"/>
    </row>
    <row r="4371" customFormat="1" ht="14.25" spans="1:7">
      <c r="A4371" s="137"/>
      <c r="B4371" s="137" t="s">
        <v>1618</v>
      </c>
      <c r="C4371" s="137" t="s">
        <v>988</v>
      </c>
      <c r="D4371" s="137">
        <f>0.218*8-0.053*8</f>
        <v>1.32</v>
      </c>
      <c r="E4371" s="140">
        <f>259.73/8</f>
        <v>32.46625</v>
      </c>
      <c r="F4371" s="143">
        <f t="shared" si="444"/>
        <v>42.85545</v>
      </c>
      <c r="G4371" s="137"/>
    </row>
    <row r="4372" customFormat="1" ht="14.25" spans="1:7">
      <c r="A4372" s="137" t="s">
        <v>1536</v>
      </c>
      <c r="B4372" s="137" t="s">
        <v>977</v>
      </c>
      <c r="C4372" s="144"/>
      <c r="D4372" s="145">
        <f t="shared" ref="D4372:D4377" si="445">D4348</f>
        <v>0.048</v>
      </c>
      <c r="E4372" s="140">
        <f>F4361</f>
        <v>60.52477</v>
      </c>
      <c r="F4372" s="143">
        <f t="shared" si="444"/>
        <v>2.90518896</v>
      </c>
      <c r="G4372" s="137"/>
    </row>
    <row r="4373" customFormat="1" ht="14.25" spans="1:7">
      <c r="A4373" s="137" t="s">
        <v>1595</v>
      </c>
      <c r="B4373" s="137" t="s">
        <v>1191</v>
      </c>
      <c r="C4373" s="144"/>
      <c r="D4373" s="145">
        <f t="shared" si="445"/>
        <v>0</v>
      </c>
      <c r="E4373" s="140">
        <f>F4361</f>
        <v>60.52477</v>
      </c>
      <c r="F4373" s="143">
        <f t="shared" si="444"/>
        <v>0</v>
      </c>
      <c r="G4373" s="137"/>
    </row>
    <row r="4374" customFormat="1" ht="14.25" spans="1:7">
      <c r="A4374" s="137" t="s">
        <v>72</v>
      </c>
      <c r="B4374" s="137" t="s">
        <v>973</v>
      </c>
      <c r="C4374" s="144"/>
      <c r="D4374" s="145">
        <f t="shared" si="445"/>
        <v>0.0725</v>
      </c>
      <c r="E4374" s="140">
        <f>F4360</f>
        <v>63.42995896</v>
      </c>
      <c r="F4374" s="143">
        <f t="shared" si="444"/>
        <v>4.5986720246</v>
      </c>
      <c r="G4374" s="137"/>
    </row>
    <row r="4375" customFormat="1" ht="14.25" spans="1:7">
      <c r="A4375" s="137" t="s">
        <v>162</v>
      </c>
      <c r="B4375" s="137" t="s">
        <v>975</v>
      </c>
      <c r="C4375" s="145"/>
      <c r="D4375" s="145">
        <f t="shared" si="445"/>
        <v>0.05</v>
      </c>
      <c r="E4375" s="140">
        <f>F4360+F4374</f>
        <v>68.0286309846</v>
      </c>
      <c r="F4375" s="143">
        <f t="shared" si="444"/>
        <v>3.40143154923</v>
      </c>
      <c r="G4375" s="137"/>
    </row>
    <row r="4376" customFormat="1" ht="14.25" spans="1:7">
      <c r="A4376" s="137" t="s">
        <v>214</v>
      </c>
      <c r="B4376" s="137" t="s">
        <v>1596</v>
      </c>
      <c r="C4376" s="145"/>
      <c r="D4376" s="145">
        <f t="shared" si="445"/>
        <v>0.09</v>
      </c>
      <c r="E4376" s="140">
        <f>F4360+F4374+F4375</f>
        <v>71.43006253383</v>
      </c>
      <c r="F4376" s="143">
        <f t="shared" si="444"/>
        <v>6.4287056280447</v>
      </c>
      <c r="G4376" s="137"/>
    </row>
    <row r="4377" customFormat="1" ht="14.25" spans="1:7">
      <c r="A4377" s="137"/>
      <c r="B4377" s="137" t="s">
        <v>1192</v>
      </c>
      <c r="C4377" s="145"/>
      <c r="D4377" s="145">
        <f t="shared" si="445"/>
        <v>0.03</v>
      </c>
      <c r="E4377" s="140">
        <f>E4376+F4376</f>
        <v>77.8587681618747</v>
      </c>
      <c r="F4377" s="141">
        <f t="shared" si="444"/>
        <v>2.33576304485624</v>
      </c>
      <c r="G4377" s="137"/>
    </row>
    <row r="4378" customFormat="1" ht="14.25" spans="1:7">
      <c r="A4378" s="137"/>
      <c r="B4378" s="137" t="s">
        <v>1193</v>
      </c>
      <c r="C4378" s="137"/>
      <c r="D4378" s="137"/>
      <c r="E4378" s="140"/>
      <c r="F4378" s="141">
        <f>E4377+F4377</f>
        <v>80.1945312067309</v>
      </c>
      <c r="G4378" s="137"/>
    </row>
  </sheetData>
  <mergeCells count="157">
    <mergeCell ref="A2:F2"/>
    <mergeCell ref="M2:R2"/>
    <mergeCell ref="A24:F24"/>
    <mergeCell ref="G24:K24"/>
    <mergeCell ref="M25:R25"/>
    <mergeCell ref="A43:F43"/>
    <mergeCell ref="G65:L65"/>
    <mergeCell ref="A87:F87"/>
    <mergeCell ref="G90:L90"/>
    <mergeCell ref="G91:L91"/>
    <mergeCell ref="H93:L93"/>
    <mergeCell ref="A109:F109"/>
    <mergeCell ref="G115:L115"/>
    <mergeCell ref="G116:L116"/>
    <mergeCell ref="H118:L118"/>
    <mergeCell ref="A131:F131"/>
    <mergeCell ref="G140:L140"/>
    <mergeCell ref="G141:L141"/>
    <mergeCell ref="H143:L143"/>
    <mergeCell ref="A176:F176"/>
    <mergeCell ref="G176:K176"/>
    <mergeCell ref="H177:I177"/>
    <mergeCell ref="G271:L271"/>
    <mergeCell ref="A321:F321"/>
    <mergeCell ref="A359:F359"/>
    <mergeCell ref="A434:F434"/>
    <mergeCell ref="G434:K434"/>
    <mergeCell ref="A435:F435"/>
    <mergeCell ref="G435:K435"/>
    <mergeCell ref="A459:F459"/>
    <mergeCell ref="A460:F460"/>
    <mergeCell ref="A461:B461"/>
    <mergeCell ref="A477:F477"/>
    <mergeCell ref="A478:F478"/>
    <mergeCell ref="A520:F520"/>
    <mergeCell ref="G520:K520"/>
    <mergeCell ref="A521:F521"/>
    <mergeCell ref="G521:K521"/>
    <mergeCell ref="A522:B522"/>
    <mergeCell ref="E522:F522"/>
    <mergeCell ref="J522:K522"/>
    <mergeCell ref="A523:F523"/>
    <mergeCell ref="G523:K523"/>
    <mergeCell ref="A558:F558"/>
    <mergeCell ref="A559:F559"/>
    <mergeCell ref="H596:M596"/>
    <mergeCell ref="H597:M597"/>
    <mergeCell ref="A680:F680"/>
    <mergeCell ref="A681:F681"/>
    <mergeCell ref="A722:F722"/>
    <mergeCell ref="A723:F723"/>
    <mergeCell ref="A760:F760"/>
    <mergeCell ref="G760:K760"/>
    <mergeCell ref="A761:F761"/>
    <mergeCell ref="G761:K761"/>
    <mergeCell ref="A804:F804"/>
    <mergeCell ref="A852:F852"/>
    <mergeCell ref="A900:F900"/>
    <mergeCell ref="G900:K900"/>
    <mergeCell ref="A946:F946"/>
    <mergeCell ref="G946:K946"/>
    <mergeCell ref="A947:F947"/>
    <mergeCell ref="G947:L947"/>
    <mergeCell ref="A993:F993"/>
    <mergeCell ref="G993:L993"/>
    <mergeCell ref="A1040:F1040"/>
    <mergeCell ref="A1086:F1086"/>
    <mergeCell ref="A1132:F1132"/>
    <mergeCell ref="A1178:F1178"/>
    <mergeCell ref="A1272:F1272"/>
    <mergeCell ref="A1414:F1414"/>
    <mergeCell ref="G1414:K1414"/>
    <mergeCell ref="G1415:K1415"/>
    <mergeCell ref="A1461:F1461"/>
    <mergeCell ref="A2243:F2243"/>
    <mergeCell ref="A2260:F2260"/>
    <mergeCell ref="A2277:F2277"/>
    <mergeCell ref="A2320:F2320"/>
    <mergeCell ref="A2441:F2441"/>
    <mergeCell ref="A2479:F2479"/>
    <mergeCell ref="A2558:F2558"/>
    <mergeCell ref="A2579:F2579"/>
    <mergeCell ref="M2673:Q2673"/>
    <mergeCell ref="A2676:B2676"/>
    <mergeCell ref="M2697:Q2697"/>
    <mergeCell ref="A3315:F3315"/>
    <mergeCell ref="A3316:F3316"/>
    <mergeCell ref="A3329:F3329"/>
    <mergeCell ref="A3330:F3330"/>
    <mergeCell ref="A3343:F3343"/>
    <mergeCell ref="A3344:F3344"/>
    <mergeCell ref="A3446:F3446"/>
    <mergeCell ref="A3447:F3447"/>
    <mergeCell ref="A3623:B3623"/>
    <mergeCell ref="A3624:B3624"/>
    <mergeCell ref="A3682:B3682"/>
    <mergeCell ref="A3683:B3683"/>
    <mergeCell ref="A3705:B3705"/>
    <mergeCell ref="A3706:B3706"/>
    <mergeCell ref="A3857:B3857"/>
    <mergeCell ref="A3858:B3858"/>
    <mergeCell ref="H3882:M3882"/>
    <mergeCell ref="H3883:M3883"/>
    <mergeCell ref="H3884:I3884"/>
    <mergeCell ref="J3884:K3884"/>
    <mergeCell ref="L3884:M3884"/>
    <mergeCell ref="H3885:M3885"/>
    <mergeCell ref="A3933:F3933"/>
    <mergeCell ref="A3934:F3934"/>
    <mergeCell ref="A3971:F3971"/>
    <mergeCell ref="A3972:F3972"/>
    <mergeCell ref="A4010:F4010"/>
    <mergeCell ref="A4048:F4048"/>
    <mergeCell ref="A4085:F4085"/>
    <mergeCell ref="G4085:L4085"/>
    <mergeCell ref="A4086:F4086"/>
    <mergeCell ref="G4086:L4086"/>
    <mergeCell ref="A4088:D4088"/>
    <mergeCell ref="G4088:J4088"/>
    <mergeCell ref="A4123:F4123"/>
    <mergeCell ref="A4124:F4124"/>
    <mergeCell ref="E4125:F4125"/>
    <mergeCell ref="A4126:F4126"/>
    <mergeCell ref="A4142:F4142"/>
    <mergeCell ref="A4143:F4143"/>
    <mergeCell ref="E4144:F4144"/>
    <mergeCell ref="A4145:F4145"/>
    <mergeCell ref="A4161:F4161"/>
    <mergeCell ref="H4161:M4161"/>
    <mergeCell ref="A4162:F4162"/>
    <mergeCell ref="H4162:M4162"/>
    <mergeCell ref="H4163:M4163"/>
    <mergeCell ref="B4164:F4164"/>
    <mergeCell ref="H4164:M4164"/>
    <mergeCell ref="A4199:F4199"/>
    <mergeCell ref="A4200:F4200"/>
    <mergeCell ref="A4241:F4241"/>
    <mergeCell ref="A4242:F4242"/>
    <mergeCell ref="A4243:F4243"/>
    <mergeCell ref="A4244:F4244"/>
    <mergeCell ref="A4268:F4268"/>
    <mergeCell ref="A4269:F4269"/>
    <mergeCell ref="A4307:G4307"/>
    <mergeCell ref="A4308:G4308"/>
    <mergeCell ref="A4309:D4309"/>
    <mergeCell ref="F4309:G4309"/>
    <mergeCell ref="A4310:G4310"/>
    <mergeCell ref="A4331:G4331"/>
    <mergeCell ref="A4332:G4332"/>
    <mergeCell ref="A4333:D4333"/>
    <mergeCell ref="F4333:G4333"/>
    <mergeCell ref="A4334:G4334"/>
    <mergeCell ref="A4355:G4355"/>
    <mergeCell ref="A4356:G4356"/>
    <mergeCell ref="A4357:D4357"/>
    <mergeCell ref="F4357:G4357"/>
    <mergeCell ref="A4358:G4358"/>
  </mergeCells>
  <printOptions horizontalCentered="1" verticalCentered="1"/>
  <pageMargins left="0.747916666666667" right="0.747916666666667" top="0.984027777777778" bottom="0.786805555555556" header="0.510416666666667" footer="0.510416666666667"/>
  <pageSetup paperSize="9" orientation="portrait"/>
  <headerFooter alignWithMargins="0" scaleWithDoc="0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K317"/>
  <sheetViews>
    <sheetView workbookViewId="0">
      <selection activeCell="L303" sqref="L303"/>
    </sheetView>
  </sheetViews>
  <sheetFormatPr defaultColWidth="9" defaultRowHeight="16.5" customHeight="1"/>
  <cols>
    <col min="1" max="1" width="3.75" style="289" customWidth="1"/>
    <col min="2" max="2" width="12.625" style="289" customWidth="1"/>
    <col min="3" max="3" width="11" style="289" customWidth="1"/>
    <col min="4" max="4" width="10" style="289" customWidth="1"/>
    <col min="5" max="5" width="9.375" style="289" customWidth="1"/>
    <col min="6" max="6" width="8.875" style="289" customWidth="1"/>
    <col min="7" max="7" width="9.875" style="289" customWidth="1"/>
    <col min="8" max="8" width="9.7" style="289" customWidth="1"/>
    <col min="9" max="16384" width="9" style="289"/>
  </cols>
  <sheetData>
    <row r="1" ht="17.2" customHeight="1" spans="1:8">
      <c r="A1" s="166" t="s">
        <v>1623</v>
      </c>
      <c r="B1" s="166"/>
      <c r="C1" s="166"/>
      <c r="D1" s="166"/>
      <c r="E1" s="166"/>
      <c r="F1" s="166"/>
      <c r="G1" s="166"/>
      <c r="H1" s="166"/>
    </row>
    <row r="2" ht="17.2" customHeight="1" spans="1:8">
      <c r="A2" s="166"/>
      <c r="B2" s="166"/>
      <c r="C2" s="166"/>
      <c r="D2" s="166"/>
      <c r="E2" s="166"/>
      <c r="F2" s="166"/>
      <c r="G2" s="166"/>
      <c r="H2" s="166"/>
    </row>
    <row r="3" ht="17.2" customHeight="1" spans="1:8">
      <c r="A3" s="166"/>
      <c r="B3" s="166"/>
      <c r="C3" s="166"/>
      <c r="D3" s="166"/>
      <c r="E3" s="166"/>
      <c r="F3" s="166"/>
      <c r="G3" s="166"/>
      <c r="H3" s="166"/>
    </row>
    <row r="4" ht="17.2" customHeight="1" spans="1:8">
      <c r="A4" s="57" t="s">
        <v>1624</v>
      </c>
      <c r="B4" s="57"/>
      <c r="C4" s="57">
        <v>1</v>
      </c>
      <c r="D4" s="57">
        <v>2</v>
      </c>
      <c r="E4" s="57">
        <v>3</v>
      </c>
      <c r="F4" s="57">
        <v>4</v>
      </c>
      <c r="G4" s="57">
        <v>5</v>
      </c>
      <c r="H4" s="57">
        <v>6</v>
      </c>
    </row>
    <row r="5" ht="17.2" customHeight="1" spans="1:8">
      <c r="A5" s="57" t="s">
        <v>1625</v>
      </c>
      <c r="B5" s="57"/>
      <c r="C5" s="57" t="s">
        <v>1626</v>
      </c>
      <c r="D5" s="57" t="s">
        <v>1627</v>
      </c>
      <c r="E5" s="57" t="s">
        <v>1627</v>
      </c>
      <c r="F5" s="57" t="s">
        <v>1628</v>
      </c>
      <c r="G5" s="57" t="s">
        <v>1628</v>
      </c>
      <c r="H5" s="57" t="s">
        <v>1545</v>
      </c>
    </row>
    <row r="6" ht="17.2" customHeight="1" spans="1:8">
      <c r="A6" s="57" t="s">
        <v>1629</v>
      </c>
      <c r="B6" s="57"/>
      <c r="C6" s="57" t="s">
        <v>1630</v>
      </c>
      <c r="D6" s="57" t="s">
        <v>1631</v>
      </c>
      <c r="E6" s="57" t="s">
        <v>1632</v>
      </c>
      <c r="F6" s="57" t="s">
        <v>1631</v>
      </c>
      <c r="G6" s="57" t="s">
        <v>1632</v>
      </c>
      <c r="H6" s="57" t="s">
        <v>1633</v>
      </c>
    </row>
    <row r="7" ht="17.2" customHeight="1" spans="1:8">
      <c r="A7" s="57" t="s">
        <v>1634</v>
      </c>
      <c r="B7" s="57"/>
      <c r="C7" s="57">
        <v>1002</v>
      </c>
      <c r="D7" s="57">
        <v>1042</v>
      </c>
      <c r="E7" s="57">
        <v>1043</v>
      </c>
      <c r="F7" s="57">
        <v>1061</v>
      </c>
      <c r="G7" s="57">
        <v>1.62</v>
      </c>
      <c r="H7" s="57">
        <v>1034</v>
      </c>
    </row>
    <row r="8" ht="17.2" customHeight="1" spans="1:8">
      <c r="A8" s="290" t="s">
        <v>1635</v>
      </c>
      <c r="B8" s="61" t="s">
        <v>1636</v>
      </c>
      <c r="C8" s="57">
        <v>28.77</v>
      </c>
      <c r="D8" s="57">
        <v>10.8</v>
      </c>
      <c r="E8" s="57">
        <v>19</v>
      </c>
      <c r="F8" s="57">
        <v>5.7</v>
      </c>
      <c r="G8" s="57">
        <v>9.65</v>
      </c>
      <c r="H8" s="57">
        <v>0.17</v>
      </c>
    </row>
    <row r="9" ht="17.2" customHeight="1" spans="1:8">
      <c r="A9" s="291"/>
      <c r="B9" s="61" t="s">
        <v>1637</v>
      </c>
      <c r="C9" s="57">
        <v>29.63</v>
      </c>
      <c r="D9" s="57">
        <v>13.02</v>
      </c>
      <c r="E9" s="57">
        <v>22.81</v>
      </c>
      <c r="F9" s="57">
        <v>6.84</v>
      </c>
      <c r="G9" s="57">
        <v>11.38</v>
      </c>
      <c r="H9" s="57">
        <v>1.01</v>
      </c>
    </row>
    <row r="10" ht="17.2" customHeight="1" spans="1:8">
      <c r="A10" s="291"/>
      <c r="B10" s="61" t="s">
        <v>1638</v>
      </c>
      <c r="C10" s="57">
        <v>2.42</v>
      </c>
      <c r="D10" s="57">
        <v>0.49</v>
      </c>
      <c r="E10" s="57">
        <v>0.86</v>
      </c>
      <c r="F10" s="57">
        <v>0.37</v>
      </c>
      <c r="G10" s="57">
        <v>0.54</v>
      </c>
      <c r="H10" s="57"/>
    </row>
    <row r="11" ht="17.2" customHeight="1" spans="1:8">
      <c r="A11" s="292"/>
      <c r="B11" s="61" t="s">
        <v>1382</v>
      </c>
      <c r="C11" s="113">
        <f t="shared" ref="C11:H11" si="0">C8/1.15+C9/1.09+C10</f>
        <v>54.6208775428799</v>
      </c>
      <c r="D11" s="113">
        <f t="shared" si="0"/>
        <v>21.8262584762664</v>
      </c>
      <c r="E11" s="113">
        <f t="shared" si="0"/>
        <v>38.3083446350219</v>
      </c>
      <c r="F11" s="113">
        <f t="shared" si="0"/>
        <v>11.6017510969286</v>
      </c>
      <c r="G11" s="113">
        <f t="shared" si="0"/>
        <v>19.3716713203032</v>
      </c>
      <c r="H11" s="113">
        <f t="shared" si="0"/>
        <v>1.07443159154368</v>
      </c>
    </row>
    <row r="12" ht="17.2" customHeight="1" spans="1:11">
      <c r="A12" s="245" t="s">
        <v>1639</v>
      </c>
      <c r="B12" s="61" t="s">
        <v>1640</v>
      </c>
      <c r="C12" s="113">
        <f>2.7</f>
        <v>2.7</v>
      </c>
      <c r="D12" s="57">
        <f t="shared" ref="D12:G12" si="1">2.4</f>
        <v>2.4</v>
      </c>
      <c r="E12" s="57">
        <f t="shared" si="1"/>
        <v>2.4</v>
      </c>
      <c r="F12" s="57">
        <f t="shared" si="1"/>
        <v>2.4</v>
      </c>
      <c r="G12" s="57">
        <f t="shared" si="1"/>
        <v>2.4</v>
      </c>
      <c r="H12" s="57">
        <f>2</f>
        <v>2</v>
      </c>
      <c r="I12" s="293" t="s">
        <v>1640</v>
      </c>
      <c r="J12" s="294">
        <f>材料预算价!K20</f>
        <v>8.1</v>
      </c>
      <c r="K12" s="295" t="s">
        <v>1641</v>
      </c>
    </row>
    <row r="13" ht="17.2" customHeight="1" spans="1:11">
      <c r="A13" s="245"/>
      <c r="B13" s="61" t="s">
        <v>1642</v>
      </c>
      <c r="C13" s="57"/>
      <c r="D13" s="57"/>
      <c r="E13" s="57"/>
      <c r="F13" s="57"/>
      <c r="G13" s="57"/>
      <c r="H13" s="57"/>
      <c r="I13" s="293" t="s">
        <v>1642</v>
      </c>
      <c r="J13" s="295">
        <f>材料预算价!L13</f>
        <v>3.075</v>
      </c>
      <c r="K13" s="295" t="s">
        <v>1643</v>
      </c>
    </row>
    <row r="14" ht="17.2" customHeight="1" spans="1:11">
      <c r="A14" s="245"/>
      <c r="B14" s="61" t="s">
        <v>1644</v>
      </c>
      <c r="C14" s="57">
        <v>14.2</v>
      </c>
      <c r="D14" s="57">
        <v>8.4</v>
      </c>
      <c r="E14" s="57">
        <v>10.6</v>
      </c>
      <c r="F14" s="57">
        <v>7.9</v>
      </c>
      <c r="G14" s="57">
        <v>9.9</v>
      </c>
      <c r="H14" s="57"/>
      <c r="I14" s="293" t="s">
        <v>1644</v>
      </c>
      <c r="J14" s="295">
        <f>材料预算价!L12</f>
        <v>2.99</v>
      </c>
      <c r="K14" s="295" t="s">
        <v>1643</v>
      </c>
    </row>
    <row r="15" ht="17.2" customHeight="1" spans="1:11">
      <c r="A15" s="245"/>
      <c r="B15" s="61" t="s">
        <v>1645</v>
      </c>
      <c r="C15" s="57"/>
      <c r="D15" s="57"/>
      <c r="E15" s="57"/>
      <c r="F15" s="57"/>
      <c r="G15" s="57"/>
      <c r="H15" s="57">
        <v>2.5</v>
      </c>
      <c r="I15" s="293" t="s">
        <v>1645</v>
      </c>
      <c r="J15" s="296">
        <f>材料预算价!K18</f>
        <v>0.51</v>
      </c>
      <c r="K15" s="295" t="s">
        <v>1646</v>
      </c>
    </row>
    <row r="16" ht="17.2" customHeight="1" spans="1:11">
      <c r="A16" s="245"/>
      <c r="B16" s="61" t="s">
        <v>1647</v>
      </c>
      <c r="C16" s="57"/>
      <c r="D16" s="57"/>
      <c r="E16" s="57"/>
      <c r="F16" s="57"/>
      <c r="G16" s="57"/>
      <c r="H16" s="57"/>
      <c r="I16" s="293" t="s">
        <v>1647</v>
      </c>
      <c r="J16" s="296">
        <f>材料预算价!K17</f>
        <v>0.11</v>
      </c>
      <c r="K16" s="295" t="s">
        <v>1648</v>
      </c>
    </row>
    <row r="17" ht="17.2" customHeight="1" spans="1:11">
      <c r="A17" s="245"/>
      <c r="B17" s="61" t="s">
        <v>1649</v>
      </c>
      <c r="C17" s="57"/>
      <c r="D17" s="57"/>
      <c r="E17" s="57"/>
      <c r="F17" s="57"/>
      <c r="G17" s="57"/>
      <c r="H17" s="57"/>
      <c r="I17" s="293" t="s">
        <v>1649</v>
      </c>
      <c r="J17" s="297">
        <f>材料预算价!K14</f>
        <v>4.37</v>
      </c>
      <c r="K17" s="295" t="s">
        <v>1648</v>
      </c>
    </row>
    <row r="18" ht="17.2" customHeight="1" spans="1:11">
      <c r="A18" s="245"/>
      <c r="B18" s="61" t="s">
        <v>1650</v>
      </c>
      <c r="C18" s="57"/>
      <c r="D18" s="57"/>
      <c r="E18" s="57"/>
      <c r="F18" s="57"/>
      <c r="G18" s="57"/>
      <c r="H18" s="57"/>
      <c r="I18" s="293" t="s">
        <v>1650</v>
      </c>
      <c r="J18" s="295">
        <v>0.5</v>
      </c>
      <c r="K18" s="295" t="s">
        <v>1643</v>
      </c>
    </row>
    <row r="19" ht="17.2" customHeight="1" spans="1:11">
      <c r="A19" s="245"/>
      <c r="B19" s="61" t="s">
        <v>1405</v>
      </c>
      <c r="C19" s="57"/>
      <c r="D19" s="57"/>
      <c r="E19" s="57"/>
      <c r="F19" s="57"/>
      <c r="G19" s="57"/>
      <c r="H19" s="57"/>
      <c r="I19" s="293" t="s">
        <v>1405</v>
      </c>
      <c r="J19" s="295">
        <v>0.5</v>
      </c>
      <c r="K19" s="295" t="s">
        <v>1643</v>
      </c>
    </row>
    <row r="20" ht="17.2" customHeight="1" spans="1:8">
      <c r="A20" s="245"/>
      <c r="B20" s="61" t="s">
        <v>1382</v>
      </c>
      <c r="C20" s="113">
        <f>C12*J12+C14*J14</f>
        <v>64.328</v>
      </c>
      <c r="D20" s="113">
        <f>D12*J12+D14*J14</f>
        <v>44.556</v>
      </c>
      <c r="E20" s="113">
        <f>E12*J12+E14*J14</f>
        <v>51.134</v>
      </c>
      <c r="F20" s="113">
        <f>F12*J12+F14*J14</f>
        <v>43.061</v>
      </c>
      <c r="G20" s="113">
        <f>G12*J12+G14*J14</f>
        <v>49.041</v>
      </c>
      <c r="H20" s="113">
        <f>H12*J12+H15*J15</f>
        <v>17.475</v>
      </c>
    </row>
    <row r="21" ht="17.2" customHeight="1" spans="1:8">
      <c r="A21" s="117" t="s">
        <v>1651</v>
      </c>
      <c r="B21" s="118"/>
      <c r="C21" s="113">
        <f t="shared" ref="C21:H21" si="2">C11+C20</f>
        <v>118.94887754288</v>
      </c>
      <c r="D21" s="113">
        <f t="shared" si="2"/>
        <v>66.3822584762664</v>
      </c>
      <c r="E21" s="113">
        <f t="shared" si="2"/>
        <v>89.4423446350219</v>
      </c>
      <c r="F21" s="113">
        <f t="shared" si="2"/>
        <v>54.6627510969286</v>
      </c>
      <c r="G21" s="113">
        <f t="shared" si="2"/>
        <v>68.4126713203031</v>
      </c>
      <c r="H21" s="113">
        <f t="shared" si="2"/>
        <v>18.5494315915437</v>
      </c>
    </row>
    <row r="22" ht="17.2" customHeight="1" spans="1:8">
      <c r="A22" s="166" t="s">
        <v>1623</v>
      </c>
      <c r="B22" s="166"/>
      <c r="C22" s="166"/>
      <c r="D22" s="166"/>
      <c r="E22" s="166"/>
      <c r="F22" s="166"/>
      <c r="G22" s="166"/>
      <c r="H22" s="166"/>
    </row>
    <row r="23" ht="17.2" customHeight="1" spans="1:8">
      <c r="A23" s="166"/>
      <c r="B23" s="166"/>
      <c r="C23" s="166"/>
      <c r="D23" s="166"/>
      <c r="E23" s="166"/>
      <c r="F23" s="166"/>
      <c r="G23" s="166"/>
      <c r="H23" s="166"/>
    </row>
    <row r="24" ht="17.2" customHeight="1" spans="1:8">
      <c r="A24" s="166"/>
      <c r="B24" s="166"/>
      <c r="C24" s="166"/>
      <c r="D24" s="166"/>
      <c r="E24" s="166"/>
      <c r="F24" s="166"/>
      <c r="G24" s="166"/>
      <c r="H24" s="166"/>
    </row>
    <row r="25" ht="17.2" customHeight="1" spans="1:8">
      <c r="A25" s="57" t="s">
        <v>50</v>
      </c>
      <c r="B25" s="57"/>
      <c r="C25" s="57">
        <v>7</v>
      </c>
      <c r="D25" s="57">
        <v>8</v>
      </c>
      <c r="E25" s="57">
        <v>9</v>
      </c>
      <c r="F25" s="57">
        <v>10</v>
      </c>
      <c r="G25" s="57">
        <v>11</v>
      </c>
      <c r="H25" s="57">
        <v>12</v>
      </c>
    </row>
    <row r="26" ht="17.2" customHeight="1" spans="1:8">
      <c r="A26" s="57" t="s">
        <v>1625</v>
      </c>
      <c r="B26" s="57"/>
      <c r="C26" s="57" t="s">
        <v>1652</v>
      </c>
      <c r="D26" s="57" t="s">
        <v>1653</v>
      </c>
      <c r="E26" s="57" t="s">
        <v>1654</v>
      </c>
      <c r="F26" s="57" t="s">
        <v>1655</v>
      </c>
      <c r="G26" s="57" t="s">
        <v>1358</v>
      </c>
      <c r="H26" s="57" t="s">
        <v>1656</v>
      </c>
    </row>
    <row r="27" ht="17.2" customHeight="1" spans="1:8">
      <c r="A27" s="57" t="s">
        <v>1657</v>
      </c>
      <c r="B27" s="57"/>
      <c r="C27" s="57"/>
      <c r="D27" s="57" t="s">
        <v>1658</v>
      </c>
      <c r="E27" s="57" t="s">
        <v>1659</v>
      </c>
      <c r="F27" s="57" t="s">
        <v>1660</v>
      </c>
      <c r="G27" s="57"/>
      <c r="H27" s="57" t="s">
        <v>1661</v>
      </c>
    </row>
    <row r="28" ht="17.2" customHeight="1" spans="1:8">
      <c r="A28" s="57" t="s">
        <v>1634</v>
      </c>
      <c r="B28" s="57"/>
      <c r="C28" s="57">
        <v>3031</v>
      </c>
      <c r="D28" s="57">
        <v>2002</v>
      </c>
      <c r="E28" s="57">
        <v>2021</v>
      </c>
      <c r="F28" s="57">
        <v>2009</v>
      </c>
      <c r="G28" s="57">
        <v>2022</v>
      </c>
      <c r="H28" s="57">
        <v>3002</v>
      </c>
    </row>
    <row r="29" ht="17.2" customHeight="1" spans="1:8">
      <c r="A29" s="245" t="s">
        <v>1662</v>
      </c>
      <c r="B29" s="61" t="s">
        <v>1636</v>
      </c>
      <c r="C29" s="57">
        <v>0.26</v>
      </c>
      <c r="D29" s="57">
        <v>3.29</v>
      </c>
      <c r="E29" s="57">
        <v>0.61</v>
      </c>
      <c r="F29" s="57">
        <v>0.32</v>
      </c>
      <c r="G29" s="57">
        <v>0.24</v>
      </c>
      <c r="H29" s="57">
        <v>7.77</v>
      </c>
    </row>
    <row r="30" ht="17.2" customHeight="1" spans="1:8">
      <c r="A30" s="245"/>
      <c r="B30" s="61" t="s">
        <v>1637</v>
      </c>
      <c r="C30" s="57">
        <v>0.64</v>
      </c>
      <c r="D30" s="57">
        <v>5.34</v>
      </c>
      <c r="E30" s="57">
        <v>1.92</v>
      </c>
      <c r="F30" s="57">
        <v>1.22</v>
      </c>
      <c r="G30" s="57">
        <v>0.42</v>
      </c>
      <c r="H30" s="57">
        <v>10.86</v>
      </c>
    </row>
    <row r="31" ht="17.2" customHeight="1" spans="1:8">
      <c r="A31" s="245"/>
      <c r="B31" s="61" t="s">
        <v>1638</v>
      </c>
      <c r="C31" s="57"/>
      <c r="D31" s="57">
        <v>1.07</v>
      </c>
      <c r="E31" s="57"/>
      <c r="F31" s="57"/>
      <c r="G31" s="57"/>
      <c r="H31" s="57"/>
    </row>
    <row r="32" ht="17.2" customHeight="1" spans="1:8">
      <c r="A32" s="245"/>
      <c r="B32" s="61" t="s">
        <v>1382</v>
      </c>
      <c r="C32" s="113">
        <f t="shared" ref="C32:H32" si="3">C29/1.15+C30/1.09+C31</f>
        <v>0.813242919824491</v>
      </c>
      <c r="D32" s="113">
        <f t="shared" si="3"/>
        <v>8.82995213402473</v>
      </c>
      <c r="E32" s="113">
        <f t="shared" si="3"/>
        <v>2.29190267251695</v>
      </c>
      <c r="F32" s="113">
        <f t="shared" si="3"/>
        <v>1.39752692461109</v>
      </c>
      <c r="G32" s="113">
        <f t="shared" si="3"/>
        <v>0.594016753091344</v>
      </c>
      <c r="H32" s="113">
        <f t="shared" si="3"/>
        <v>16.719824491424</v>
      </c>
    </row>
    <row r="33" ht="17.2" customHeight="1" spans="1:8">
      <c r="A33" s="245" t="s">
        <v>1639</v>
      </c>
      <c r="B33" s="61" t="s">
        <v>1640</v>
      </c>
      <c r="C33" s="57"/>
      <c r="D33" s="57">
        <f>1.3</f>
        <v>1.3</v>
      </c>
      <c r="E33" s="57"/>
      <c r="F33" s="57"/>
      <c r="G33" s="57"/>
      <c r="H33" s="57">
        <v>1.3</v>
      </c>
    </row>
    <row r="34" ht="17.2" customHeight="1" spans="1:8">
      <c r="A34" s="245"/>
      <c r="B34" s="61" t="s">
        <v>1642</v>
      </c>
      <c r="C34" s="57"/>
      <c r="D34" s="57"/>
      <c r="E34" s="57"/>
      <c r="F34" s="57"/>
      <c r="G34" s="57"/>
      <c r="H34" s="57">
        <v>7.2</v>
      </c>
    </row>
    <row r="35" ht="17.2" customHeight="1" spans="1:8">
      <c r="A35" s="245"/>
      <c r="B35" s="61" t="s">
        <v>1644</v>
      </c>
      <c r="C35" s="57"/>
      <c r="D35" s="57"/>
      <c r="E35" s="57"/>
      <c r="F35" s="57"/>
      <c r="G35" s="57"/>
      <c r="H35" s="57"/>
    </row>
    <row r="36" ht="17.2" customHeight="1" spans="1:8">
      <c r="A36" s="245"/>
      <c r="B36" s="61" t="s">
        <v>1123</v>
      </c>
      <c r="C36" s="57"/>
      <c r="D36" s="57">
        <v>8.6</v>
      </c>
      <c r="E36" s="57"/>
      <c r="F36" s="57">
        <v>0.8</v>
      </c>
      <c r="G36" s="57"/>
      <c r="H36" s="57"/>
    </row>
    <row r="37" ht="17.2" customHeight="1" spans="1:8">
      <c r="A37" s="245"/>
      <c r="B37" s="61" t="s">
        <v>1122</v>
      </c>
      <c r="C37" s="57"/>
      <c r="D37" s="57"/>
      <c r="E37" s="57"/>
      <c r="F37" s="57"/>
      <c r="G37" s="57">
        <v>202.5</v>
      </c>
      <c r="H37" s="57"/>
    </row>
    <row r="38" ht="17.2" customHeight="1" spans="1:8">
      <c r="A38" s="245"/>
      <c r="B38" s="61" t="s">
        <v>1022</v>
      </c>
      <c r="C38" s="57"/>
      <c r="D38" s="57"/>
      <c r="E38" s="57"/>
      <c r="F38" s="57"/>
      <c r="G38" s="57">
        <v>4.1</v>
      </c>
      <c r="H38" s="57"/>
    </row>
    <row r="39" ht="17.2" customHeight="1" spans="1:8">
      <c r="A39" s="245"/>
      <c r="B39" s="61" t="s">
        <v>1650</v>
      </c>
      <c r="C39" s="57"/>
      <c r="D39" s="57"/>
      <c r="E39" s="57"/>
      <c r="F39" s="57"/>
      <c r="G39" s="57"/>
      <c r="H39" s="57"/>
    </row>
    <row r="40" ht="17.2" customHeight="1" spans="1:8">
      <c r="A40" s="245"/>
      <c r="B40" s="61" t="s">
        <v>1405</v>
      </c>
      <c r="C40" s="57"/>
      <c r="D40" s="57"/>
      <c r="E40" s="57"/>
      <c r="F40" s="57"/>
      <c r="G40" s="57"/>
      <c r="H40" s="57"/>
    </row>
    <row r="41" ht="17.2" customHeight="1" spans="1:8">
      <c r="A41" s="245"/>
      <c r="B41" s="61" t="s">
        <v>1382</v>
      </c>
      <c r="C41" s="113">
        <f t="shared" ref="C41:H41" si="4">C33*$J$12+C34*$J$13+C35*$J$14+C36*$J$15+C37*$J$16+C38*$J$17+C39*$J$18+C40*$J$19</f>
        <v>0</v>
      </c>
      <c r="D41" s="113">
        <f t="shared" si="4"/>
        <v>14.916</v>
      </c>
      <c r="E41" s="113">
        <f t="shared" si="4"/>
        <v>0</v>
      </c>
      <c r="F41" s="113">
        <f t="shared" si="4"/>
        <v>0.408</v>
      </c>
      <c r="G41" s="113">
        <f t="shared" si="4"/>
        <v>40.192</v>
      </c>
      <c r="H41" s="113">
        <f t="shared" si="4"/>
        <v>32.67</v>
      </c>
    </row>
    <row r="42" ht="17.2" customHeight="1" spans="1:8">
      <c r="A42" s="117" t="s">
        <v>1651</v>
      </c>
      <c r="B42" s="118"/>
      <c r="C42" s="113">
        <f t="shared" ref="C42:H42" si="5">C32+C41</f>
        <v>0.813242919824491</v>
      </c>
      <c r="D42" s="113">
        <f t="shared" si="5"/>
        <v>23.7459521340247</v>
      </c>
      <c r="E42" s="113">
        <f t="shared" si="5"/>
        <v>2.29190267251695</v>
      </c>
      <c r="F42" s="113">
        <f t="shared" si="5"/>
        <v>1.80552692461109</v>
      </c>
      <c r="G42" s="113">
        <f t="shared" si="5"/>
        <v>40.7860167530913</v>
      </c>
      <c r="H42" s="113">
        <f t="shared" si="5"/>
        <v>49.389824491424</v>
      </c>
    </row>
    <row r="43" ht="17.2" customHeight="1" spans="1:8">
      <c r="A43" s="166" t="s">
        <v>1623</v>
      </c>
      <c r="B43" s="166"/>
      <c r="C43" s="166"/>
      <c r="D43" s="166"/>
      <c r="E43" s="166"/>
      <c r="F43" s="166"/>
      <c r="G43" s="166"/>
      <c r="H43" s="166"/>
    </row>
    <row r="44" ht="17.2" customHeight="1" spans="1:8">
      <c r="A44" s="166"/>
      <c r="B44" s="166"/>
      <c r="C44" s="166"/>
      <c r="D44" s="166"/>
      <c r="E44" s="166"/>
      <c r="F44" s="166"/>
      <c r="G44" s="166"/>
      <c r="H44" s="166"/>
    </row>
    <row r="45" ht="17.2" customHeight="1" spans="1:8">
      <c r="A45" s="166"/>
      <c r="B45" s="166"/>
      <c r="C45" s="166"/>
      <c r="D45" s="166"/>
      <c r="E45" s="166"/>
      <c r="F45" s="166"/>
      <c r="G45" s="166"/>
      <c r="H45" s="166"/>
    </row>
    <row r="46" ht="17.2" customHeight="1" spans="1:8">
      <c r="A46" s="57" t="s">
        <v>50</v>
      </c>
      <c r="B46" s="57"/>
      <c r="C46" s="57">
        <v>13</v>
      </c>
      <c r="D46" s="57">
        <v>14</v>
      </c>
      <c r="E46" s="57">
        <v>15</v>
      </c>
      <c r="F46" s="57">
        <v>16</v>
      </c>
      <c r="G46" s="57">
        <v>17</v>
      </c>
      <c r="H46" s="57">
        <v>18</v>
      </c>
    </row>
    <row r="47" ht="17.2" customHeight="1" spans="1:8">
      <c r="A47" s="57" t="s">
        <v>1625</v>
      </c>
      <c r="B47" s="57"/>
      <c r="C47" s="57" t="s">
        <v>1656</v>
      </c>
      <c r="D47" s="57" t="s">
        <v>1663</v>
      </c>
      <c r="E47" s="57" t="s">
        <v>1664</v>
      </c>
      <c r="F47" s="57" t="s">
        <v>1665</v>
      </c>
      <c r="G47" s="57" t="s">
        <v>1666</v>
      </c>
      <c r="H47" s="57" t="s">
        <v>1667</v>
      </c>
    </row>
    <row r="48" ht="17.2" customHeight="1" spans="1:8">
      <c r="A48" s="57" t="s">
        <v>1657</v>
      </c>
      <c r="B48" s="57"/>
      <c r="C48" s="57" t="s">
        <v>1668</v>
      </c>
      <c r="D48" s="57" t="s">
        <v>1661</v>
      </c>
      <c r="E48" s="57" t="s">
        <v>1669</v>
      </c>
      <c r="F48" s="57" t="s">
        <v>1668</v>
      </c>
      <c r="G48" s="57" t="s">
        <v>1668</v>
      </c>
      <c r="H48" s="57" t="s">
        <v>1661</v>
      </c>
    </row>
    <row r="49" ht="17.2" customHeight="1" spans="1:8">
      <c r="A49" s="57" t="s">
        <v>1634</v>
      </c>
      <c r="B49" s="57"/>
      <c r="C49" s="57">
        <v>3003</v>
      </c>
      <c r="D49" s="57">
        <v>3005</v>
      </c>
      <c r="E49" s="57">
        <v>4007</v>
      </c>
      <c r="F49" s="57">
        <v>4004</v>
      </c>
      <c r="G49" s="57">
        <v>4018</v>
      </c>
      <c r="H49" s="57">
        <v>4070</v>
      </c>
    </row>
    <row r="50" ht="17.2" customHeight="1" spans="1:8">
      <c r="A50" s="245" t="s">
        <v>1662</v>
      </c>
      <c r="B50" s="61" t="s">
        <v>1636</v>
      </c>
      <c r="C50" s="57">
        <v>20.95</v>
      </c>
      <c r="D50" s="57">
        <v>10.73</v>
      </c>
      <c r="E50" s="57">
        <v>102.67</v>
      </c>
      <c r="F50" s="57">
        <v>41.37</v>
      </c>
      <c r="G50" s="57">
        <v>31.79</v>
      </c>
      <c r="H50" s="57">
        <v>2.97</v>
      </c>
    </row>
    <row r="51" ht="17.2" customHeight="1" spans="1:8">
      <c r="A51" s="245"/>
      <c r="B51" s="61" t="s">
        <v>1637</v>
      </c>
      <c r="C51" s="57">
        <v>20.82</v>
      </c>
      <c r="D51" s="57">
        <v>5.37</v>
      </c>
      <c r="E51" s="57">
        <v>33.87</v>
      </c>
      <c r="F51" s="57">
        <v>16.89</v>
      </c>
      <c r="G51" s="57">
        <v>18.69</v>
      </c>
      <c r="H51" s="57">
        <v>1.16</v>
      </c>
    </row>
    <row r="52" ht="17.2" customHeight="1" spans="1:8">
      <c r="A52" s="245"/>
      <c r="B52" s="61" t="s">
        <v>1638</v>
      </c>
      <c r="C52" s="57"/>
      <c r="D52" s="57"/>
      <c r="E52" s="57"/>
      <c r="F52" s="57">
        <v>3.1</v>
      </c>
      <c r="G52" s="57">
        <v>1.18</v>
      </c>
      <c r="H52" s="57">
        <v>0.05</v>
      </c>
    </row>
    <row r="53" ht="17.2" customHeight="1" spans="1:8">
      <c r="A53" s="245"/>
      <c r="B53" s="57" t="s">
        <v>1382</v>
      </c>
      <c r="C53" s="113">
        <f t="shared" ref="C53:H53" si="6">C50/1.15+C51/1.09+C52</f>
        <v>37.3183087355405</v>
      </c>
      <c r="D53" s="113">
        <f t="shared" si="6"/>
        <v>14.2570402871959</v>
      </c>
      <c r="E53" s="113">
        <f t="shared" si="6"/>
        <v>120.351655364978</v>
      </c>
      <c r="F53" s="113">
        <f t="shared" si="6"/>
        <v>54.569325887515</v>
      </c>
      <c r="G53" s="113">
        <f t="shared" si="6"/>
        <v>45.9702672516953</v>
      </c>
      <c r="H53" s="113">
        <f t="shared" si="6"/>
        <v>3.69682887913841</v>
      </c>
    </row>
    <row r="54" ht="17.2" customHeight="1" spans="1:8">
      <c r="A54" s="245" t="s">
        <v>1639</v>
      </c>
      <c r="B54" s="57" t="s">
        <v>1640</v>
      </c>
      <c r="C54" s="57">
        <v>1.3</v>
      </c>
      <c r="D54" s="57">
        <v>1.3</v>
      </c>
      <c r="E54" s="57">
        <v>3.9</v>
      </c>
      <c r="F54" s="57">
        <v>2.7</v>
      </c>
      <c r="G54" s="57">
        <v>2.4</v>
      </c>
      <c r="H54" s="57">
        <v>1.3</v>
      </c>
    </row>
    <row r="55" ht="17.2" customHeight="1" spans="1:8">
      <c r="A55" s="245"/>
      <c r="B55" s="57" t="s">
        <v>1642</v>
      </c>
      <c r="C55" s="57"/>
      <c r="D55" s="57"/>
      <c r="E55" s="57"/>
      <c r="F55" s="57"/>
      <c r="G55" s="57"/>
      <c r="H55" s="57"/>
    </row>
    <row r="56" ht="17.2" customHeight="1" spans="1:8">
      <c r="A56" s="245"/>
      <c r="B56" s="57" t="s">
        <v>1644</v>
      </c>
      <c r="C56" s="57">
        <v>8.9</v>
      </c>
      <c r="D56" s="57">
        <v>9.1</v>
      </c>
      <c r="E56" s="57"/>
      <c r="F56" s="57"/>
      <c r="G56" s="57">
        <v>8.3</v>
      </c>
      <c r="H56" s="57"/>
    </row>
    <row r="57" ht="17.2" customHeight="1" spans="1:8">
      <c r="A57" s="245"/>
      <c r="B57" s="57" t="s">
        <v>1123</v>
      </c>
      <c r="C57" s="57"/>
      <c r="D57" s="57"/>
      <c r="E57" s="57">
        <v>90.8</v>
      </c>
      <c r="F57" s="57">
        <v>36.7</v>
      </c>
      <c r="G57" s="57"/>
      <c r="H57" s="57">
        <v>7.9</v>
      </c>
    </row>
    <row r="58" ht="17.2" customHeight="1" spans="1:8">
      <c r="A58" s="245"/>
      <c r="B58" s="57" t="s">
        <v>1122</v>
      </c>
      <c r="C58" s="57"/>
      <c r="D58" s="57"/>
      <c r="E58" s="57"/>
      <c r="F58" s="57"/>
      <c r="G58" s="57"/>
      <c r="H58" s="57"/>
    </row>
    <row r="59" ht="17.2" customHeight="1" spans="1:8">
      <c r="A59" s="245"/>
      <c r="B59" s="57" t="s">
        <v>1022</v>
      </c>
      <c r="C59" s="57"/>
      <c r="D59" s="57"/>
      <c r="E59" s="57"/>
      <c r="F59" s="57"/>
      <c r="G59" s="57"/>
      <c r="H59" s="57"/>
    </row>
    <row r="60" ht="17.2" customHeight="1" spans="1:8">
      <c r="A60" s="245"/>
      <c r="B60" s="57" t="s">
        <v>1650</v>
      </c>
      <c r="C60" s="57"/>
      <c r="D60" s="57"/>
      <c r="E60" s="57"/>
      <c r="F60" s="57"/>
      <c r="G60" s="57"/>
      <c r="H60" s="57"/>
    </row>
    <row r="61" ht="17.2" customHeight="1" spans="1:8">
      <c r="A61" s="245"/>
      <c r="B61" s="57" t="s">
        <v>1405</v>
      </c>
      <c r="C61" s="57"/>
      <c r="D61" s="113"/>
      <c r="E61" s="113"/>
      <c r="F61" s="113"/>
      <c r="G61" s="113"/>
      <c r="H61" s="57"/>
    </row>
    <row r="62" ht="17.2" customHeight="1" spans="1:8">
      <c r="A62" s="245"/>
      <c r="B62" s="57" t="s">
        <v>1382</v>
      </c>
      <c r="C62" s="113">
        <f t="shared" ref="C62:H62" si="7">C54*$J$12+C55*$J$13+C56*$J$14+C57*$J$15+C58*$J$16+C59*$J$17+C60*$J$18+C61*$J$19</f>
        <v>37.141</v>
      </c>
      <c r="D62" s="113">
        <f t="shared" si="7"/>
        <v>37.739</v>
      </c>
      <c r="E62" s="113">
        <f t="shared" si="7"/>
        <v>77.898</v>
      </c>
      <c r="F62" s="113">
        <f t="shared" si="7"/>
        <v>40.587</v>
      </c>
      <c r="G62" s="113">
        <f t="shared" si="7"/>
        <v>44.257</v>
      </c>
      <c r="H62" s="113">
        <f t="shared" si="7"/>
        <v>14.559</v>
      </c>
    </row>
    <row r="63" ht="17.2" customHeight="1" spans="1:8">
      <c r="A63" s="117" t="s">
        <v>1651</v>
      </c>
      <c r="B63" s="118"/>
      <c r="C63" s="84">
        <f t="shared" ref="C63:H63" si="8">C53+C62</f>
        <v>74.4593087355405</v>
      </c>
      <c r="D63" s="84">
        <f t="shared" si="8"/>
        <v>51.9960402871959</v>
      </c>
      <c r="E63" s="84">
        <f t="shared" si="8"/>
        <v>198.249655364978</v>
      </c>
      <c r="F63" s="84">
        <f t="shared" si="8"/>
        <v>95.156325887515</v>
      </c>
      <c r="G63" s="84">
        <f t="shared" si="8"/>
        <v>90.2272672516953</v>
      </c>
      <c r="H63" s="84">
        <f t="shared" si="8"/>
        <v>18.2558288791384</v>
      </c>
    </row>
    <row r="64" ht="17.2" customHeight="1" spans="1:8">
      <c r="A64" s="166" t="s">
        <v>1623</v>
      </c>
      <c r="B64" s="166"/>
      <c r="C64" s="166"/>
      <c r="D64" s="166"/>
      <c r="E64" s="166"/>
      <c r="F64" s="166"/>
      <c r="G64" s="166"/>
      <c r="H64" s="166"/>
    </row>
    <row r="65" ht="17.2" customHeight="1" spans="1:8">
      <c r="A65" s="166"/>
      <c r="B65" s="166"/>
      <c r="C65" s="166"/>
      <c r="D65" s="166"/>
      <c r="E65" s="166"/>
      <c r="F65" s="166"/>
      <c r="G65" s="166"/>
      <c r="H65" s="166"/>
    </row>
    <row r="66" ht="17.2" customHeight="1" spans="1:8">
      <c r="A66" s="166"/>
      <c r="B66" s="166"/>
      <c r="C66" s="166"/>
      <c r="D66" s="166"/>
      <c r="E66" s="166"/>
      <c r="F66" s="166"/>
      <c r="G66" s="166"/>
      <c r="H66" s="166"/>
    </row>
    <row r="67" ht="17.2" customHeight="1" spans="1:8">
      <c r="A67" s="57" t="s">
        <v>50</v>
      </c>
      <c r="B67" s="57"/>
      <c r="C67" s="57">
        <v>19</v>
      </c>
      <c r="D67" s="57">
        <v>20</v>
      </c>
      <c r="E67" s="57">
        <v>21</v>
      </c>
      <c r="F67" s="57">
        <v>22</v>
      </c>
      <c r="G67" s="57">
        <v>23</v>
      </c>
      <c r="H67" s="57">
        <v>24</v>
      </c>
    </row>
    <row r="68" ht="17.2" customHeight="1" spans="1:8">
      <c r="A68" s="57" t="s">
        <v>1625</v>
      </c>
      <c r="B68" s="57"/>
      <c r="C68" s="57" t="s">
        <v>1655</v>
      </c>
      <c r="D68" s="57" t="s">
        <v>1670</v>
      </c>
      <c r="E68" s="57" t="s">
        <v>1670</v>
      </c>
      <c r="F68" s="57" t="s">
        <v>1671</v>
      </c>
      <c r="G68" s="57" t="s">
        <v>1672</v>
      </c>
      <c r="H68" s="57" t="s">
        <v>1673</v>
      </c>
    </row>
    <row r="69" ht="17.2" customHeight="1" spans="1:8">
      <c r="A69" s="57" t="s">
        <v>1657</v>
      </c>
      <c r="B69" s="57"/>
      <c r="C69" s="57" t="s">
        <v>1674</v>
      </c>
      <c r="D69" s="57" t="s">
        <v>1675</v>
      </c>
      <c r="E69" s="57" t="s">
        <v>1676</v>
      </c>
      <c r="F69" s="57" t="s">
        <v>1661</v>
      </c>
      <c r="G69" s="57" t="s">
        <v>1677</v>
      </c>
      <c r="H69" s="57" t="s">
        <v>1678</v>
      </c>
    </row>
    <row r="70" ht="17.2" customHeight="1" spans="1:8">
      <c r="A70" s="57" t="s">
        <v>1634</v>
      </c>
      <c r="B70" s="57"/>
      <c r="C70" s="57">
        <v>2012</v>
      </c>
      <c r="D70" s="57">
        <v>8036</v>
      </c>
      <c r="E70" s="57">
        <v>8033</v>
      </c>
      <c r="F70" s="57">
        <v>4027</v>
      </c>
      <c r="G70" s="57">
        <v>8005</v>
      </c>
      <c r="H70" s="57">
        <v>1030</v>
      </c>
    </row>
    <row r="71" ht="17.2" customHeight="1" spans="1:8">
      <c r="A71" s="245" t="s">
        <v>1662</v>
      </c>
      <c r="B71" s="61" t="s">
        <v>1636</v>
      </c>
      <c r="C71" s="57">
        <v>0.43</v>
      </c>
      <c r="D71" s="57">
        <v>1.03</v>
      </c>
      <c r="E71" s="57">
        <v>0.33</v>
      </c>
      <c r="F71" s="57">
        <v>12.92</v>
      </c>
      <c r="G71" s="57">
        <v>0.31</v>
      </c>
      <c r="H71" s="57">
        <v>1.27</v>
      </c>
    </row>
    <row r="72" ht="17.2" customHeight="1" spans="1:8">
      <c r="A72" s="245"/>
      <c r="B72" s="61" t="s">
        <v>1637</v>
      </c>
      <c r="C72" s="57">
        <v>1.24</v>
      </c>
      <c r="D72" s="57">
        <v>0.68</v>
      </c>
      <c r="E72" s="57">
        <v>0.3</v>
      </c>
      <c r="F72" s="57">
        <v>12.42</v>
      </c>
      <c r="G72" s="57">
        <v>1.76</v>
      </c>
      <c r="H72" s="57">
        <v>1.06</v>
      </c>
    </row>
    <row r="73" ht="17.2" customHeight="1" spans="1:8">
      <c r="A73" s="245"/>
      <c r="B73" s="61" t="s">
        <v>1638</v>
      </c>
      <c r="C73" s="57"/>
      <c r="D73" s="57">
        <v>0.19</v>
      </c>
      <c r="E73" s="57">
        <v>0.09</v>
      </c>
      <c r="F73" s="57"/>
      <c r="G73" s="57">
        <v>0.51</v>
      </c>
      <c r="H73" s="57"/>
    </row>
    <row r="74" ht="17.2" customHeight="1" spans="1:8">
      <c r="A74" s="245"/>
      <c r="B74" s="57" t="s">
        <v>1382</v>
      </c>
      <c r="C74" s="113">
        <f t="shared" ref="C74:H74" si="9">C71/1.15+C72/1.09+C73</f>
        <v>1.51152772237734</v>
      </c>
      <c r="D74" s="113">
        <f t="shared" si="9"/>
        <v>1.70950538492222</v>
      </c>
      <c r="E74" s="113">
        <f t="shared" si="9"/>
        <v>0.652185879537296</v>
      </c>
      <c r="F74" s="113">
        <f t="shared" si="9"/>
        <v>22.6292780215397</v>
      </c>
      <c r="G74" s="113">
        <f t="shared" si="9"/>
        <v>2.39424411647387</v>
      </c>
      <c r="H74" s="113">
        <f t="shared" si="9"/>
        <v>2.07682489030714</v>
      </c>
    </row>
    <row r="75" ht="17.2" customHeight="1" spans="1:8">
      <c r="A75" s="245" t="s">
        <v>1639</v>
      </c>
      <c r="B75" s="57" t="s">
        <v>1640</v>
      </c>
      <c r="C75" s="57"/>
      <c r="D75" s="57"/>
      <c r="E75" s="57"/>
      <c r="F75" s="57">
        <v>2.7</v>
      </c>
      <c r="G75" s="57">
        <v>1.3</v>
      </c>
      <c r="H75" s="57"/>
    </row>
    <row r="76" ht="17.2" customHeight="1" spans="1:8">
      <c r="A76" s="245"/>
      <c r="B76" s="57" t="s">
        <v>1642</v>
      </c>
      <c r="C76" s="57"/>
      <c r="D76" s="57"/>
      <c r="E76" s="57"/>
      <c r="F76" s="57">
        <v>5.8</v>
      </c>
      <c r="G76" s="57"/>
      <c r="H76" s="57"/>
    </row>
    <row r="77" ht="17.2" customHeight="1" spans="1:8">
      <c r="A77" s="245"/>
      <c r="B77" s="57" t="s">
        <v>1644</v>
      </c>
      <c r="C77" s="57"/>
      <c r="D77" s="57"/>
      <c r="E77" s="57"/>
      <c r="F77" s="57"/>
      <c r="G77" s="57"/>
      <c r="H77" s="57"/>
    </row>
    <row r="78" ht="17.2" customHeight="1" spans="1:8">
      <c r="A78" s="245"/>
      <c r="B78" s="57" t="s">
        <v>1123</v>
      </c>
      <c r="C78" s="57">
        <v>1.7</v>
      </c>
      <c r="D78" s="57">
        <v>30</v>
      </c>
      <c r="E78" s="57">
        <v>14.5</v>
      </c>
      <c r="F78" s="57"/>
      <c r="G78" s="57">
        <v>15.5</v>
      </c>
      <c r="H78" s="57"/>
    </row>
    <row r="79" ht="17.2" customHeight="1" spans="1:8">
      <c r="A79" s="245"/>
      <c r="B79" s="57" t="s">
        <v>1122</v>
      </c>
      <c r="C79" s="57"/>
      <c r="D79" s="57"/>
      <c r="E79" s="57"/>
      <c r="F79" s="57"/>
      <c r="G79" s="57"/>
      <c r="H79" s="57"/>
    </row>
    <row r="80" ht="17.2" customHeight="1" spans="1:8">
      <c r="A80" s="245"/>
      <c r="B80" s="57" t="s">
        <v>1022</v>
      </c>
      <c r="C80" s="57"/>
      <c r="D80" s="57"/>
      <c r="E80" s="57"/>
      <c r="F80" s="57"/>
      <c r="G80" s="57"/>
      <c r="H80" s="57"/>
    </row>
    <row r="81" ht="17.2" customHeight="1" spans="1:8">
      <c r="A81" s="245"/>
      <c r="B81" s="57" t="s">
        <v>1650</v>
      </c>
      <c r="C81" s="57"/>
      <c r="D81" s="57"/>
      <c r="E81" s="57"/>
      <c r="F81" s="57"/>
      <c r="G81" s="57"/>
      <c r="H81" s="57"/>
    </row>
    <row r="82" ht="17.2" customHeight="1" spans="1:8">
      <c r="A82" s="245"/>
      <c r="B82" s="57" t="s">
        <v>1405</v>
      </c>
      <c r="C82" s="57"/>
      <c r="D82" s="57"/>
      <c r="E82" s="57"/>
      <c r="F82" s="57"/>
      <c r="G82" s="57"/>
      <c r="H82" s="57"/>
    </row>
    <row r="83" ht="17.2" customHeight="1" spans="1:8">
      <c r="A83" s="245"/>
      <c r="B83" s="57" t="s">
        <v>1382</v>
      </c>
      <c r="C83" s="113">
        <f t="shared" ref="C83:H83" si="10">C75*$J$12+C76*$J$13+C77*$J$14+C78*$J$15+C79*$J$16+C80*$J$17+C81*$J$18+C82*$J$19</f>
        <v>0.867</v>
      </c>
      <c r="D83" s="113">
        <f t="shared" si="10"/>
        <v>15.3</v>
      </c>
      <c r="E83" s="113">
        <f t="shared" si="10"/>
        <v>7.395</v>
      </c>
      <c r="F83" s="113">
        <f t="shared" si="10"/>
        <v>39.705</v>
      </c>
      <c r="G83" s="113">
        <f t="shared" si="10"/>
        <v>18.435</v>
      </c>
      <c r="H83" s="113">
        <f t="shared" si="10"/>
        <v>0</v>
      </c>
    </row>
    <row r="84" ht="17.2" customHeight="1" spans="1:8">
      <c r="A84" s="117" t="s">
        <v>1651</v>
      </c>
      <c r="B84" s="118"/>
      <c r="C84" s="84">
        <f t="shared" ref="C84:H84" si="11">C74+C83</f>
        <v>2.37852772237734</v>
      </c>
      <c r="D84" s="84">
        <f t="shared" si="11"/>
        <v>17.0095053849222</v>
      </c>
      <c r="E84" s="84">
        <f t="shared" si="11"/>
        <v>8.0471858795373</v>
      </c>
      <c r="F84" s="84">
        <f t="shared" si="11"/>
        <v>62.3342780215397</v>
      </c>
      <c r="G84" s="84">
        <f t="shared" si="11"/>
        <v>20.8292441164739</v>
      </c>
      <c r="H84" s="84">
        <f t="shared" si="11"/>
        <v>2.07682489030714</v>
      </c>
    </row>
    <row r="85" ht="17.2" customHeight="1" spans="1:8">
      <c r="A85" s="166" t="s">
        <v>1623</v>
      </c>
      <c r="B85" s="166"/>
      <c r="C85" s="166"/>
      <c r="D85" s="166"/>
      <c r="E85" s="166"/>
      <c r="F85" s="166"/>
      <c r="G85" s="166"/>
      <c r="H85" s="166"/>
    </row>
    <row r="86" ht="17.2" customHeight="1" spans="1:8">
      <c r="A86" s="166"/>
      <c r="B86" s="166"/>
      <c r="C86" s="166"/>
      <c r="D86" s="166"/>
      <c r="E86" s="166"/>
      <c r="F86" s="166"/>
      <c r="G86" s="166"/>
      <c r="H86" s="166"/>
    </row>
    <row r="87" ht="17.2" customHeight="1" spans="1:8">
      <c r="A87" s="166"/>
      <c r="B87" s="166"/>
      <c r="C87" s="166"/>
      <c r="D87" s="166"/>
      <c r="E87" s="166"/>
      <c r="F87" s="166"/>
      <c r="G87" s="166"/>
      <c r="H87" s="166"/>
    </row>
    <row r="88" ht="17.2" customHeight="1" spans="1:8">
      <c r="A88" s="57" t="s">
        <v>50</v>
      </c>
      <c r="B88" s="57"/>
      <c r="C88" s="57">
        <v>25</v>
      </c>
      <c r="D88" s="57">
        <v>26</v>
      </c>
      <c r="E88" s="57">
        <v>27</v>
      </c>
      <c r="F88" s="57">
        <v>28</v>
      </c>
      <c r="G88" s="57">
        <v>29</v>
      </c>
      <c r="H88" s="57">
        <v>30</v>
      </c>
    </row>
    <row r="89" ht="17.2" customHeight="1" spans="1:8">
      <c r="A89" s="57" t="s">
        <v>1625</v>
      </c>
      <c r="B89" s="57"/>
      <c r="C89" s="57" t="s">
        <v>1628</v>
      </c>
      <c r="D89" s="57" t="s">
        <v>1486</v>
      </c>
      <c r="E89" s="57" t="s">
        <v>1679</v>
      </c>
      <c r="F89" s="57" t="s">
        <v>1680</v>
      </c>
      <c r="G89" s="57" t="s">
        <v>1665</v>
      </c>
      <c r="H89" s="57" t="s">
        <v>1681</v>
      </c>
    </row>
    <row r="90" ht="17.2" customHeight="1" spans="1:8">
      <c r="A90" s="57" t="s">
        <v>1657</v>
      </c>
      <c r="B90" s="57"/>
      <c r="C90" s="57" t="s">
        <v>1682</v>
      </c>
      <c r="D90" s="57" t="s">
        <v>1683</v>
      </c>
      <c r="E90" s="57" t="s">
        <v>1684</v>
      </c>
      <c r="F90" s="57" t="s">
        <v>1685</v>
      </c>
      <c r="G90" s="57" t="s">
        <v>1686</v>
      </c>
      <c r="H90" s="57" t="s">
        <v>1687</v>
      </c>
    </row>
    <row r="91" ht="17.2" customHeight="1" spans="1:8">
      <c r="A91" s="57" t="s">
        <v>1634</v>
      </c>
      <c r="B91" s="57"/>
      <c r="C91" s="57">
        <v>1021</v>
      </c>
      <c r="D91" s="57">
        <v>1033</v>
      </c>
      <c r="E91" s="57">
        <v>4066</v>
      </c>
      <c r="F91" s="57">
        <v>3037</v>
      </c>
      <c r="G91" s="57">
        <v>4002</v>
      </c>
      <c r="H91" s="57">
        <v>8024</v>
      </c>
    </row>
    <row r="92" ht="17.2" customHeight="1" spans="1:8">
      <c r="A92" s="245" t="s">
        <v>1662</v>
      </c>
      <c r="B92" s="61" t="s">
        <v>1636</v>
      </c>
      <c r="C92" s="57">
        <v>0.81</v>
      </c>
      <c r="D92" s="57">
        <v>10.12</v>
      </c>
      <c r="E92" s="57">
        <v>1.24</v>
      </c>
      <c r="F92" s="57">
        <v>0.43</v>
      </c>
      <c r="G92" s="57">
        <v>24.94</v>
      </c>
      <c r="H92" s="57">
        <v>0.43</v>
      </c>
    </row>
    <row r="93" ht="17.2" customHeight="1" spans="1:8">
      <c r="A93" s="245"/>
      <c r="B93" s="61" t="s">
        <v>1637</v>
      </c>
      <c r="C93" s="57">
        <v>2.12</v>
      </c>
      <c r="D93" s="57">
        <v>17.28</v>
      </c>
      <c r="E93" s="57">
        <v>0.76</v>
      </c>
      <c r="F93" s="57">
        <v>0.11</v>
      </c>
      <c r="G93" s="57">
        <v>9.17</v>
      </c>
      <c r="H93" s="57">
        <v>0.65</v>
      </c>
    </row>
    <row r="94" ht="17.2" customHeight="1" spans="1:8">
      <c r="A94" s="245"/>
      <c r="B94" s="61" t="s">
        <v>1638</v>
      </c>
      <c r="C94" s="57">
        <v>0.08</v>
      </c>
      <c r="D94" s="57"/>
      <c r="E94" s="57"/>
      <c r="F94" s="57"/>
      <c r="G94" s="57">
        <v>2.29</v>
      </c>
      <c r="H94" s="57">
        <v>0.08</v>
      </c>
    </row>
    <row r="95" ht="17.2" customHeight="1" spans="1:8">
      <c r="A95" s="245"/>
      <c r="B95" s="57" t="s">
        <v>1382</v>
      </c>
      <c r="C95" s="113">
        <f t="shared" ref="C95:H95" si="12">C92/1.15+C93/1.09+C94</f>
        <v>2.72930195452732</v>
      </c>
      <c r="D95" s="113">
        <f t="shared" si="12"/>
        <v>24.6532110091743</v>
      </c>
      <c r="E95" s="113">
        <f t="shared" si="12"/>
        <v>1.77550857598724</v>
      </c>
      <c r="F95" s="113">
        <f t="shared" si="12"/>
        <v>0.474830474670921</v>
      </c>
      <c r="G95" s="113">
        <f t="shared" si="12"/>
        <v>32.3898005584364</v>
      </c>
      <c r="H95" s="113">
        <f t="shared" si="12"/>
        <v>1.05024331870762</v>
      </c>
    </row>
    <row r="96" ht="17.2" customHeight="1" spans="1:8">
      <c r="A96" s="245" t="s">
        <v>1639</v>
      </c>
      <c r="B96" s="57" t="s">
        <v>1640</v>
      </c>
      <c r="C96" s="57">
        <v>1</v>
      </c>
      <c r="D96" s="57">
        <v>2.4</v>
      </c>
      <c r="E96" s="57"/>
      <c r="F96" s="57"/>
      <c r="G96" s="57">
        <v>2.4</v>
      </c>
      <c r="H96" s="57">
        <v>0.7</v>
      </c>
    </row>
    <row r="97" ht="17.2" customHeight="1" spans="1:8">
      <c r="A97" s="245"/>
      <c r="B97" s="57" t="s">
        <v>1642</v>
      </c>
      <c r="C97" s="57"/>
      <c r="D97" s="57"/>
      <c r="E97" s="57"/>
      <c r="F97" s="57"/>
      <c r="G97" s="57"/>
      <c r="H97" s="57"/>
    </row>
    <row r="98" ht="17.2" customHeight="1" spans="1:8">
      <c r="A98" s="245"/>
      <c r="B98" s="57" t="s">
        <v>1644</v>
      </c>
      <c r="C98" s="57">
        <v>1.7</v>
      </c>
      <c r="D98" s="57">
        <v>6.5</v>
      </c>
      <c r="E98" s="57"/>
      <c r="F98" s="57"/>
      <c r="G98" s="57"/>
      <c r="H98" s="57"/>
    </row>
    <row r="99" ht="17.2" customHeight="1" spans="1:8">
      <c r="A99" s="245"/>
      <c r="B99" s="57" t="s">
        <v>1123</v>
      </c>
      <c r="C99" s="57"/>
      <c r="D99" s="57"/>
      <c r="E99" s="57">
        <v>4</v>
      </c>
      <c r="F99" s="57"/>
      <c r="G99" s="57">
        <v>21.1</v>
      </c>
      <c r="H99" s="57">
        <v>5.7</v>
      </c>
    </row>
    <row r="100" ht="17.2" customHeight="1" spans="1:8">
      <c r="A100" s="245"/>
      <c r="B100" s="57" t="s">
        <v>1122</v>
      </c>
      <c r="C100" s="57"/>
      <c r="D100" s="57"/>
      <c r="E100" s="57"/>
      <c r="F100" s="57"/>
      <c r="G100" s="57"/>
      <c r="H100" s="57"/>
    </row>
    <row r="101" ht="17.2" customHeight="1" spans="1:8">
      <c r="A101" s="245"/>
      <c r="B101" s="57" t="s">
        <v>1022</v>
      </c>
      <c r="C101" s="57"/>
      <c r="D101" s="57"/>
      <c r="E101" s="57"/>
      <c r="F101" s="57"/>
      <c r="G101" s="57"/>
      <c r="H101" s="57"/>
    </row>
    <row r="102" ht="17.2" customHeight="1" spans="1:8">
      <c r="A102" s="245"/>
      <c r="B102" s="57" t="s">
        <v>1650</v>
      </c>
      <c r="C102" s="57"/>
      <c r="D102" s="57"/>
      <c r="E102" s="57"/>
      <c r="F102" s="57"/>
      <c r="G102" s="57"/>
      <c r="H102" s="57"/>
    </row>
    <row r="103" ht="17.2" customHeight="1" spans="1:8">
      <c r="A103" s="245"/>
      <c r="B103" s="57" t="s">
        <v>1405</v>
      </c>
      <c r="C103" s="57"/>
      <c r="D103" s="57"/>
      <c r="E103" s="57"/>
      <c r="F103" s="57"/>
      <c r="G103" s="57"/>
      <c r="H103" s="57"/>
    </row>
    <row r="104" ht="17.2" customHeight="1" spans="1:8">
      <c r="A104" s="245"/>
      <c r="B104" s="57" t="s">
        <v>1382</v>
      </c>
      <c r="C104" s="113">
        <f t="shared" ref="C104:H104" si="13">C96*$J$12+C97*$J$13+C98*$J$14+C99*$J$15+C100*$J$16+C101*$J$17+C102*$J$18+C103*$J$19</f>
        <v>13.183</v>
      </c>
      <c r="D104" s="113">
        <f t="shared" si="13"/>
        <v>38.875</v>
      </c>
      <c r="E104" s="113">
        <f t="shared" si="13"/>
        <v>2.04</v>
      </c>
      <c r="F104" s="113">
        <f t="shared" si="13"/>
        <v>0</v>
      </c>
      <c r="G104" s="113">
        <f t="shared" si="13"/>
        <v>30.201</v>
      </c>
      <c r="H104" s="113">
        <f t="shared" si="13"/>
        <v>8.577</v>
      </c>
    </row>
    <row r="105" ht="17.2" customHeight="1" spans="1:8">
      <c r="A105" s="117" t="s">
        <v>1651</v>
      </c>
      <c r="B105" s="118"/>
      <c r="C105" s="113">
        <f t="shared" ref="C105:H105" si="14">C95+C104</f>
        <v>15.9123019545273</v>
      </c>
      <c r="D105" s="113">
        <f t="shared" si="14"/>
        <v>63.5282110091743</v>
      </c>
      <c r="E105" s="113">
        <f t="shared" si="14"/>
        <v>3.81550857598724</v>
      </c>
      <c r="F105" s="113">
        <f t="shared" si="14"/>
        <v>0.474830474670921</v>
      </c>
      <c r="G105" s="113">
        <f t="shared" si="14"/>
        <v>62.5908005584364</v>
      </c>
      <c r="H105" s="113">
        <f t="shared" si="14"/>
        <v>9.62724331870762</v>
      </c>
    </row>
    <row r="106" ht="17.2" customHeight="1" spans="1:8">
      <c r="A106" s="166" t="s">
        <v>1623</v>
      </c>
      <c r="B106" s="166"/>
      <c r="C106" s="166"/>
      <c r="D106" s="166"/>
      <c r="E106" s="166"/>
      <c r="F106" s="166"/>
      <c r="G106" s="166"/>
      <c r="H106" s="166"/>
    </row>
    <row r="107" ht="17.2" customHeight="1" spans="1:8">
      <c r="A107" s="166"/>
      <c r="B107" s="166"/>
      <c r="C107" s="166"/>
      <c r="D107" s="166"/>
      <c r="E107" s="166"/>
      <c r="F107" s="166"/>
      <c r="G107" s="166"/>
      <c r="H107" s="166"/>
    </row>
    <row r="108" ht="17.2" customHeight="1" spans="1:8">
      <c r="A108" s="166"/>
      <c r="B108" s="166"/>
      <c r="C108" s="166"/>
      <c r="D108" s="166"/>
      <c r="E108" s="166"/>
      <c r="F108" s="166"/>
      <c r="G108" s="166"/>
      <c r="H108" s="166"/>
    </row>
    <row r="109" ht="17.2" customHeight="1" spans="1:8">
      <c r="A109" s="57" t="s">
        <v>50</v>
      </c>
      <c r="B109" s="57"/>
      <c r="C109" s="57">
        <v>31</v>
      </c>
      <c r="D109" s="57">
        <v>32</v>
      </c>
      <c r="E109" s="57">
        <v>33</v>
      </c>
      <c r="F109" s="57">
        <v>34</v>
      </c>
      <c r="G109" s="57">
        <v>35</v>
      </c>
      <c r="H109" s="57">
        <v>36</v>
      </c>
    </row>
    <row r="110" ht="17.2" customHeight="1" spans="1:8">
      <c r="A110" s="57" t="s">
        <v>1625</v>
      </c>
      <c r="B110" s="57"/>
      <c r="C110" s="57" t="s">
        <v>1688</v>
      </c>
      <c r="D110" s="57" t="s">
        <v>1689</v>
      </c>
      <c r="E110" s="57" t="s">
        <v>1690</v>
      </c>
      <c r="F110" s="57" t="s">
        <v>1691</v>
      </c>
      <c r="G110" s="57" t="s">
        <v>1692</v>
      </c>
      <c r="H110" s="57" t="s">
        <v>1693</v>
      </c>
    </row>
    <row r="111" ht="17.2" customHeight="1" spans="1:8">
      <c r="A111" s="57" t="s">
        <v>1657</v>
      </c>
      <c r="B111" s="57"/>
      <c r="C111" s="57" t="s">
        <v>1694</v>
      </c>
      <c r="D111" s="57" t="s">
        <v>1695</v>
      </c>
      <c r="E111" s="57"/>
      <c r="F111" s="57" t="s">
        <v>1696</v>
      </c>
      <c r="G111" s="57" t="s">
        <v>1697</v>
      </c>
      <c r="H111" s="57"/>
    </row>
    <row r="112" ht="17.2" customHeight="1" spans="1:8">
      <c r="A112" s="57" t="s">
        <v>1634</v>
      </c>
      <c r="B112" s="57"/>
      <c r="C112" s="57">
        <v>1028</v>
      </c>
      <c r="D112" s="57">
        <v>1035</v>
      </c>
      <c r="E112" s="57">
        <v>5009</v>
      </c>
      <c r="F112" s="57">
        <v>5011</v>
      </c>
      <c r="G112" s="57">
        <v>8054</v>
      </c>
      <c r="H112" s="57">
        <v>9204</v>
      </c>
    </row>
    <row r="113" ht="17.2" customHeight="1" spans="1:8">
      <c r="A113" s="245" t="s">
        <v>1662</v>
      </c>
      <c r="B113" s="61" t="s">
        <v>1636</v>
      </c>
      <c r="C113" s="57">
        <v>17.23</v>
      </c>
      <c r="D113" s="57">
        <v>0.54</v>
      </c>
      <c r="E113" s="57">
        <v>0.83</v>
      </c>
      <c r="F113" s="57">
        <v>2.76</v>
      </c>
      <c r="G113" s="57">
        <v>5.07</v>
      </c>
      <c r="H113" s="57">
        <v>1.01</v>
      </c>
    </row>
    <row r="114" ht="17.2" customHeight="1" spans="1:8">
      <c r="A114" s="245"/>
      <c r="B114" s="61" t="s">
        <v>1637</v>
      </c>
      <c r="C114" s="57">
        <v>7.1</v>
      </c>
      <c r="D114" s="57">
        <v>1.89</v>
      </c>
      <c r="E114" s="57">
        <v>2.28</v>
      </c>
      <c r="F114" s="57">
        <v>7.76</v>
      </c>
      <c r="G114" s="57">
        <v>4.77</v>
      </c>
      <c r="H114" s="57">
        <v>1.1</v>
      </c>
    </row>
    <row r="115" ht="17.2" customHeight="1" spans="1:8">
      <c r="A115" s="245"/>
      <c r="B115" s="61" t="s">
        <v>1638</v>
      </c>
      <c r="C115" s="57"/>
      <c r="D115" s="57"/>
      <c r="E115" s="57">
        <v>0.2</v>
      </c>
      <c r="F115" s="57">
        <v>0.64</v>
      </c>
      <c r="G115" s="57">
        <v>0.04</v>
      </c>
      <c r="H115" s="57">
        <v>0.15</v>
      </c>
    </row>
    <row r="116" ht="17.2" customHeight="1" spans="1:8">
      <c r="A116" s="245"/>
      <c r="B116" s="57" t="s">
        <v>1382</v>
      </c>
      <c r="C116" s="113">
        <f t="shared" ref="C116:H116" si="15">C113/1.15+C114/1.09+C115</f>
        <v>21.4963701635421</v>
      </c>
      <c r="D116" s="113">
        <f t="shared" si="15"/>
        <v>2.20351017151974</v>
      </c>
      <c r="E116" s="113">
        <f t="shared" si="15"/>
        <v>3.01348224970084</v>
      </c>
      <c r="F116" s="113">
        <f t="shared" si="15"/>
        <v>10.1592660550459</v>
      </c>
      <c r="G116" s="113">
        <f t="shared" si="15"/>
        <v>8.82484244116474</v>
      </c>
      <c r="H116" s="113">
        <f t="shared" si="15"/>
        <v>2.03743518149182</v>
      </c>
    </row>
    <row r="117" ht="17.2" customHeight="1" spans="1:8">
      <c r="A117" s="245" t="s">
        <v>1639</v>
      </c>
      <c r="B117" s="57" t="s">
        <v>1640</v>
      </c>
      <c r="C117" s="57"/>
      <c r="D117" s="57"/>
      <c r="E117" s="57">
        <v>1.3</v>
      </c>
      <c r="F117" s="57">
        <v>2.4</v>
      </c>
      <c r="G117" s="57">
        <v>1.3</v>
      </c>
      <c r="H117" s="57">
        <v>1.3</v>
      </c>
    </row>
    <row r="118" ht="17.2" customHeight="1" spans="1:8">
      <c r="A118" s="245"/>
      <c r="B118" s="57" t="s">
        <v>1642</v>
      </c>
      <c r="C118" s="57"/>
      <c r="D118" s="57"/>
      <c r="E118" s="57"/>
      <c r="F118" s="57"/>
      <c r="G118" s="57"/>
      <c r="H118" s="57"/>
    </row>
    <row r="119" ht="17.2" customHeight="1" spans="1:8">
      <c r="A119" s="245"/>
      <c r="B119" s="57" t="s">
        <v>1644</v>
      </c>
      <c r="C119" s="57">
        <v>9.5</v>
      </c>
      <c r="D119" s="57"/>
      <c r="E119" s="57"/>
      <c r="F119" s="57"/>
      <c r="G119" s="57"/>
      <c r="H119" s="57"/>
    </row>
    <row r="120" ht="17.2" customHeight="1" spans="1:8">
      <c r="A120" s="245"/>
      <c r="B120" s="57" t="s">
        <v>1123</v>
      </c>
      <c r="C120" s="57"/>
      <c r="D120" s="57"/>
      <c r="E120" s="57">
        <v>6.3</v>
      </c>
      <c r="F120" s="57">
        <v>10.1</v>
      </c>
      <c r="G120" s="57">
        <v>4</v>
      </c>
      <c r="H120" s="57">
        <v>9</v>
      </c>
    </row>
    <row r="121" ht="17.2" customHeight="1" spans="1:8">
      <c r="A121" s="245"/>
      <c r="B121" s="57" t="s">
        <v>1122</v>
      </c>
      <c r="C121" s="57"/>
      <c r="D121" s="57">
        <v>180.1</v>
      </c>
      <c r="E121" s="57"/>
      <c r="F121" s="57"/>
      <c r="G121" s="57"/>
      <c r="H121" s="57"/>
    </row>
    <row r="122" ht="17.2" customHeight="1" spans="1:8">
      <c r="A122" s="245"/>
      <c r="B122" s="57" t="s">
        <v>1022</v>
      </c>
      <c r="C122" s="57"/>
      <c r="D122" s="57">
        <v>0.3</v>
      </c>
      <c r="E122" s="57"/>
      <c r="F122" s="57"/>
      <c r="G122" s="57"/>
      <c r="H122" s="57"/>
    </row>
    <row r="123" ht="17.2" customHeight="1" spans="1:8">
      <c r="A123" s="245"/>
      <c r="B123" s="57" t="s">
        <v>1650</v>
      </c>
      <c r="C123" s="57"/>
      <c r="D123" s="57"/>
      <c r="E123" s="57"/>
      <c r="F123" s="57"/>
      <c r="G123" s="57"/>
      <c r="H123" s="57"/>
    </row>
    <row r="124" ht="17.2" customHeight="1" spans="1:8">
      <c r="A124" s="245"/>
      <c r="B124" s="57" t="s">
        <v>1405</v>
      </c>
      <c r="C124" s="57"/>
      <c r="D124" s="57"/>
      <c r="E124" s="57"/>
      <c r="F124" s="113"/>
      <c r="G124" s="57"/>
      <c r="H124" s="57"/>
    </row>
    <row r="125" ht="17.2" customHeight="1" spans="1:8">
      <c r="A125" s="245"/>
      <c r="B125" s="57" t="s">
        <v>1382</v>
      </c>
      <c r="C125" s="113">
        <f t="shared" ref="C125:H125" si="16">C117*$J$12+C118*$J$13+C119*$J$14+C120*$J$15+C121*$J$16+C122*$J$17+C123*$J$18+C124*$J$19</f>
        <v>28.405</v>
      </c>
      <c r="D125" s="113">
        <f t="shared" si="16"/>
        <v>21.122</v>
      </c>
      <c r="E125" s="113">
        <f t="shared" si="16"/>
        <v>13.743</v>
      </c>
      <c r="F125" s="113">
        <f t="shared" si="16"/>
        <v>24.591</v>
      </c>
      <c r="G125" s="113">
        <f t="shared" si="16"/>
        <v>12.57</v>
      </c>
      <c r="H125" s="113">
        <f t="shared" si="16"/>
        <v>15.12</v>
      </c>
    </row>
    <row r="126" ht="17.2" customHeight="1" spans="1:8">
      <c r="A126" s="117" t="s">
        <v>1651</v>
      </c>
      <c r="B126" s="118"/>
      <c r="C126" s="84">
        <f t="shared" ref="C126:H126" si="17">C116+C125</f>
        <v>49.9013701635421</v>
      </c>
      <c r="D126" s="84">
        <f t="shared" si="17"/>
        <v>23.3255101715197</v>
      </c>
      <c r="E126" s="84">
        <f t="shared" si="17"/>
        <v>16.7564822497008</v>
      </c>
      <c r="F126" s="84">
        <f t="shared" si="17"/>
        <v>34.7502660550459</v>
      </c>
      <c r="G126" s="84">
        <f t="shared" si="17"/>
        <v>21.3948424411647</v>
      </c>
      <c r="H126" s="84">
        <f t="shared" si="17"/>
        <v>17.1574351814918</v>
      </c>
    </row>
    <row r="127" ht="17.2" customHeight="1" spans="1:8">
      <c r="A127" s="166" t="s">
        <v>1623</v>
      </c>
      <c r="B127" s="166"/>
      <c r="C127" s="166"/>
      <c r="D127" s="166"/>
      <c r="E127" s="166"/>
      <c r="F127" s="166"/>
      <c r="G127" s="166"/>
      <c r="H127" s="166"/>
    </row>
    <row r="128" ht="17.2" customHeight="1" spans="1:8">
      <c r="A128" s="166"/>
      <c r="B128" s="166"/>
      <c r="C128" s="166"/>
      <c r="D128" s="166"/>
      <c r="E128" s="166"/>
      <c r="F128" s="166"/>
      <c r="G128" s="166"/>
      <c r="H128" s="166"/>
    </row>
    <row r="129" ht="17.2" customHeight="1" spans="1:8">
      <c r="A129" s="166"/>
      <c r="B129" s="166"/>
      <c r="C129" s="166"/>
      <c r="D129" s="166"/>
      <c r="E129" s="166"/>
      <c r="F129" s="166"/>
      <c r="G129" s="166"/>
      <c r="H129" s="166"/>
    </row>
    <row r="130" ht="17.2" customHeight="1" spans="1:8">
      <c r="A130" s="57" t="s">
        <v>50</v>
      </c>
      <c r="B130" s="57"/>
      <c r="C130" s="57">
        <v>37</v>
      </c>
      <c r="D130" s="57">
        <v>38</v>
      </c>
      <c r="E130" s="57">
        <v>39</v>
      </c>
      <c r="F130" s="57">
        <v>40</v>
      </c>
      <c r="G130" s="57">
        <v>41</v>
      </c>
      <c r="H130" s="57">
        <v>42</v>
      </c>
    </row>
    <row r="131" ht="17.2" customHeight="1" spans="1:8">
      <c r="A131" s="57" t="s">
        <v>1625</v>
      </c>
      <c r="B131" s="57"/>
      <c r="C131" s="57" t="s">
        <v>1698</v>
      </c>
      <c r="D131" s="57" t="s">
        <v>1699</v>
      </c>
      <c r="E131" s="84" t="s">
        <v>1700</v>
      </c>
      <c r="F131" s="57" t="s">
        <v>1701</v>
      </c>
      <c r="G131" s="57" t="s">
        <v>1655</v>
      </c>
      <c r="H131" s="57" t="s">
        <v>1672</v>
      </c>
    </row>
    <row r="132" ht="17.2" customHeight="1" spans="1:8">
      <c r="A132" s="57" t="s">
        <v>1657</v>
      </c>
      <c r="B132" s="57"/>
      <c r="C132" s="57"/>
      <c r="D132" s="57" t="s">
        <v>1702</v>
      </c>
      <c r="E132" s="57"/>
      <c r="F132" s="57" t="s">
        <v>1703</v>
      </c>
      <c r="G132" s="57" t="s">
        <v>1704</v>
      </c>
      <c r="H132" s="57" t="s">
        <v>1705</v>
      </c>
    </row>
    <row r="133" ht="17.2" customHeight="1" spans="1:8">
      <c r="A133" s="57" t="s">
        <v>1634</v>
      </c>
      <c r="B133" s="57"/>
      <c r="C133" s="57">
        <v>8051</v>
      </c>
      <c r="D133" s="57">
        <v>9148</v>
      </c>
      <c r="E133" s="57">
        <v>9202</v>
      </c>
      <c r="F133" s="57">
        <v>5005</v>
      </c>
      <c r="G133" s="57">
        <v>2052</v>
      </c>
      <c r="H133" s="57">
        <v>8008</v>
      </c>
    </row>
    <row r="134" ht="17.2" customHeight="1" spans="1:8">
      <c r="A134" s="245" t="s">
        <v>1662</v>
      </c>
      <c r="B134" s="61" t="s">
        <v>1636</v>
      </c>
      <c r="C134" s="57">
        <v>3.24</v>
      </c>
      <c r="D134" s="57">
        <v>8.65</v>
      </c>
      <c r="E134" s="57">
        <v>0.4</v>
      </c>
      <c r="F134" s="57">
        <v>16.5</v>
      </c>
      <c r="G134" s="57">
        <v>3.48</v>
      </c>
      <c r="H134" s="57">
        <v>1.08</v>
      </c>
    </row>
    <row r="135" ht="17.2" customHeight="1" spans="1:8">
      <c r="A135" s="245"/>
      <c r="B135" s="61" t="s">
        <v>1637</v>
      </c>
      <c r="C135" s="57">
        <v>2.58</v>
      </c>
      <c r="D135" s="57">
        <v>4.89</v>
      </c>
      <c r="E135" s="57">
        <v>1.17</v>
      </c>
      <c r="F135" s="57">
        <v>23.42</v>
      </c>
      <c r="G135" s="57">
        <v>7.96</v>
      </c>
      <c r="H135" s="57">
        <v>4.36</v>
      </c>
    </row>
    <row r="136" ht="17.2" customHeight="1" spans="1:8">
      <c r="A136" s="245"/>
      <c r="B136" s="61" t="s">
        <v>1638</v>
      </c>
      <c r="C136" s="57">
        <v>0.1</v>
      </c>
      <c r="D136" s="57">
        <v>1.33</v>
      </c>
      <c r="E136" s="57">
        <v>0.05</v>
      </c>
      <c r="F136" s="57">
        <v>6.19</v>
      </c>
      <c r="G136" s="57"/>
      <c r="H136" s="57">
        <v>1.24</v>
      </c>
    </row>
    <row r="137" ht="17.2" customHeight="1" spans="1:8">
      <c r="A137" s="245"/>
      <c r="B137" s="57" t="s">
        <v>1382</v>
      </c>
      <c r="C137" s="113">
        <f t="shared" ref="C137:H137" si="18">C134/1.15+C135/1.09+C136</f>
        <v>5.28436378141205</v>
      </c>
      <c r="D137" s="113">
        <f t="shared" si="18"/>
        <v>13.3379776625449</v>
      </c>
      <c r="E137" s="113">
        <f t="shared" si="18"/>
        <v>1.47122058236937</v>
      </c>
      <c r="F137" s="113">
        <f t="shared" si="18"/>
        <v>42.0240646190666</v>
      </c>
      <c r="G137" s="113">
        <f t="shared" si="18"/>
        <v>10.3288392500997</v>
      </c>
      <c r="H137" s="113">
        <f t="shared" si="18"/>
        <v>6.17913043478261</v>
      </c>
    </row>
    <row r="138" ht="17.2" customHeight="1" spans="1:8">
      <c r="A138" s="245" t="s">
        <v>1639</v>
      </c>
      <c r="B138" s="57" t="s">
        <v>1640</v>
      </c>
      <c r="C138" s="57">
        <v>2.4</v>
      </c>
      <c r="D138" s="57">
        <v>1.3</v>
      </c>
      <c r="E138" s="57">
        <v>2.4</v>
      </c>
      <c r="F138" s="57">
        <v>2.9</v>
      </c>
      <c r="G138" s="57"/>
      <c r="H138" s="57">
        <v>1.3</v>
      </c>
    </row>
    <row r="139" ht="17.2" customHeight="1" spans="1:8">
      <c r="A139" s="245"/>
      <c r="B139" s="57" t="s">
        <v>1642</v>
      </c>
      <c r="C139" s="57"/>
      <c r="D139" s="57"/>
      <c r="E139" s="57"/>
      <c r="F139" s="57"/>
      <c r="G139" s="57"/>
      <c r="H139" s="57"/>
    </row>
    <row r="140" ht="17.2" customHeight="1" spans="1:8">
      <c r="A140" s="245"/>
      <c r="B140" s="57" t="s">
        <v>1644</v>
      </c>
      <c r="C140" s="57"/>
      <c r="D140" s="57"/>
      <c r="E140" s="57"/>
      <c r="F140" s="57"/>
      <c r="G140" s="57"/>
      <c r="H140" s="57"/>
    </row>
    <row r="141" ht="17.2" customHeight="1" spans="1:8">
      <c r="A141" s="245"/>
      <c r="B141" s="57" t="s">
        <v>1123</v>
      </c>
      <c r="C141" s="57">
        <v>8</v>
      </c>
      <c r="D141" s="57">
        <v>10.1</v>
      </c>
      <c r="E141" s="57">
        <v>7.1</v>
      </c>
      <c r="F141" s="57">
        <v>19.6</v>
      </c>
      <c r="G141" s="57">
        <v>6.4</v>
      </c>
      <c r="H141" s="57">
        <v>50.2</v>
      </c>
    </row>
    <row r="142" ht="17.2" customHeight="1" spans="1:8">
      <c r="A142" s="245"/>
      <c r="B142" s="57" t="s">
        <v>1122</v>
      </c>
      <c r="C142" s="57"/>
      <c r="D142" s="57"/>
      <c r="E142" s="57"/>
      <c r="F142" s="57"/>
      <c r="G142" s="57"/>
      <c r="H142" s="57"/>
    </row>
    <row r="143" ht="17.2" customHeight="1" spans="1:8">
      <c r="A143" s="245"/>
      <c r="B143" s="57" t="s">
        <v>1022</v>
      </c>
      <c r="C143" s="57"/>
      <c r="D143" s="57"/>
      <c r="E143" s="57"/>
      <c r="F143" s="57"/>
      <c r="G143" s="57"/>
      <c r="H143" s="57"/>
    </row>
    <row r="144" ht="17.2" customHeight="1" spans="1:8">
      <c r="A144" s="245"/>
      <c r="B144" s="57" t="s">
        <v>1650</v>
      </c>
      <c r="C144" s="57"/>
      <c r="D144" s="57"/>
      <c r="E144" s="57"/>
      <c r="F144" s="57"/>
      <c r="G144" s="57"/>
      <c r="H144" s="57"/>
    </row>
    <row r="145" ht="17.2" customHeight="1" spans="1:8">
      <c r="A145" s="245"/>
      <c r="B145" s="57" t="s">
        <v>1405</v>
      </c>
      <c r="C145" s="57"/>
      <c r="D145" s="57"/>
      <c r="E145" s="57"/>
      <c r="F145" s="57"/>
      <c r="G145" s="57"/>
      <c r="H145" s="57"/>
    </row>
    <row r="146" ht="17.2" customHeight="1" spans="1:8">
      <c r="A146" s="245"/>
      <c r="B146" s="57" t="s">
        <v>1382</v>
      </c>
      <c r="C146" s="113">
        <f t="shared" ref="C146:H146" si="19">C138*$J$12+C139*$J$13+C140*$J$14+C141*$J$15+C142*$J$16+C143*$J$17+C144*$J$18+C145*$J$19</f>
        <v>23.52</v>
      </c>
      <c r="D146" s="113">
        <f t="shared" si="19"/>
        <v>15.681</v>
      </c>
      <c r="E146" s="113">
        <f t="shared" si="19"/>
        <v>23.061</v>
      </c>
      <c r="F146" s="113">
        <f t="shared" si="19"/>
        <v>33.486</v>
      </c>
      <c r="G146" s="113">
        <f t="shared" si="19"/>
        <v>3.264</v>
      </c>
      <c r="H146" s="113">
        <f t="shared" si="19"/>
        <v>36.132</v>
      </c>
    </row>
    <row r="147" ht="17.2" customHeight="1" spans="1:8">
      <c r="A147" s="117" t="s">
        <v>1651</v>
      </c>
      <c r="B147" s="118"/>
      <c r="C147" s="84">
        <f t="shared" ref="C147:H147" si="20">C137+C146</f>
        <v>28.804363781412</v>
      </c>
      <c r="D147" s="84">
        <f t="shared" si="20"/>
        <v>29.0189776625449</v>
      </c>
      <c r="E147" s="84">
        <f t="shared" si="20"/>
        <v>24.5322205823694</v>
      </c>
      <c r="F147" s="84">
        <f t="shared" si="20"/>
        <v>75.5100646190666</v>
      </c>
      <c r="G147" s="84">
        <f t="shared" si="20"/>
        <v>13.5928392500997</v>
      </c>
      <c r="H147" s="84">
        <f t="shared" si="20"/>
        <v>42.3111304347826</v>
      </c>
    </row>
    <row r="148" ht="17.2" customHeight="1" spans="1:8">
      <c r="A148" s="166" t="s">
        <v>1623</v>
      </c>
      <c r="B148" s="166"/>
      <c r="C148" s="166"/>
      <c r="D148" s="166"/>
      <c r="E148" s="166"/>
      <c r="F148" s="166"/>
      <c r="G148" s="166"/>
      <c r="H148" s="166"/>
    </row>
    <row r="149" ht="17.2" customHeight="1" spans="1:8">
      <c r="A149" s="166"/>
      <c r="B149" s="166"/>
      <c r="C149" s="166"/>
      <c r="D149" s="166"/>
      <c r="E149" s="166"/>
      <c r="F149" s="166"/>
      <c r="G149" s="166"/>
      <c r="H149" s="166"/>
    </row>
    <row r="150" ht="17.2" customHeight="1" spans="1:8">
      <c r="A150" s="166"/>
      <c r="B150" s="166"/>
      <c r="C150" s="166"/>
      <c r="D150" s="166"/>
      <c r="E150" s="166"/>
      <c r="F150" s="166"/>
      <c r="G150" s="166"/>
      <c r="H150" s="166"/>
    </row>
    <row r="151" ht="17.2" customHeight="1" spans="1:8">
      <c r="A151" s="57" t="s">
        <v>50</v>
      </c>
      <c r="B151" s="57"/>
      <c r="C151" s="57">
        <v>43</v>
      </c>
      <c r="D151" s="57">
        <v>44</v>
      </c>
      <c r="E151" s="57">
        <v>45</v>
      </c>
      <c r="F151" s="57">
        <v>46</v>
      </c>
      <c r="G151" s="57">
        <v>47</v>
      </c>
      <c r="H151" s="57">
        <v>48</v>
      </c>
    </row>
    <row r="152" ht="17.2" customHeight="1" spans="1:8">
      <c r="A152" s="57" t="s">
        <v>1625</v>
      </c>
      <c r="B152" s="57"/>
      <c r="C152" s="57" t="s">
        <v>1228</v>
      </c>
      <c r="D152" s="57" t="s">
        <v>1672</v>
      </c>
      <c r="E152" s="57" t="s">
        <v>1706</v>
      </c>
      <c r="F152" s="57" t="s">
        <v>1707</v>
      </c>
      <c r="G152" s="57" t="s">
        <v>1708</v>
      </c>
      <c r="H152" s="57" t="s">
        <v>1709</v>
      </c>
    </row>
    <row r="153" ht="17.2" customHeight="1" spans="1:8">
      <c r="A153" s="57" t="s">
        <v>1657</v>
      </c>
      <c r="B153" s="57"/>
      <c r="C153" s="57"/>
      <c r="D153" s="57" t="s">
        <v>1710</v>
      </c>
      <c r="E153" s="57" t="s">
        <v>1711</v>
      </c>
      <c r="F153" s="57"/>
      <c r="G153" s="57" t="s">
        <v>1712</v>
      </c>
      <c r="H153" s="57" t="s">
        <v>1713</v>
      </c>
    </row>
    <row r="154" ht="17.2" customHeight="1" spans="1:8">
      <c r="A154" s="57" t="s">
        <v>1634</v>
      </c>
      <c r="B154" s="57"/>
      <c r="C154" s="57">
        <v>1094</v>
      </c>
      <c r="D154" s="57">
        <v>8005</v>
      </c>
      <c r="E154" s="57">
        <v>8042</v>
      </c>
      <c r="F154" s="57">
        <v>8044</v>
      </c>
      <c r="G154" s="57">
        <v>8047</v>
      </c>
      <c r="H154" s="57">
        <v>8048</v>
      </c>
    </row>
    <row r="155" ht="17.2" customHeight="1" spans="1:8">
      <c r="A155" s="245" t="s">
        <v>1662</v>
      </c>
      <c r="B155" s="61" t="s">
        <v>1636</v>
      </c>
      <c r="C155" s="57">
        <v>5.07</v>
      </c>
      <c r="D155" s="57">
        <v>0.31</v>
      </c>
      <c r="E155" s="57">
        <v>1.69</v>
      </c>
      <c r="F155" s="57">
        <v>0.53</v>
      </c>
      <c r="G155" s="57">
        <v>1.18</v>
      </c>
      <c r="H155" s="57">
        <v>1.6</v>
      </c>
    </row>
    <row r="156" ht="17.2" customHeight="1" spans="1:8">
      <c r="A156" s="245"/>
      <c r="B156" s="61" t="s">
        <v>1637</v>
      </c>
      <c r="C156" s="57">
        <v>5.62</v>
      </c>
      <c r="D156" s="57">
        <v>1.76</v>
      </c>
      <c r="E156" s="57">
        <v>2.56</v>
      </c>
      <c r="F156" s="57">
        <v>1.45</v>
      </c>
      <c r="G156" s="57">
        <v>1.71</v>
      </c>
      <c r="H156" s="57">
        <v>2.69</v>
      </c>
    </row>
    <row r="157" ht="17.2" customHeight="1" spans="1:8">
      <c r="A157" s="245"/>
      <c r="B157" s="61" t="s">
        <v>1638</v>
      </c>
      <c r="C157" s="57">
        <v>0.22</v>
      </c>
      <c r="D157" s="57">
        <v>0.51</v>
      </c>
      <c r="E157" s="57">
        <v>0.76</v>
      </c>
      <c r="F157" s="57">
        <v>0.24</v>
      </c>
      <c r="G157" s="57">
        <v>0.28</v>
      </c>
      <c r="H157" s="57">
        <v>0.44</v>
      </c>
    </row>
    <row r="158" ht="17.2" customHeight="1" spans="1:8">
      <c r="A158" s="245"/>
      <c r="B158" s="57" t="s">
        <v>1382</v>
      </c>
      <c r="C158" s="113">
        <f t="shared" ref="C158:H158" si="21">C155/1.15+C156/1.09+C157</f>
        <v>9.78465895492621</v>
      </c>
      <c r="D158" s="113">
        <f t="shared" si="21"/>
        <v>2.39424411647387</v>
      </c>
      <c r="E158" s="113">
        <f t="shared" si="21"/>
        <v>4.57818907060231</v>
      </c>
      <c r="F158" s="113">
        <f t="shared" si="21"/>
        <v>2.03114479457519</v>
      </c>
      <c r="G158" s="113">
        <f t="shared" si="21"/>
        <v>2.87489429597128</v>
      </c>
      <c r="H158" s="113">
        <f t="shared" si="21"/>
        <v>4.29919425608297</v>
      </c>
    </row>
    <row r="159" ht="17.2" customHeight="1" spans="1:8">
      <c r="A159" s="245" t="s">
        <v>1639</v>
      </c>
      <c r="B159" s="57" t="s">
        <v>1640</v>
      </c>
      <c r="C159" s="57">
        <v>2.4</v>
      </c>
      <c r="D159" s="57">
        <v>1.3</v>
      </c>
      <c r="E159" s="57">
        <v>1.3</v>
      </c>
      <c r="F159" s="57">
        <v>1.3</v>
      </c>
      <c r="G159" s="57">
        <v>1.3</v>
      </c>
      <c r="H159" s="57">
        <v>1.3</v>
      </c>
    </row>
    <row r="160" ht="17.2" customHeight="1" spans="1:8">
      <c r="A160" s="245"/>
      <c r="B160" s="57" t="s">
        <v>1642</v>
      </c>
      <c r="C160" s="57"/>
      <c r="D160" s="57"/>
      <c r="E160" s="57"/>
      <c r="F160" s="57"/>
      <c r="G160" s="57"/>
      <c r="H160" s="57"/>
    </row>
    <row r="161" ht="17.2" customHeight="1" spans="1:8">
      <c r="A161" s="245"/>
      <c r="B161" s="57" t="s">
        <v>1644</v>
      </c>
      <c r="C161" s="57">
        <v>7.4</v>
      </c>
      <c r="D161" s="57"/>
      <c r="E161" s="57"/>
      <c r="F161" s="57"/>
      <c r="G161" s="57"/>
      <c r="H161" s="57"/>
    </row>
    <row r="162" ht="17.2" customHeight="1" spans="1:8">
      <c r="A162" s="245"/>
      <c r="B162" s="57" t="s">
        <v>1123</v>
      </c>
      <c r="C162" s="57"/>
      <c r="D162" s="57">
        <v>15.5</v>
      </c>
      <c r="E162" s="57">
        <v>80.1</v>
      </c>
      <c r="F162" s="57">
        <v>6</v>
      </c>
      <c r="G162" s="57">
        <v>17.2</v>
      </c>
      <c r="H162" s="57">
        <v>7.2</v>
      </c>
    </row>
    <row r="163" ht="17.2" customHeight="1" spans="1:8">
      <c r="A163" s="245"/>
      <c r="B163" s="57" t="s">
        <v>1122</v>
      </c>
      <c r="C163" s="57"/>
      <c r="D163" s="57"/>
      <c r="E163" s="57">
        <v>8.1</v>
      </c>
      <c r="F163" s="57"/>
      <c r="G163" s="57"/>
      <c r="H163" s="57"/>
    </row>
    <row r="164" ht="17.2" customHeight="1" spans="1:8">
      <c r="A164" s="245"/>
      <c r="B164" s="57" t="s">
        <v>1022</v>
      </c>
      <c r="C164" s="57"/>
      <c r="D164" s="57"/>
      <c r="E164" s="57">
        <v>3.2</v>
      </c>
      <c r="F164" s="57"/>
      <c r="G164" s="57"/>
      <c r="H164" s="57"/>
    </row>
    <row r="165" ht="17.2" customHeight="1" spans="1:8">
      <c r="A165" s="245"/>
      <c r="B165" s="57" t="s">
        <v>1650</v>
      </c>
      <c r="C165" s="57"/>
      <c r="D165" s="57"/>
      <c r="E165" s="57"/>
      <c r="F165" s="57"/>
      <c r="G165" s="57"/>
      <c r="H165" s="57"/>
    </row>
    <row r="166" ht="17.2" customHeight="1" spans="1:8">
      <c r="A166" s="245"/>
      <c r="B166" s="57" t="s">
        <v>1405</v>
      </c>
      <c r="C166" s="57"/>
      <c r="D166" s="57"/>
      <c r="E166" s="57"/>
      <c r="F166" s="57"/>
      <c r="G166" s="57"/>
      <c r="H166" s="57"/>
    </row>
    <row r="167" ht="17.2" customHeight="1" spans="1:8">
      <c r="A167" s="245"/>
      <c r="B167" s="57" t="s">
        <v>1382</v>
      </c>
      <c r="C167" s="113">
        <f t="shared" ref="C167:H167" si="22">C159*$J$12+C160*$J$13+C161*$J$14+C162*$J$15+C163*$J$16+C164*$J$17+C165*$J$18+C166*$J$19</f>
        <v>41.566</v>
      </c>
      <c r="D167" s="113">
        <f t="shared" si="22"/>
        <v>18.435</v>
      </c>
      <c r="E167" s="113">
        <f t="shared" si="22"/>
        <v>66.256</v>
      </c>
      <c r="F167" s="113">
        <f t="shared" si="22"/>
        <v>13.59</v>
      </c>
      <c r="G167" s="113">
        <f t="shared" si="22"/>
        <v>19.302</v>
      </c>
      <c r="H167" s="113">
        <f t="shared" si="22"/>
        <v>14.202</v>
      </c>
    </row>
    <row r="168" ht="17.2" customHeight="1" spans="1:8">
      <c r="A168" s="117" t="s">
        <v>1651</v>
      </c>
      <c r="B168" s="118"/>
      <c r="C168" s="84">
        <f t="shared" ref="C168:H168" si="23">C158+C167</f>
        <v>51.3506589549262</v>
      </c>
      <c r="D168" s="84">
        <f t="shared" si="23"/>
        <v>20.8292441164739</v>
      </c>
      <c r="E168" s="84">
        <f t="shared" si="23"/>
        <v>70.8341890706023</v>
      </c>
      <c r="F168" s="84">
        <f t="shared" si="23"/>
        <v>15.6211447945752</v>
      </c>
      <c r="G168" s="84">
        <f t="shared" si="23"/>
        <v>22.1768942959713</v>
      </c>
      <c r="H168" s="84">
        <f t="shared" si="23"/>
        <v>18.501194256083</v>
      </c>
    </row>
    <row r="169" ht="17.2" customHeight="1" spans="1:8">
      <c r="A169" s="166" t="s">
        <v>1623</v>
      </c>
      <c r="B169" s="166"/>
      <c r="C169" s="166"/>
      <c r="D169" s="166"/>
      <c r="E169" s="166"/>
      <c r="F169" s="166"/>
      <c r="G169" s="166"/>
      <c r="H169" s="166"/>
    </row>
    <row r="170" ht="17.2" customHeight="1" spans="1:8">
      <c r="A170" s="166"/>
      <c r="B170" s="166"/>
      <c r="C170" s="166"/>
      <c r="D170" s="166"/>
      <c r="E170" s="166"/>
      <c r="F170" s="166"/>
      <c r="G170" s="166"/>
      <c r="H170" s="166"/>
    </row>
    <row r="171" ht="17.2" customHeight="1" spans="1:8">
      <c r="A171" s="166"/>
      <c r="B171" s="166"/>
      <c r="C171" s="166"/>
      <c r="D171" s="166"/>
      <c r="E171" s="166"/>
      <c r="F171" s="166"/>
      <c r="G171" s="166"/>
      <c r="H171" s="166"/>
    </row>
    <row r="172" ht="17.2" customHeight="1" spans="1:8">
      <c r="A172" s="57" t="s">
        <v>50</v>
      </c>
      <c r="B172" s="57"/>
      <c r="C172" s="57">
        <v>49</v>
      </c>
      <c r="D172" s="57">
        <v>50</v>
      </c>
      <c r="E172" s="57">
        <v>51</v>
      </c>
      <c r="F172" s="57">
        <v>52</v>
      </c>
      <c r="G172" s="57">
        <v>53</v>
      </c>
      <c r="H172" s="57">
        <v>54</v>
      </c>
    </row>
    <row r="173" ht="17.2" customHeight="1" spans="1:8">
      <c r="A173" s="57" t="s">
        <v>1625</v>
      </c>
      <c r="B173" s="57"/>
      <c r="C173" s="57" t="s">
        <v>1671</v>
      </c>
      <c r="D173" s="57" t="s">
        <v>1671</v>
      </c>
      <c r="E173" s="57" t="s">
        <v>1663</v>
      </c>
      <c r="F173" s="57" t="s">
        <v>1671</v>
      </c>
      <c r="G173" s="57" t="s">
        <v>1663</v>
      </c>
      <c r="H173" s="57" t="s">
        <v>1655</v>
      </c>
    </row>
    <row r="174" ht="17.2" customHeight="1" spans="1:8">
      <c r="A174" s="57" t="s">
        <v>1657</v>
      </c>
      <c r="B174" s="57"/>
      <c r="C174" s="57" t="s">
        <v>1668</v>
      </c>
      <c r="D174" s="57" t="s">
        <v>1714</v>
      </c>
      <c r="E174" s="57" t="s">
        <v>1715</v>
      </c>
      <c r="F174" s="57" t="s">
        <v>1716</v>
      </c>
      <c r="G174" s="57" t="s">
        <v>1717</v>
      </c>
      <c r="H174" s="57" t="s">
        <v>1718</v>
      </c>
    </row>
    <row r="175" ht="17.2" customHeight="1" spans="1:9">
      <c r="A175" s="57" t="s">
        <v>1634</v>
      </c>
      <c r="B175" s="57"/>
      <c r="C175" s="57">
        <v>4030</v>
      </c>
      <c r="D175" s="57">
        <v>4033</v>
      </c>
      <c r="E175" s="57">
        <v>3004</v>
      </c>
      <c r="F175" s="57">
        <v>4031</v>
      </c>
      <c r="G175" s="57">
        <v>3006</v>
      </c>
      <c r="H175" s="57">
        <v>2010</v>
      </c>
      <c r="I175" s="298"/>
    </row>
    <row r="176" ht="17.2" customHeight="1" spans="1:9">
      <c r="A176" s="245" t="s">
        <v>1662</v>
      </c>
      <c r="B176" s="61" t="s">
        <v>1636</v>
      </c>
      <c r="C176" s="57">
        <v>25.08</v>
      </c>
      <c r="D176" s="57">
        <v>74.64</v>
      </c>
      <c r="E176" s="57">
        <v>7.91</v>
      </c>
      <c r="F176" s="57">
        <v>37.62</v>
      </c>
      <c r="G176" s="57">
        <v>22.59</v>
      </c>
      <c r="H176" s="57">
        <v>0.51</v>
      </c>
      <c r="I176" s="299"/>
    </row>
    <row r="177" ht="17.2" customHeight="1" spans="1:9">
      <c r="A177" s="245"/>
      <c r="B177" s="61" t="s">
        <v>1637</v>
      </c>
      <c r="C177" s="57">
        <v>17.45</v>
      </c>
      <c r="D177" s="57">
        <v>40.31</v>
      </c>
      <c r="E177" s="57">
        <v>3.95</v>
      </c>
      <c r="F177" s="57">
        <v>26.17</v>
      </c>
      <c r="G177" s="57">
        <v>13.55</v>
      </c>
      <c r="H177" s="57">
        <v>1.8</v>
      </c>
      <c r="I177" s="299"/>
    </row>
    <row r="178" ht="17.2" customHeight="1" spans="1:9">
      <c r="A178" s="245"/>
      <c r="B178" s="61" t="s">
        <v>1638</v>
      </c>
      <c r="C178" s="57"/>
      <c r="D178" s="57"/>
      <c r="E178" s="57"/>
      <c r="F178" s="57"/>
      <c r="G178" s="57"/>
      <c r="H178" s="57"/>
      <c r="I178" s="299"/>
    </row>
    <row r="179" ht="17.2" customHeight="1" spans="1:9">
      <c r="A179" s="245"/>
      <c r="B179" s="57" t="s">
        <v>1382</v>
      </c>
      <c r="C179" s="113">
        <f t="shared" ref="C179:H179" si="24">C176/1.15+C177/1.09+C178</f>
        <v>37.8178699641005</v>
      </c>
      <c r="D179" s="113">
        <f t="shared" si="24"/>
        <v>101.885999202234</v>
      </c>
      <c r="E179" s="113">
        <f t="shared" si="24"/>
        <v>10.5021140805744</v>
      </c>
      <c r="F179" s="113">
        <f t="shared" si="24"/>
        <v>56.7222177901875</v>
      </c>
      <c r="G179" s="113">
        <f t="shared" si="24"/>
        <v>32.07467092142</v>
      </c>
      <c r="H179" s="113">
        <f t="shared" si="24"/>
        <v>2.09485440765856</v>
      </c>
      <c r="I179" s="299"/>
    </row>
    <row r="180" ht="17.2" customHeight="1" spans="1:9">
      <c r="A180" s="245" t="s">
        <v>1639</v>
      </c>
      <c r="B180" s="57" t="s">
        <v>1640</v>
      </c>
      <c r="C180" s="57">
        <v>2.7</v>
      </c>
      <c r="D180" s="57">
        <v>2.7</v>
      </c>
      <c r="E180" s="57">
        <v>1.3</v>
      </c>
      <c r="F180" s="57">
        <v>2.7</v>
      </c>
      <c r="G180" s="57">
        <v>1.3</v>
      </c>
      <c r="H180" s="57"/>
      <c r="I180" s="299"/>
    </row>
    <row r="181" ht="17.2" customHeight="1" spans="1:9">
      <c r="A181" s="245"/>
      <c r="B181" s="57" t="s">
        <v>1642</v>
      </c>
      <c r="C181" s="57"/>
      <c r="D181" s="57"/>
      <c r="E181" s="57">
        <v>7.7</v>
      </c>
      <c r="F181" s="57"/>
      <c r="G181" s="57"/>
      <c r="H181" s="57"/>
      <c r="I181" s="299"/>
    </row>
    <row r="182" ht="17.2" customHeight="1" spans="1:9">
      <c r="A182" s="245"/>
      <c r="B182" s="57" t="s">
        <v>1644</v>
      </c>
      <c r="C182" s="57">
        <v>7.7</v>
      </c>
      <c r="D182" s="57">
        <v>12.4</v>
      </c>
      <c r="E182" s="57"/>
      <c r="F182" s="57">
        <v>11.1</v>
      </c>
      <c r="G182" s="57">
        <v>10.2</v>
      </c>
      <c r="H182" s="57"/>
      <c r="I182" s="299"/>
    </row>
    <row r="183" ht="17.2" customHeight="1" spans="1:9">
      <c r="A183" s="245"/>
      <c r="B183" s="57" t="s">
        <v>1123</v>
      </c>
      <c r="C183" s="57"/>
      <c r="D183" s="57"/>
      <c r="E183" s="57"/>
      <c r="F183" s="57"/>
      <c r="G183" s="57"/>
      <c r="H183" s="57">
        <v>1.1</v>
      </c>
      <c r="I183" s="299"/>
    </row>
    <row r="184" ht="17.2" customHeight="1" spans="1:9">
      <c r="A184" s="245"/>
      <c r="B184" s="57" t="s">
        <v>1122</v>
      </c>
      <c r="C184" s="57"/>
      <c r="D184" s="57"/>
      <c r="E184" s="57"/>
      <c r="F184" s="57"/>
      <c r="G184" s="57"/>
      <c r="H184" s="57"/>
      <c r="I184" s="298"/>
    </row>
    <row r="185" ht="17.2" customHeight="1" spans="1:9">
      <c r="A185" s="245"/>
      <c r="B185" s="57" t="s">
        <v>1022</v>
      </c>
      <c r="C185" s="57"/>
      <c r="D185" s="57"/>
      <c r="E185" s="57"/>
      <c r="F185" s="57"/>
      <c r="G185" s="57"/>
      <c r="H185" s="57"/>
      <c r="I185" s="300"/>
    </row>
    <row r="186" ht="17.2" customHeight="1" spans="1:9">
      <c r="A186" s="245"/>
      <c r="B186" s="57" t="s">
        <v>1650</v>
      </c>
      <c r="C186" s="57"/>
      <c r="D186" s="57"/>
      <c r="E186" s="57"/>
      <c r="F186" s="57"/>
      <c r="G186" s="57"/>
      <c r="H186" s="57"/>
      <c r="I186" s="301"/>
    </row>
    <row r="187" ht="17.2" customHeight="1" spans="1:9">
      <c r="A187" s="245"/>
      <c r="B187" s="57" t="s">
        <v>1405</v>
      </c>
      <c r="C187" s="57"/>
      <c r="D187" s="57"/>
      <c r="E187" s="57"/>
      <c r="F187" s="57"/>
      <c r="G187" s="113"/>
      <c r="H187" s="57"/>
      <c r="I187" s="302"/>
    </row>
    <row r="188" ht="17.2" customHeight="1" spans="1:9">
      <c r="A188" s="245"/>
      <c r="B188" s="57" t="s">
        <v>1382</v>
      </c>
      <c r="C188" s="113">
        <f t="shared" ref="C188:H188" si="25">C180*$J$12+C181*$J$13+C182*$J$14+C183*$J$15+C184*$J$16+C185*$J$17+C186*$J$18+C187*$J$19</f>
        <v>44.893</v>
      </c>
      <c r="D188" s="113">
        <f t="shared" si="25"/>
        <v>58.946</v>
      </c>
      <c r="E188" s="113">
        <f t="shared" si="25"/>
        <v>34.2075</v>
      </c>
      <c r="F188" s="113">
        <f t="shared" si="25"/>
        <v>55.059</v>
      </c>
      <c r="G188" s="113">
        <f t="shared" si="25"/>
        <v>41.028</v>
      </c>
      <c r="H188" s="113">
        <f t="shared" si="25"/>
        <v>0.561</v>
      </c>
      <c r="I188" s="302"/>
    </row>
    <row r="189" ht="17.2" customHeight="1" spans="1:9">
      <c r="A189" s="117" t="s">
        <v>1651</v>
      </c>
      <c r="B189" s="118"/>
      <c r="C189" s="84">
        <f t="shared" ref="C189:H189" si="26">C179+C188</f>
        <v>82.7108699641005</v>
      </c>
      <c r="D189" s="84">
        <f t="shared" si="26"/>
        <v>160.831999202234</v>
      </c>
      <c r="E189" s="84">
        <f t="shared" si="26"/>
        <v>44.7096140805744</v>
      </c>
      <c r="F189" s="84">
        <f t="shared" si="26"/>
        <v>111.781217790187</v>
      </c>
      <c r="G189" s="84">
        <f t="shared" si="26"/>
        <v>73.10267092142</v>
      </c>
      <c r="H189" s="113">
        <f t="shared" si="26"/>
        <v>2.65585440765856</v>
      </c>
      <c r="I189" s="302"/>
    </row>
    <row r="190" ht="17.2" customHeight="1" spans="1:9">
      <c r="A190" s="166" t="s">
        <v>1623</v>
      </c>
      <c r="B190" s="166"/>
      <c r="C190" s="166"/>
      <c r="D190" s="166"/>
      <c r="E190" s="166"/>
      <c r="F190" s="166"/>
      <c r="G190" s="166"/>
      <c r="H190" s="166"/>
      <c r="I190" s="303"/>
    </row>
    <row r="191" ht="17.2" customHeight="1" spans="1:8">
      <c r="A191" s="166"/>
      <c r="B191" s="166"/>
      <c r="C191" s="166"/>
      <c r="D191" s="166"/>
      <c r="E191" s="166"/>
      <c r="F191" s="166"/>
      <c r="G191" s="166"/>
      <c r="H191" s="166"/>
    </row>
    <row r="192" ht="17.2" customHeight="1" spans="1:8">
      <c r="A192" s="166"/>
      <c r="B192" s="166"/>
      <c r="C192" s="166"/>
      <c r="D192" s="166"/>
      <c r="E192" s="166"/>
      <c r="F192" s="166"/>
      <c r="G192" s="166"/>
      <c r="H192" s="166"/>
    </row>
    <row r="193" ht="17.2" customHeight="1" spans="1:8">
      <c r="A193" s="57" t="s">
        <v>50</v>
      </c>
      <c r="B193" s="57"/>
      <c r="C193" s="57">
        <v>55</v>
      </c>
      <c r="D193" s="57">
        <v>56</v>
      </c>
      <c r="E193" s="57">
        <v>57</v>
      </c>
      <c r="F193" s="57">
        <v>58</v>
      </c>
      <c r="G193" s="57">
        <v>59</v>
      </c>
      <c r="H193" s="57">
        <v>60</v>
      </c>
    </row>
    <row r="194" ht="17.2" customHeight="1" spans="1:8">
      <c r="A194" s="57" t="s">
        <v>1625</v>
      </c>
      <c r="B194" s="57"/>
      <c r="C194" s="115" t="s">
        <v>1719</v>
      </c>
      <c r="D194" s="84" t="s">
        <v>1720</v>
      </c>
      <c r="E194" s="57" t="s">
        <v>1667</v>
      </c>
      <c r="F194" s="84" t="s">
        <v>1721</v>
      </c>
      <c r="G194" s="57" t="s">
        <v>1667</v>
      </c>
      <c r="H194" s="57" t="s">
        <v>1722</v>
      </c>
    </row>
    <row r="195" ht="17.2" customHeight="1" spans="1:8">
      <c r="A195" s="57" t="s">
        <v>1657</v>
      </c>
      <c r="B195" s="57"/>
      <c r="C195" s="57"/>
      <c r="D195" s="57"/>
      <c r="E195" s="57" t="s">
        <v>1723</v>
      </c>
      <c r="F195" s="57"/>
      <c r="G195" s="57" t="s">
        <v>1684</v>
      </c>
      <c r="H195" s="57" t="s">
        <v>1724</v>
      </c>
    </row>
    <row r="196" ht="17.2" customHeight="1" spans="1:8">
      <c r="A196" s="57" t="s">
        <v>1634</v>
      </c>
      <c r="B196" s="57"/>
      <c r="C196" s="57">
        <v>5008</v>
      </c>
      <c r="D196" s="57">
        <v>6023</v>
      </c>
      <c r="E196" s="57">
        <v>4068</v>
      </c>
      <c r="F196" s="57">
        <v>9213</v>
      </c>
      <c r="G196" s="57">
        <v>4069</v>
      </c>
      <c r="H196" s="57">
        <v>1026</v>
      </c>
    </row>
    <row r="197" ht="17.2" customHeight="1" spans="1:8">
      <c r="A197" s="245" t="s">
        <v>1662</v>
      </c>
      <c r="B197" s="61" t="s">
        <v>1636</v>
      </c>
      <c r="C197" s="57">
        <v>3.21</v>
      </c>
      <c r="D197" s="57">
        <v>0.45</v>
      </c>
      <c r="E197" s="57">
        <v>0.43</v>
      </c>
      <c r="F197" s="57">
        <v>1.57</v>
      </c>
      <c r="G197" s="57">
        <v>1.75</v>
      </c>
      <c r="H197" s="57">
        <v>13.51</v>
      </c>
    </row>
    <row r="198" ht="17.2" customHeight="1" spans="1:8">
      <c r="A198" s="245"/>
      <c r="B198" s="61" t="s">
        <v>1637</v>
      </c>
      <c r="C198" s="57">
        <v>6.51</v>
      </c>
      <c r="D198" s="57">
        <v>1.16</v>
      </c>
      <c r="E198" s="57">
        <v>0.17</v>
      </c>
      <c r="F198" s="57">
        <v>1.57</v>
      </c>
      <c r="G198" s="57">
        <v>0.68</v>
      </c>
      <c r="H198" s="57">
        <v>15.76</v>
      </c>
    </row>
    <row r="199" ht="17.2" customHeight="1" spans="1:8">
      <c r="A199" s="245"/>
      <c r="B199" s="61" t="s">
        <v>1638</v>
      </c>
      <c r="C199" s="57">
        <v>0.58</v>
      </c>
      <c r="D199" s="57">
        <v>0.23</v>
      </c>
      <c r="E199" s="57">
        <v>0.01</v>
      </c>
      <c r="F199" s="57">
        <v>0.09</v>
      </c>
      <c r="G199" s="57">
        <v>0.03</v>
      </c>
      <c r="H199" s="57"/>
    </row>
    <row r="200" ht="17.2" customHeight="1" spans="1:8">
      <c r="A200" s="245"/>
      <c r="B200" s="57" t="s">
        <v>1382</v>
      </c>
      <c r="C200" s="113">
        <f t="shared" ref="C200:H200" si="27">C197/1.15+C198/1.09+C199</f>
        <v>9.34378141204627</v>
      </c>
      <c r="D200" s="113">
        <f t="shared" si="27"/>
        <v>1.68552453131233</v>
      </c>
      <c r="E200" s="113">
        <f t="shared" si="27"/>
        <v>0.539876346230554</v>
      </c>
      <c r="F200" s="113">
        <f t="shared" si="27"/>
        <v>2.89558436378141</v>
      </c>
      <c r="G200" s="113">
        <f t="shared" si="27"/>
        <v>2.17559234144396</v>
      </c>
      <c r="H200" s="113">
        <f t="shared" si="27"/>
        <v>26.2065416832868</v>
      </c>
    </row>
    <row r="201" ht="17.2" customHeight="1" spans="1:8">
      <c r="A201" s="245" t="s">
        <v>1639</v>
      </c>
      <c r="B201" s="57" t="s">
        <v>1640</v>
      </c>
      <c r="C201" s="57">
        <v>1.3</v>
      </c>
      <c r="D201" s="57">
        <v>1.3</v>
      </c>
      <c r="E201" s="57">
        <v>1</v>
      </c>
      <c r="F201" s="57">
        <v>2.4</v>
      </c>
      <c r="G201" s="57">
        <v>1</v>
      </c>
      <c r="H201" s="57"/>
    </row>
    <row r="202" ht="17.2" customHeight="1" spans="1:8">
      <c r="A202" s="245"/>
      <c r="B202" s="57" t="s">
        <v>1642</v>
      </c>
      <c r="C202" s="57"/>
      <c r="D202" s="57"/>
      <c r="E202" s="57"/>
      <c r="F202" s="57"/>
      <c r="G202" s="57"/>
      <c r="H202" s="57"/>
    </row>
    <row r="203" ht="17.2" customHeight="1" spans="1:8">
      <c r="A203" s="245"/>
      <c r="B203" s="57" t="s">
        <v>1644</v>
      </c>
      <c r="C203" s="57"/>
      <c r="D203" s="57"/>
      <c r="E203" s="57"/>
      <c r="F203" s="57"/>
      <c r="G203" s="57"/>
      <c r="H203" s="57"/>
    </row>
    <row r="204" ht="17.2" customHeight="1" spans="1:8">
      <c r="A204" s="245"/>
      <c r="B204" s="57" t="s">
        <v>1123</v>
      </c>
      <c r="C204" s="57">
        <v>12.9</v>
      </c>
      <c r="D204" s="57">
        <v>2.9</v>
      </c>
      <c r="E204" s="57">
        <v>3</v>
      </c>
      <c r="F204" s="57">
        <v>0.4</v>
      </c>
      <c r="G204" s="57">
        <v>5.4</v>
      </c>
      <c r="H204" s="57"/>
    </row>
    <row r="205" ht="17.2" customHeight="1" spans="1:8">
      <c r="A205" s="245"/>
      <c r="B205" s="57" t="s">
        <v>1122</v>
      </c>
      <c r="C205" s="57"/>
      <c r="D205" s="57"/>
      <c r="E205" s="57"/>
      <c r="F205" s="57"/>
      <c r="G205" s="57"/>
      <c r="H205" s="57"/>
    </row>
    <row r="206" ht="17.2" customHeight="1" spans="1:8">
      <c r="A206" s="245"/>
      <c r="B206" s="57" t="s">
        <v>1022</v>
      </c>
      <c r="C206" s="57"/>
      <c r="D206" s="57"/>
      <c r="E206" s="57"/>
      <c r="F206" s="57"/>
      <c r="G206" s="57"/>
      <c r="H206" s="57"/>
    </row>
    <row r="207" ht="17.2" customHeight="1" spans="1:8">
      <c r="A207" s="245"/>
      <c r="B207" s="57" t="s">
        <v>1650</v>
      </c>
      <c r="C207" s="57"/>
      <c r="D207" s="57"/>
      <c r="E207" s="57"/>
      <c r="F207" s="57"/>
      <c r="G207" s="57"/>
      <c r="H207" s="57"/>
    </row>
    <row r="208" ht="17.2" customHeight="1" spans="1:8">
      <c r="A208" s="245"/>
      <c r="B208" s="57" t="s">
        <v>1405</v>
      </c>
      <c r="C208" s="57"/>
      <c r="D208" s="57"/>
      <c r="E208" s="57"/>
      <c r="F208" s="113"/>
      <c r="G208" s="57"/>
      <c r="H208" s="57"/>
    </row>
    <row r="209" ht="17.2" customHeight="1" spans="1:8">
      <c r="A209" s="245"/>
      <c r="B209" s="57" t="s">
        <v>1382</v>
      </c>
      <c r="C209" s="113">
        <f t="shared" ref="C209:H209" si="28">C201*$J$12+C202*$J$13+C203*$J$14+C204*$J$15+C205*$J$16+C206*$J$17+C207*$J$18+C208*$J$19</f>
        <v>17.109</v>
      </c>
      <c r="D209" s="113">
        <f t="shared" si="28"/>
        <v>12.009</v>
      </c>
      <c r="E209" s="113">
        <f t="shared" si="28"/>
        <v>9.63</v>
      </c>
      <c r="F209" s="113">
        <f t="shared" si="28"/>
        <v>19.644</v>
      </c>
      <c r="G209" s="113">
        <f t="shared" si="28"/>
        <v>10.854</v>
      </c>
      <c r="H209" s="113">
        <f t="shared" si="28"/>
        <v>0</v>
      </c>
    </row>
    <row r="210" ht="17.2" customHeight="1" spans="1:8">
      <c r="A210" s="117" t="s">
        <v>1651</v>
      </c>
      <c r="B210" s="118"/>
      <c r="C210" s="84">
        <f t="shared" ref="C210:H210" si="29">C200+C209</f>
        <v>26.4527814120463</v>
      </c>
      <c r="D210" s="84">
        <f t="shared" si="29"/>
        <v>13.6945245313123</v>
      </c>
      <c r="E210" s="84">
        <f t="shared" si="29"/>
        <v>10.1698763462306</v>
      </c>
      <c r="F210" s="84">
        <f t="shared" si="29"/>
        <v>22.5395843637814</v>
      </c>
      <c r="G210" s="84">
        <f t="shared" si="29"/>
        <v>13.029592341444</v>
      </c>
      <c r="H210" s="84">
        <f t="shared" si="29"/>
        <v>26.2065416832868</v>
      </c>
    </row>
    <row r="211" ht="17.2" customHeight="1" spans="1:8">
      <c r="A211" s="166" t="s">
        <v>1623</v>
      </c>
      <c r="B211" s="166"/>
      <c r="C211" s="166"/>
      <c r="D211" s="166"/>
      <c r="E211" s="166"/>
      <c r="F211" s="166"/>
      <c r="G211" s="166"/>
      <c r="H211" s="166"/>
    </row>
    <row r="212" ht="17.2" customHeight="1" spans="1:8">
      <c r="A212" s="166"/>
      <c r="B212" s="166"/>
      <c r="C212" s="166"/>
      <c r="D212" s="166"/>
      <c r="E212" s="166"/>
      <c r="F212" s="166"/>
      <c r="G212" s="166"/>
      <c r="H212" s="166"/>
    </row>
    <row r="213" ht="17.2" customHeight="1" spans="1:8">
      <c r="A213" s="166"/>
      <c r="B213" s="166"/>
      <c r="C213" s="166"/>
      <c r="D213" s="166"/>
      <c r="E213" s="166"/>
      <c r="F213" s="166"/>
      <c r="G213" s="166"/>
      <c r="H213" s="166"/>
    </row>
    <row r="214" ht="17.2" customHeight="1" spans="1:8">
      <c r="A214" s="57" t="s">
        <v>50</v>
      </c>
      <c r="B214" s="57"/>
      <c r="C214" s="57">
        <v>61</v>
      </c>
      <c r="D214" s="57">
        <v>62</v>
      </c>
      <c r="E214" s="57">
        <v>63</v>
      </c>
      <c r="F214" s="57">
        <v>64</v>
      </c>
      <c r="G214" s="57">
        <v>65</v>
      </c>
      <c r="H214" s="57">
        <v>66</v>
      </c>
    </row>
    <row r="215" ht="17.2" customHeight="1" spans="1:8">
      <c r="A215" s="57" t="s">
        <v>1625</v>
      </c>
      <c r="B215" s="57"/>
      <c r="C215" s="115" t="s">
        <v>1725</v>
      </c>
      <c r="D215" s="84" t="s">
        <v>1726</v>
      </c>
      <c r="E215" s="57" t="s">
        <v>1727</v>
      </c>
      <c r="F215" s="84" t="s">
        <v>1728</v>
      </c>
      <c r="G215" s="57" t="s">
        <v>1729</v>
      </c>
      <c r="H215" s="57" t="s">
        <v>1681</v>
      </c>
    </row>
    <row r="216" ht="17.2" customHeight="1" spans="1:8">
      <c r="A216" s="57" t="s">
        <v>1657</v>
      </c>
      <c r="B216" s="57"/>
      <c r="C216" s="57" t="s">
        <v>1730</v>
      </c>
      <c r="D216" s="57" t="s">
        <v>1731</v>
      </c>
      <c r="E216" s="57" t="s">
        <v>1732</v>
      </c>
      <c r="F216" s="57" t="s">
        <v>1659</v>
      </c>
      <c r="G216" s="57" t="s">
        <v>1682</v>
      </c>
      <c r="H216" s="57" t="s">
        <v>1733</v>
      </c>
    </row>
    <row r="217" ht="17.2" customHeight="1" spans="1:8">
      <c r="A217" s="57" t="s">
        <v>1634</v>
      </c>
      <c r="B217" s="57"/>
      <c r="C217" s="57">
        <v>4048</v>
      </c>
      <c r="D217" s="57">
        <v>2013</v>
      </c>
      <c r="E217" s="57">
        <v>4082</v>
      </c>
      <c r="F217" s="57">
        <v>1007</v>
      </c>
      <c r="G217" s="57">
        <v>1021</v>
      </c>
      <c r="H217" s="57">
        <v>8025</v>
      </c>
    </row>
    <row r="218" ht="17.2" customHeight="1" spans="1:8">
      <c r="A218" s="245" t="s">
        <v>1662</v>
      </c>
      <c r="B218" s="61" t="s">
        <v>1636</v>
      </c>
      <c r="C218" s="57">
        <v>4.71</v>
      </c>
      <c r="D218" s="57">
        <v>1.32</v>
      </c>
      <c r="E218" s="57">
        <v>195.05</v>
      </c>
      <c r="F218" s="57">
        <v>13.15</v>
      </c>
      <c r="G218" s="57">
        <v>0.81</v>
      </c>
      <c r="H218" s="57">
        <v>2.45</v>
      </c>
    </row>
    <row r="219" ht="17.2" customHeight="1" spans="1:8">
      <c r="A219" s="245"/>
      <c r="B219" s="61" t="s">
        <v>1637</v>
      </c>
      <c r="C219" s="57">
        <v>8.59</v>
      </c>
      <c r="D219" s="57">
        <v>4.79</v>
      </c>
      <c r="E219" s="57">
        <v>29.26</v>
      </c>
      <c r="F219" s="57">
        <v>8.54</v>
      </c>
      <c r="G219" s="57">
        <v>2.12</v>
      </c>
      <c r="H219" s="57">
        <v>3.77</v>
      </c>
    </row>
    <row r="220" ht="17.2" customHeight="1" spans="1:8">
      <c r="A220" s="245"/>
      <c r="B220" s="61" t="s">
        <v>1638</v>
      </c>
      <c r="C220" s="57"/>
      <c r="D220" s="57"/>
      <c r="E220" s="57"/>
      <c r="F220" s="57"/>
      <c r="G220" s="57">
        <v>0.08</v>
      </c>
      <c r="H220" s="57">
        <v>0.58</v>
      </c>
    </row>
    <row r="221" ht="17.2" customHeight="1" spans="1:8">
      <c r="A221" s="245"/>
      <c r="B221" s="57" t="s">
        <v>1382</v>
      </c>
      <c r="C221" s="113">
        <f t="shared" ref="C221:H221" si="30">C218/1.15+C219/1.09+C220</f>
        <v>11.9763861188672</v>
      </c>
      <c r="D221" s="113">
        <f t="shared" si="30"/>
        <v>5.54232149980056</v>
      </c>
      <c r="E221" s="113">
        <f t="shared" si="30"/>
        <v>196.452732349422</v>
      </c>
      <c r="F221" s="113">
        <f t="shared" si="30"/>
        <v>19.2696449940168</v>
      </c>
      <c r="G221" s="113">
        <f t="shared" si="30"/>
        <v>2.72930195452732</v>
      </c>
      <c r="H221" s="113">
        <f t="shared" si="30"/>
        <v>6.16915037893897</v>
      </c>
    </row>
    <row r="222" ht="17.2" customHeight="1" spans="1:8">
      <c r="A222" s="245" t="s">
        <v>1639</v>
      </c>
      <c r="B222" s="57" t="s">
        <v>1640</v>
      </c>
      <c r="C222" s="57">
        <v>1.3</v>
      </c>
      <c r="D222" s="57"/>
      <c r="E222" s="57">
        <v>7.7</v>
      </c>
      <c r="F222" s="57">
        <v>1.3</v>
      </c>
      <c r="G222" s="57">
        <v>1</v>
      </c>
      <c r="H222" s="57">
        <v>0.7</v>
      </c>
    </row>
    <row r="223" ht="17.2" customHeight="1" spans="1:8">
      <c r="A223" s="245"/>
      <c r="B223" s="57" t="s">
        <v>1642</v>
      </c>
      <c r="C223" s="57"/>
      <c r="D223" s="57"/>
      <c r="E223" s="57"/>
      <c r="F223" s="57"/>
      <c r="G223" s="57"/>
      <c r="H223" s="57"/>
    </row>
    <row r="224" ht="17.2" customHeight="1" spans="1:8">
      <c r="A224" s="245"/>
      <c r="B224" s="57" t="s">
        <v>1644</v>
      </c>
      <c r="C224" s="57">
        <v>3.4</v>
      </c>
      <c r="D224" s="57"/>
      <c r="E224" s="57"/>
      <c r="F224" s="57">
        <v>9.8</v>
      </c>
      <c r="G224" s="57">
        <v>1.7</v>
      </c>
      <c r="H224" s="57"/>
    </row>
    <row r="225" ht="17.2" customHeight="1" spans="1:8">
      <c r="A225" s="245"/>
      <c r="B225" s="57" t="s">
        <v>1123</v>
      </c>
      <c r="C225" s="57"/>
      <c r="D225" s="57">
        <v>4.2</v>
      </c>
      <c r="E225" s="57">
        <v>47.6</v>
      </c>
      <c r="F225" s="57"/>
      <c r="G225" s="57"/>
      <c r="H225" s="57">
        <v>10.6</v>
      </c>
    </row>
    <row r="226" ht="17.2" customHeight="1" spans="1:8">
      <c r="A226" s="245"/>
      <c r="B226" s="57" t="s">
        <v>1122</v>
      </c>
      <c r="C226" s="57"/>
      <c r="D226" s="57"/>
      <c r="E226" s="57"/>
      <c r="F226" s="57"/>
      <c r="G226" s="57"/>
      <c r="H226" s="57"/>
    </row>
    <row r="227" ht="17.2" customHeight="1" spans="1:8">
      <c r="A227" s="245"/>
      <c r="B227" s="57" t="s">
        <v>1022</v>
      </c>
      <c r="C227" s="57"/>
      <c r="D227" s="57"/>
      <c r="E227" s="57"/>
      <c r="F227" s="57"/>
      <c r="G227" s="57"/>
      <c r="H227" s="57"/>
    </row>
    <row r="228" ht="17.2" customHeight="1" spans="1:8">
      <c r="A228" s="245"/>
      <c r="B228" s="57" t="s">
        <v>1650</v>
      </c>
      <c r="C228" s="57"/>
      <c r="D228" s="57"/>
      <c r="E228" s="57"/>
      <c r="F228" s="57"/>
      <c r="G228" s="57"/>
      <c r="H228" s="57"/>
    </row>
    <row r="229" ht="17.2" customHeight="1" spans="1:8">
      <c r="A229" s="245"/>
      <c r="B229" s="57" t="s">
        <v>1405</v>
      </c>
      <c r="C229" s="57"/>
      <c r="D229" s="57"/>
      <c r="E229" s="57"/>
      <c r="F229" s="113"/>
      <c r="G229" s="57"/>
      <c r="H229" s="57"/>
    </row>
    <row r="230" ht="17.2" customHeight="1" spans="1:8">
      <c r="A230" s="245"/>
      <c r="B230" s="57" t="s">
        <v>1382</v>
      </c>
      <c r="C230" s="113">
        <f t="shared" ref="C230:H230" si="31">C222*$J$12+C223*$J$13+C224*$J$14+C225*$J$15+C226*$J$16+C227*$J$17+C228*$J$18+C229*$J$19</f>
        <v>20.696</v>
      </c>
      <c r="D230" s="113">
        <f t="shared" si="31"/>
        <v>2.142</v>
      </c>
      <c r="E230" s="113">
        <f t="shared" si="31"/>
        <v>86.646</v>
      </c>
      <c r="F230" s="113">
        <f t="shared" si="31"/>
        <v>39.832</v>
      </c>
      <c r="G230" s="113">
        <f t="shared" si="31"/>
        <v>13.183</v>
      </c>
      <c r="H230" s="113">
        <f t="shared" si="31"/>
        <v>11.076</v>
      </c>
    </row>
    <row r="231" ht="17.2" customHeight="1" spans="1:8">
      <c r="A231" s="117" t="s">
        <v>1651</v>
      </c>
      <c r="B231" s="118"/>
      <c r="C231" s="84">
        <f t="shared" ref="C231:H231" si="32">C221+C230</f>
        <v>32.6723861188672</v>
      </c>
      <c r="D231" s="84">
        <f t="shared" si="32"/>
        <v>7.68432149980056</v>
      </c>
      <c r="E231" s="84">
        <f t="shared" si="32"/>
        <v>283.098732349422</v>
      </c>
      <c r="F231" s="84">
        <f t="shared" si="32"/>
        <v>59.1016449940168</v>
      </c>
      <c r="G231" s="84">
        <f t="shared" si="32"/>
        <v>15.9123019545273</v>
      </c>
      <c r="H231" s="84">
        <f t="shared" si="32"/>
        <v>17.245150378939</v>
      </c>
    </row>
    <row r="232" ht="17.2" customHeight="1" spans="1:8">
      <c r="A232" s="166" t="s">
        <v>1623</v>
      </c>
      <c r="B232" s="166"/>
      <c r="C232" s="166"/>
      <c r="D232" s="166"/>
      <c r="E232" s="166"/>
      <c r="F232" s="166"/>
      <c r="G232" s="166"/>
      <c r="H232" s="166"/>
    </row>
    <row r="233" ht="17.2" customHeight="1" spans="1:8">
      <c r="A233" s="166"/>
      <c r="B233" s="166"/>
      <c r="C233" s="166"/>
      <c r="D233" s="166"/>
      <c r="E233" s="166"/>
      <c r="F233" s="166"/>
      <c r="G233" s="166"/>
      <c r="H233" s="166"/>
    </row>
    <row r="234" ht="17.2" customHeight="1" spans="1:8">
      <c r="A234" s="166"/>
      <c r="B234" s="166"/>
      <c r="C234" s="166"/>
      <c r="D234" s="166"/>
      <c r="E234" s="166"/>
      <c r="F234" s="166"/>
      <c r="G234" s="166"/>
      <c r="H234" s="166"/>
    </row>
    <row r="235" ht="17.2" customHeight="1" spans="1:8">
      <c r="A235" s="57" t="s">
        <v>50</v>
      </c>
      <c r="B235" s="57"/>
      <c r="C235" s="57">
        <v>67</v>
      </c>
      <c r="D235" s="57">
        <v>68</v>
      </c>
      <c r="E235" s="57">
        <v>69</v>
      </c>
      <c r="F235" s="57">
        <v>70</v>
      </c>
      <c r="G235" s="57">
        <v>71</v>
      </c>
      <c r="H235" s="57">
        <v>72</v>
      </c>
    </row>
    <row r="236" ht="17.2" customHeight="1" spans="1:8">
      <c r="A236" s="57" t="s">
        <v>1625</v>
      </c>
      <c r="B236" s="57"/>
      <c r="C236" s="115" t="s">
        <v>1734</v>
      </c>
      <c r="D236" s="84" t="s">
        <v>1735</v>
      </c>
      <c r="E236" s="84" t="s">
        <v>1726</v>
      </c>
      <c r="F236" s="304" t="s">
        <v>1736</v>
      </c>
      <c r="G236" s="57" t="s">
        <v>1663</v>
      </c>
      <c r="H236" s="57" t="s">
        <v>1737</v>
      </c>
    </row>
    <row r="237" ht="17.2" customHeight="1" spans="1:8">
      <c r="A237" s="57" t="s">
        <v>1657</v>
      </c>
      <c r="B237" s="57"/>
      <c r="C237" s="57" t="s">
        <v>1723</v>
      </c>
      <c r="D237" s="57">
        <v>0.6</v>
      </c>
      <c r="E237" s="57" t="s">
        <v>1738</v>
      </c>
      <c r="F237" s="57" t="s">
        <v>1739</v>
      </c>
      <c r="G237" s="57" t="s">
        <v>1717</v>
      </c>
      <c r="H237" s="57" t="s">
        <v>1740</v>
      </c>
    </row>
    <row r="238" ht="17.2" customHeight="1" spans="1:8">
      <c r="A238" s="57" t="s">
        <v>1634</v>
      </c>
      <c r="B238" s="57"/>
      <c r="C238" s="57">
        <v>3030</v>
      </c>
      <c r="D238" s="57">
        <v>1042</v>
      </c>
      <c r="E238" s="57">
        <v>2052</v>
      </c>
      <c r="F238" s="57">
        <v>2032</v>
      </c>
      <c r="G238" s="57">
        <v>3006</v>
      </c>
      <c r="H238" s="57">
        <v>2005</v>
      </c>
    </row>
    <row r="239" ht="17.2" customHeight="1" spans="1:8">
      <c r="A239" s="245" t="s">
        <v>1662</v>
      </c>
      <c r="B239" s="61" t="s">
        <v>1636</v>
      </c>
      <c r="C239" s="57">
        <v>1.22</v>
      </c>
      <c r="D239" s="57">
        <v>0.41</v>
      </c>
      <c r="E239" s="57">
        <v>3.48</v>
      </c>
      <c r="F239" s="57">
        <v>30.48</v>
      </c>
      <c r="G239" s="57">
        <v>22.59</v>
      </c>
      <c r="H239" s="57">
        <v>3.99</v>
      </c>
    </row>
    <row r="240" ht="17.2" customHeight="1" spans="1:8">
      <c r="A240" s="245"/>
      <c r="B240" s="61" t="s">
        <v>1637</v>
      </c>
      <c r="C240" s="57">
        <v>1.22</v>
      </c>
      <c r="D240" s="57">
        <v>0.81</v>
      </c>
      <c r="E240" s="57">
        <v>7.96</v>
      </c>
      <c r="F240" s="57">
        <v>20.63</v>
      </c>
      <c r="G240" s="57">
        <v>13.55</v>
      </c>
      <c r="H240" s="57">
        <v>6.18</v>
      </c>
    </row>
    <row r="241" ht="17.2" customHeight="1" spans="1:8">
      <c r="A241" s="245"/>
      <c r="B241" s="61" t="s">
        <v>1638</v>
      </c>
      <c r="C241" s="57"/>
      <c r="D241" s="57"/>
      <c r="E241" s="57"/>
      <c r="F241" s="57">
        <v>2.1</v>
      </c>
      <c r="G241" s="57"/>
      <c r="H241" s="57">
        <v>1.55</v>
      </c>
    </row>
    <row r="242" ht="17.2" customHeight="1" spans="1:8">
      <c r="A242" s="245"/>
      <c r="B242" s="57" t="s">
        <v>1382</v>
      </c>
      <c r="C242" s="113">
        <f t="shared" ref="C242:H242" si="33">C239/1.15+C240/1.109+C241</f>
        <v>2.16095973654291</v>
      </c>
      <c r="D242" s="113">
        <f t="shared" si="33"/>
        <v>1.08690947583016</v>
      </c>
      <c r="E242" s="113">
        <f t="shared" si="33"/>
        <v>10.2037244677932</v>
      </c>
      <c r="F242" s="113">
        <f t="shared" si="33"/>
        <v>47.2066922805504</v>
      </c>
      <c r="G242" s="113">
        <f t="shared" si="33"/>
        <v>31.8616928686243</v>
      </c>
      <c r="H242" s="113">
        <f t="shared" si="33"/>
        <v>10.5921531344337</v>
      </c>
    </row>
    <row r="243" ht="17.2" customHeight="1" spans="1:8">
      <c r="A243" s="245" t="s">
        <v>1639</v>
      </c>
      <c r="B243" s="57" t="s">
        <v>1640</v>
      </c>
      <c r="C243" s="57">
        <v>1.3</v>
      </c>
      <c r="D243" s="57"/>
      <c r="E243" s="57"/>
      <c r="F243" s="57">
        <v>2.4</v>
      </c>
      <c r="G243" s="57">
        <v>1.3</v>
      </c>
      <c r="H243" s="57">
        <f>1.3</f>
        <v>1.3</v>
      </c>
    </row>
    <row r="244" ht="17.2" customHeight="1" spans="1:8">
      <c r="A244" s="245"/>
      <c r="B244" s="57" t="s">
        <v>1642</v>
      </c>
      <c r="C244" s="57"/>
      <c r="D244" s="57"/>
      <c r="E244" s="57"/>
      <c r="F244" s="57"/>
      <c r="G244" s="57"/>
      <c r="H244" s="57"/>
    </row>
    <row r="245" ht="17.2" customHeight="1" spans="1:8">
      <c r="A245" s="245"/>
      <c r="B245" s="57" t="s">
        <v>1644</v>
      </c>
      <c r="C245" s="57">
        <v>1.5</v>
      </c>
      <c r="D245" s="57"/>
      <c r="E245" s="57"/>
      <c r="F245" s="57"/>
      <c r="G245" s="57">
        <v>10.2</v>
      </c>
      <c r="H245" s="57"/>
    </row>
    <row r="246" ht="17.2" customHeight="1" spans="1:8">
      <c r="A246" s="245"/>
      <c r="B246" s="57" t="s">
        <v>1123</v>
      </c>
      <c r="C246" s="57"/>
      <c r="D246" s="57"/>
      <c r="E246" s="57">
        <v>6.4</v>
      </c>
      <c r="F246" s="57">
        <v>26.7</v>
      </c>
      <c r="G246" s="57"/>
      <c r="H246" s="57">
        <v>20.8</v>
      </c>
    </row>
    <row r="247" ht="17.2" customHeight="1" spans="1:8">
      <c r="A247" s="245"/>
      <c r="B247" s="57" t="s">
        <v>1122</v>
      </c>
      <c r="C247" s="57"/>
      <c r="D247" s="57"/>
      <c r="E247" s="57"/>
      <c r="F247" s="57"/>
      <c r="G247" s="57"/>
      <c r="H247" s="57"/>
    </row>
    <row r="248" ht="17.2" customHeight="1" spans="1:8">
      <c r="A248" s="245"/>
      <c r="B248" s="57" t="s">
        <v>1022</v>
      </c>
      <c r="C248" s="57"/>
      <c r="D248" s="57"/>
      <c r="E248" s="57"/>
      <c r="F248" s="57"/>
      <c r="G248" s="57"/>
      <c r="H248" s="57"/>
    </row>
    <row r="249" ht="17.2" customHeight="1" spans="1:8">
      <c r="A249" s="245"/>
      <c r="B249" s="57" t="s">
        <v>1650</v>
      </c>
      <c r="C249" s="57"/>
      <c r="D249" s="57"/>
      <c r="E249" s="57"/>
      <c r="F249" s="57"/>
      <c r="G249" s="57"/>
      <c r="H249" s="57"/>
    </row>
    <row r="250" ht="17.2" customHeight="1" spans="1:8">
      <c r="A250" s="245"/>
      <c r="B250" s="57" t="s">
        <v>1405</v>
      </c>
      <c r="C250" s="57"/>
      <c r="D250" s="57"/>
      <c r="E250" s="57"/>
      <c r="F250" s="113"/>
      <c r="G250" s="113"/>
      <c r="H250" s="57"/>
    </row>
    <row r="251" ht="17.2" customHeight="1" spans="1:8">
      <c r="A251" s="245"/>
      <c r="B251" s="57" t="s">
        <v>1382</v>
      </c>
      <c r="C251" s="113">
        <f t="shared" ref="C251:H251" si="34">C243*$J$12+C244*$J$13+C245*$J$14+C246*$J$15+C247*$J$16+C248*$J$17+C249*$J$18+C250*$J$19</f>
        <v>15.015</v>
      </c>
      <c r="D251" s="113">
        <f t="shared" si="34"/>
        <v>0</v>
      </c>
      <c r="E251" s="113">
        <f t="shared" si="34"/>
        <v>3.264</v>
      </c>
      <c r="F251" s="113">
        <f t="shared" si="34"/>
        <v>33.057</v>
      </c>
      <c r="G251" s="113">
        <f t="shared" si="34"/>
        <v>41.028</v>
      </c>
      <c r="H251" s="113">
        <f t="shared" si="34"/>
        <v>21.138</v>
      </c>
    </row>
    <row r="252" ht="17.2" customHeight="1" spans="1:8">
      <c r="A252" s="117" t="s">
        <v>1651</v>
      </c>
      <c r="B252" s="118"/>
      <c r="C252" s="84">
        <f t="shared" ref="C252:H252" si="35">C242+C251</f>
        <v>17.1759597365429</v>
      </c>
      <c r="D252" s="84">
        <f t="shared" si="35"/>
        <v>1.08690947583016</v>
      </c>
      <c r="E252" s="84">
        <f t="shared" si="35"/>
        <v>13.4677244677932</v>
      </c>
      <c r="F252" s="84">
        <f t="shared" si="35"/>
        <v>80.2636922805504</v>
      </c>
      <c r="G252" s="84">
        <f t="shared" si="35"/>
        <v>72.8896928686243</v>
      </c>
      <c r="H252" s="113">
        <f t="shared" si="35"/>
        <v>31.7301531344337</v>
      </c>
    </row>
    <row r="253" ht="17.2" customHeight="1" spans="1:8">
      <c r="A253" s="166" t="s">
        <v>1623</v>
      </c>
      <c r="B253" s="166"/>
      <c r="C253" s="166"/>
      <c r="D253" s="166"/>
      <c r="E253" s="166"/>
      <c r="F253" s="166"/>
      <c r="G253" s="166"/>
      <c r="H253" s="166"/>
    </row>
    <row r="254" ht="17.2" customHeight="1" spans="1:8">
      <c r="A254" s="166"/>
      <c r="B254" s="166"/>
      <c r="C254" s="166"/>
      <c r="D254" s="166"/>
      <c r="E254" s="166"/>
      <c r="F254" s="166"/>
      <c r="G254" s="166"/>
      <c r="H254" s="166"/>
    </row>
    <row r="255" ht="17.2" customHeight="1" spans="1:8">
      <c r="A255" s="166"/>
      <c r="B255" s="166"/>
      <c r="C255" s="166"/>
      <c r="D255" s="166"/>
      <c r="E255" s="166"/>
      <c r="F255" s="166"/>
      <c r="G255" s="166"/>
      <c r="H255" s="166"/>
    </row>
    <row r="256" ht="17.2" customHeight="1" spans="1:8">
      <c r="A256" s="57" t="s">
        <v>50</v>
      </c>
      <c r="B256" s="57"/>
      <c r="C256" s="57">
        <v>73</v>
      </c>
      <c r="D256" s="57">
        <v>74</v>
      </c>
      <c r="E256" s="57">
        <v>75</v>
      </c>
      <c r="F256" s="57">
        <v>76</v>
      </c>
      <c r="G256" s="57">
        <v>77</v>
      </c>
      <c r="H256" s="57">
        <v>78</v>
      </c>
    </row>
    <row r="257" ht="17.2" customHeight="1" spans="1:8">
      <c r="A257" s="57" t="s">
        <v>1625</v>
      </c>
      <c r="B257" s="57"/>
      <c r="C257" s="57" t="s">
        <v>1666</v>
      </c>
      <c r="D257" s="57" t="s">
        <v>1671</v>
      </c>
      <c r="E257" s="57" t="s">
        <v>1673</v>
      </c>
      <c r="F257" s="57" t="s">
        <v>1666</v>
      </c>
      <c r="G257" s="57" t="s">
        <v>1627</v>
      </c>
      <c r="H257" s="305" t="s">
        <v>1741</v>
      </c>
    </row>
    <row r="258" ht="17.2" customHeight="1" spans="1:8">
      <c r="A258" s="57" t="s">
        <v>1657</v>
      </c>
      <c r="B258" s="57"/>
      <c r="C258" s="57" t="s">
        <v>1742</v>
      </c>
      <c r="D258" s="57" t="s">
        <v>1743</v>
      </c>
      <c r="E258" s="57" t="s">
        <v>1744</v>
      </c>
      <c r="F258" s="57" t="s">
        <v>1743</v>
      </c>
      <c r="G258" s="57" t="s">
        <v>1745</v>
      </c>
      <c r="H258" s="57" t="s">
        <v>1746</v>
      </c>
    </row>
    <row r="259" ht="17.2" customHeight="1" spans="1:8">
      <c r="A259" s="57" t="s">
        <v>1634</v>
      </c>
      <c r="B259" s="57"/>
      <c r="C259" s="57">
        <v>4023</v>
      </c>
      <c r="D259" s="57">
        <v>4032</v>
      </c>
      <c r="E259" s="57">
        <v>1031</v>
      </c>
      <c r="F259" s="57">
        <v>4020</v>
      </c>
      <c r="G259" s="57">
        <v>1017</v>
      </c>
      <c r="H259" s="57">
        <v>4054</v>
      </c>
    </row>
    <row r="260" ht="17.2" customHeight="1" spans="1:8">
      <c r="A260" s="245" t="s">
        <v>1662</v>
      </c>
      <c r="B260" s="61" t="s">
        <v>1636</v>
      </c>
      <c r="C260" s="57">
        <v>87.78</v>
      </c>
      <c r="D260" s="57">
        <v>46.14</v>
      </c>
      <c r="E260" s="57">
        <v>1.58</v>
      </c>
      <c r="F260" s="57">
        <v>45.92</v>
      </c>
      <c r="G260" s="57">
        <v>26.72</v>
      </c>
      <c r="H260" s="57">
        <v>0.24</v>
      </c>
    </row>
    <row r="261" ht="17.2" customHeight="1" spans="1:8">
      <c r="A261" s="245"/>
      <c r="B261" s="61" t="s">
        <v>1637</v>
      </c>
      <c r="C261" s="57">
        <v>41.47</v>
      </c>
      <c r="D261" s="57">
        <v>28.94</v>
      </c>
      <c r="E261" s="57">
        <v>1.34</v>
      </c>
      <c r="F261" s="57">
        <v>22.9</v>
      </c>
      <c r="G261" s="57">
        <v>29.07</v>
      </c>
      <c r="H261" s="57">
        <v>0.08</v>
      </c>
    </row>
    <row r="262" ht="17.2" customHeight="1" spans="1:8">
      <c r="A262" s="245"/>
      <c r="B262" s="61" t="s">
        <v>1638</v>
      </c>
      <c r="C262" s="57">
        <v>2.33</v>
      </c>
      <c r="D262" s="57"/>
      <c r="E262" s="57"/>
      <c r="F262" s="57">
        <v>1.46</v>
      </c>
      <c r="G262" s="57">
        <v>1.06</v>
      </c>
      <c r="H262" s="57"/>
    </row>
    <row r="263" ht="17.2" customHeight="1" spans="1:8">
      <c r="A263" s="245"/>
      <c r="B263" s="57" t="s">
        <v>1382</v>
      </c>
      <c r="C263" s="113">
        <f t="shared" ref="C263:H263" si="36">C260/1.15+C261/1.09+C262</f>
        <v>116.706306342242</v>
      </c>
      <c r="D263" s="113">
        <f t="shared" si="36"/>
        <v>66.6721978460311</v>
      </c>
      <c r="E263" s="113">
        <f t="shared" si="36"/>
        <v>2.6032708416434</v>
      </c>
      <c r="F263" s="113">
        <f t="shared" si="36"/>
        <v>62.3996090945353</v>
      </c>
      <c r="G263" s="113">
        <f t="shared" si="36"/>
        <v>50.9645073793379</v>
      </c>
      <c r="H263" s="113">
        <f t="shared" si="36"/>
        <v>0.282090147586757</v>
      </c>
    </row>
    <row r="264" ht="17.2" customHeight="1" spans="1:8">
      <c r="A264" s="245" t="s">
        <v>1639</v>
      </c>
      <c r="B264" s="57" t="s">
        <v>1640</v>
      </c>
      <c r="C264" s="57">
        <v>2.4</v>
      </c>
      <c r="D264" s="57">
        <v>2.7</v>
      </c>
      <c r="E264" s="57"/>
      <c r="F264" s="57">
        <v>2.4</v>
      </c>
      <c r="G264" s="57">
        <v>2.4</v>
      </c>
      <c r="H264" s="57"/>
    </row>
    <row r="265" ht="17.2" customHeight="1" spans="1:8">
      <c r="A265" s="245"/>
      <c r="B265" s="57" t="s">
        <v>1642</v>
      </c>
      <c r="C265" s="57"/>
      <c r="D265" s="57"/>
      <c r="E265" s="57"/>
      <c r="F265" s="57"/>
      <c r="G265" s="57"/>
      <c r="H265" s="57"/>
    </row>
    <row r="266" ht="17.2" customHeight="1" spans="1:8">
      <c r="A266" s="245"/>
      <c r="B266" s="57" t="s">
        <v>1644</v>
      </c>
      <c r="C266" s="57">
        <v>16</v>
      </c>
      <c r="D266" s="57">
        <v>11.6</v>
      </c>
      <c r="E266" s="57"/>
      <c r="F266" s="57">
        <v>12.4</v>
      </c>
      <c r="G266" s="57">
        <v>12.6</v>
      </c>
      <c r="H266" s="57"/>
    </row>
    <row r="267" ht="17.2" customHeight="1" spans="1:8">
      <c r="A267" s="245"/>
      <c r="B267" s="57" t="s">
        <v>1123</v>
      </c>
      <c r="C267" s="57"/>
      <c r="D267" s="57"/>
      <c r="E267" s="57"/>
      <c r="F267" s="57"/>
      <c r="G267" s="57"/>
      <c r="H267" s="57"/>
    </row>
    <row r="268" ht="17.2" customHeight="1" spans="1:8">
      <c r="A268" s="245"/>
      <c r="B268" s="57" t="s">
        <v>1122</v>
      </c>
      <c r="C268" s="57"/>
      <c r="D268" s="57"/>
      <c r="E268" s="57"/>
      <c r="F268" s="57"/>
      <c r="G268" s="57"/>
      <c r="H268" s="57"/>
    </row>
    <row r="269" ht="17.2" customHeight="1" spans="1:8">
      <c r="A269" s="245"/>
      <c r="B269" s="57" t="s">
        <v>1022</v>
      </c>
      <c r="C269" s="57"/>
      <c r="D269" s="57"/>
      <c r="E269" s="57"/>
      <c r="F269" s="57"/>
      <c r="G269" s="57"/>
      <c r="H269" s="57"/>
    </row>
    <row r="270" ht="17.2" customHeight="1" spans="1:8">
      <c r="A270" s="245"/>
      <c r="B270" s="57" t="s">
        <v>1650</v>
      </c>
      <c r="C270" s="57"/>
      <c r="D270" s="57"/>
      <c r="E270" s="57"/>
      <c r="F270" s="57"/>
      <c r="G270" s="57"/>
      <c r="H270" s="57"/>
    </row>
    <row r="271" ht="17.2" customHeight="1" spans="1:8">
      <c r="A271" s="245"/>
      <c r="B271" s="57" t="s">
        <v>1405</v>
      </c>
      <c r="C271" s="113"/>
      <c r="D271" s="57"/>
      <c r="E271" s="57"/>
      <c r="F271" s="113"/>
      <c r="G271" s="113"/>
      <c r="H271" s="57"/>
    </row>
    <row r="272" ht="17.2" customHeight="1" spans="1:8">
      <c r="A272" s="245"/>
      <c r="B272" s="57" t="s">
        <v>1382</v>
      </c>
      <c r="C272" s="113">
        <f t="shared" ref="C272:H272" si="37">C264*$J$12+C265*$J$13+C266*$J$14+C267*$J$15+C268*$J$16+C269*$J$17+C270*$J$18+C271*$J$19</f>
        <v>67.28</v>
      </c>
      <c r="D272" s="113">
        <f t="shared" si="37"/>
        <v>56.554</v>
      </c>
      <c r="E272" s="113">
        <f t="shared" si="37"/>
        <v>0</v>
      </c>
      <c r="F272" s="113">
        <f t="shared" si="37"/>
        <v>56.516</v>
      </c>
      <c r="G272" s="113">
        <f t="shared" si="37"/>
        <v>57.114</v>
      </c>
      <c r="H272" s="113">
        <f t="shared" si="37"/>
        <v>0</v>
      </c>
    </row>
    <row r="273" ht="17.2" customHeight="1" spans="1:8">
      <c r="A273" s="117" t="s">
        <v>1651</v>
      </c>
      <c r="B273" s="118"/>
      <c r="C273" s="84">
        <f t="shared" ref="C273:H273" si="38">C263+C272</f>
        <v>183.986306342242</v>
      </c>
      <c r="D273" s="84">
        <f t="shared" si="38"/>
        <v>123.226197846031</v>
      </c>
      <c r="E273" s="84">
        <f t="shared" si="38"/>
        <v>2.6032708416434</v>
      </c>
      <c r="F273" s="84">
        <f t="shared" si="38"/>
        <v>118.915609094535</v>
      </c>
      <c r="G273" s="84">
        <f t="shared" si="38"/>
        <v>108.078507379338</v>
      </c>
      <c r="H273" s="113">
        <f t="shared" si="38"/>
        <v>0.282090147586757</v>
      </c>
    </row>
    <row r="274" ht="17.2" customHeight="1" spans="1:8">
      <c r="A274" s="166" t="s">
        <v>1623</v>
      </c>
      <c r="B274" s="166"/>
      <c r="C274" s="166"/>
      <c r="D274" s="166"/>
      <c r="E274" s="166"/>
      <c r="F274" s="166"/>
      <c r="G274" s="166"/>
      <c r="H274" s="166"/>
    </row>
    <row r="275" ht="17.2" customHeight="1" spans="1:8">
      <c r="A275" s="166"/>
      <c r="B275" s="166"/>
      <c r="C275" s="166"/>
      <c r="D275" s="166"/>
      <c r="E275" s="166"/>
      <c r="F275" s="166"/>
      <c r="G275" s="166"/>
      <c r="H275" s="166"/>
    </row>
    <row r="276" ht="17.2" customHeight="1" spans="1:8">
      <c r="A276" s="166"/>
      <c r="B276" s="166"/>
      <c r="C276" s="166"/>
      <c r="D276" s="166"/>
      <c r="E276" s="166"/>
      <c r="F276" s="166"/>
      <c r="G276" s="166"/>
      <c r="H276" s="166"/>
    </row>
    <row r="277" ht="17.2" customHeight="1" spans="1:8">
      <c r="A277" s="57" t="s">
        <v>50</v>
      </c>
      <c r="B277" s="57"/>
      <c r="C277" s="57">
        <v>79</v>
      </c>
      <c r="D277" s="57">
        <v>80</v>
      </c>
      <c r="E277" s="57">
        <v>81</v>
      </c>
      <c r="F277" s="57">
        <v>82</v>
      </c>
      <c r="G277" s="57">
        <v>83</v>
      </c>
      <c r="H277" s="57">
        <v>84</v>
      </c>
    </row>
    <row r="278" ht="17.2" customHeight="1" spans="1:8">
      <c r="A278" s="57" t="s">
        <v>1625</v>
      </c>
      <c r="B278" s="57"/>
      <c r="C278" s="57" t="s">
        <v>1671</v>
      </c>
      <c r="D278" s="57" t="s">
        <v>1671</v>
      </c>
      <c r="E278" s="57" t="s">
        <v>1747</v>
      </c>
      <c r="F278" s="57" t="s">
        <v>1748</v>
      </c>
      <c r="G278" s="57" t="s">
        <v>1749</v>
      </c>
      <c r="H278" s="57" t="s">
        <v>1750</v>
      </c>
    </row>
    <row r="279" ht="17.2" customHeight="1" spans="1:8">
      <c r="A279" s="57" t="s">
        <v>1657</v>
      </c>
      <c r="B279" s="57"/>
      <c r="C279" s="57">
        <v>50</v>
      </c>
      <c r="D279" s="57">
        <v>40</v>
      </c>
      <c r="E279" s="57" t="s">
        <v>1751</v>
      </c>
      <c r="F279" s="57" t="s">
        <v>1752</v>
      </c>
      <c r="G279" s="57" t="s">
        <v>1695</v>
      </c>
      <c r="H279" s="57" t="s">
        <v>1742</v>
      </c>
    </row>
    <row r="280" ht="17.2" customHeight="1" spans="1:8">
      <c r="A280" s="57" t="s">
        <v>1634</v>
      </c>
      <c r="B280" s="57"/>
      <c r="C280" s="57">
        <v>4036</v>
      </c>
      <c r="D280" s="57">
        <v>4035</v>
      </c>
      <c r="E280" s="57">
        <v>8014</v>
      </c>
      <c r="F280" s="57">
        <v>1045</v>
      </c>
      <c r="G280" s="57">
        <v>1037</v>
      </c>
      <c r="H280" s="57">
        <v>5017</v>
      </c>
    </row>
    <row r="281" ht="17.2" customHeight="1" spans="1:8">
      <c r="A281" s="245" t="s">
        <v>1662</v>
      </c>
      <c r="B281" s="61" t="s">
        <v>1636</v>
      </c>
      <c r="C281" s="57">
        <v>220.54</v>
      </c>
      <c r="D281" s="57">
        <v>166.25</v>
      </c>
      <c r="E281" s="57">
        <v>0.62</v>
      </c>
      <c r="F281" s="57">
        <v>178.76</v>
      </c>
      <c r="G281" s="57">
        <v>0.48</v>
      </c>
      <c r="H281" s="57">
        <v>107.76</v>
      </c>
    </row>
    <row r="282" ht="17.2" customHeight="1" spans="1:8">
      <c r="A282" s="245"/>
      <c r="B282" s="61" t="s">
        <v>1637</v>
      </c>
      <c r="C282" s="57">
        <v>113.13</v>
      </c>
      <c r="D282" s="57">
        <v>89.78</v>
      </c>
      <c r="E282" s="57">
        <v>2.87</v>
      </c>
      <c r="F282" s="57">
        <v>46.2</v>
      </c>
      <c r="G282" s="57">
        <v>1.68</v>
      </c>
      <c r="H282" s="57">
        <v>20.49</v>
      </c>
    </row>
    <row r="283" ht="17.2" customHeight="1" spans="1:8">
      <c r="A283" s="245"/>
      <c r="B283" s="61" t="s">
        <v>1638</v>
      </c>
      <c r="C283" s="57"/>
      <c r="D283" s="57"/>
      <c r="E283" s="57">
        <v>1.02</v>
      </c>
      <c r="F283" s="57"/>
      <c r="G283" s="57"/>
      <c r="H283" s="57"/>
    </row>
    <row r="284" ht="17.2" customHeight="1" spans="1:8">
      <c r="A284" s="245"/>
      <c r="B284" s="57" t="s">
        <v>1382</v>
      </c>
      <c r="C284" s="113">
        <f t="shared" ref="C284:K284" si="39">C281/1.15+C282/1.09+C283</f>
        <v>295.562903869166</v>
      </c>
      <c r="D284" s="113">
        <f t="shared" si="39"/>
        <v>226.932189868369</v>
      </c>
      <c r="E284" s="113">
        <f t="shared" si="39"/>
        <v>4.19215795771839</v>
      </c>
      <c r="F284" s="113">
        <f t="shared" si="39"/>
        <v>197.828799361787</v>
      </c>
      <c r="G284" s="113">
        <f t="shared" si="39"/>
        <v>1.95867570801755</v>
      </c>
      <c r="H284" s="113">
        <f t="shared" si="39"/>
        <v>112.502512963702</v>
      </c>
    </row>
    <row r="285" ht="17.2" customHeight="1" spans="1:8">
      <c r="A285" s="245" t="s">
        <v>1639</v>
      </c>
      <c r="B285" s="57" t="s">
        <v>1640</v>
      </c>
      <c r="C285" s="57">
        <v>2.7</v>
      </c>
      <c r="D285" s="57">
        <v>2.7</v>
      </c>
      <c r="E285" s="57">
        <v>1.3</v>
      </c>
      <c r="F285" s="57">
        <v>3.7</v>
      </c>
      <c r="G285" s="57"/>
      <c r="H285" s="57">
        <v>3.7</v>
      </c>
    </row>
    <row r="286" ht="17.2" customHeight="1" spans="1:8">
      <c r="A286" s="245"/>
      <c r="B286" s="57" t="s">
        <v>1642</v>
      </c>
      <c r="C286" s="57"/>
      <c r="D286" s="57"/>
      <c r="E286" s="57"/>
      <c r="F286" s="57"/>
      <c r="G286" s="57"/>
      <c r="H286" s="57"/>
    </row>
    <row r="287" ht="17.2" customHeight="1" spans="1:8">
      <c r="A287" s="245"/>
      <c r="B287" s="57" t="s">
        <v>1644</v>
      </c>
      <c r="C287" s="57">
        <v>18.9</v>
      </c>
      <c r="D287" s="57">
        <v>16.9</v>
      </c>
      <c r="E287" s="57"/>
      <c r="F287" s="57">
        <v>7.9</v>
      </c>
      <c r="G287" s="57"/>
      <c r="H287" s="57">
        <v>4.6</v>
      </c>
    </row>
    <row r="288" ht="17.2" customHeight="1" spans="1:8">
      <c r="A288" s="245"/>
      <c r="B288" s="57" t="s">
        <v>1123</v>
      </c>
      <c r="C288" s="57"/>
      <c r="D288" s="57"/>
      <c r="E288" s="57">
        <v>6</v>
      </c>
      <c r="F288" s="57"/>
      <c r="G288" s="57"/>
      <c r="H288" s="57">
        <v>34.5</v>
      </c>
    </row>
    <row r="289" ht="17.2" customHeight="1" spans="1:8">
      <c r="A289" s="245"/>
      <c r="B289" s="57" t="s">
        <v>1122</v>
      </c>
      <c r="C289" s="57"/>
      <c r="D289" s="57"/>
      <c r="E289" s="57"/>
      <c r="F289" s="57"/>
      <c r="G289" s="57">
        <v>74.5</v>
      </c>
      <c r="H289" s="57"/>
    </row>
    <row r="290" ht="17.2" customHeight="1" spans="1:8">
      <c r="A290" s="245"/>
      <c r="B290" s="57" t="s">
        <v>1022</v>
      </c>
      <c r="C290" s="57"/>
      <c r="D290" s="57"/>
      <c r="E290" s="57"/>
      <c r="F290" s="57"/>
      <c r="G290" s="57"/>
      <c r="H290" s="57"/>
    </row>
    <row r="291" ht="17.2" customHeight="1" spans="1:8">
      <c r="A291" s="245"/>
      <c r="B291" s="57" t="s">
        <v>1650</v>
      </c>
      <c r="C291" s="57"/>
      <c r="D291" s="57"/>
      <c r="E291" s="57"/>
      <c r="F291" s="57"/>
      <c r="G291" s="57"/>
      <c r="H291" s="57"/>
    </row>
    <row r="292" ht="17.2" customHeight="1" spans="1:8">
      <c r="A292" s="245"/>
      <c r="B292" s="57" t="s">
        <v>1405</v>
      </c>
      <c r="C292" s="113"/>
      <c r="D292" s="113"/>
      <c r="E292" s="57"/>
      <c r="F292" s="113"/>
      <c r="G292" s="113"/>
      <c r="H292" s="113"/>
    </row>
    <row r="293" ht="17.2" customHeight="1" spans="1:8">
      <c r="A293" s="245"/>
      <c r="B293" s="57" t="s">
        <v>1382</v>
      </c>
      <c r="C293" s="113">
        <f>C285*$J$12+C286*$J$13+C287*$J$14+C288*$J$15+C289*$J$16+C290*$J$17+C291*$J$18+C292*$J$19</f>
        <v>78.381</v>
      </c>
      <c r="D293" s="113">
        <f>D285*$J$12+D286*$J$13+D287*$J$14+D288*$J$15+D289*$J$16+D290*$J$17+D291*$J$18+D292*$J$19</f>
        <v>72.401</v>
      </c>
      <c r="E293" s="113">
        <f>E285*J12+E288*J15</f>
        <v>13.59</v>
      </c>
      <c r="F293" s="113">
        <f>F285*J12+F287*J14</f>
        <v>53.591</v>
      </c>
      <c r="G293" s="113">
        <f>G289*材料预算价!K17</f>
        <v>8.195</v>
      </c>
      <c r="H293" s="113">
        <f>H285*J12+H287*J14+H288*J15</f>
        <v>61.319</v>
      </c>
    </row>
    <row r="294" ht="17.2" customHeight="1" spans="1:8">
      <c r="A294" s="117" t="s">
        <v>1651</v>
      </c>
      <c r="B294" s="118"/>
      <c r="C294" s="84">
        <f t="shared" ref="C294:I294" si="40">C284+C293</f>
        <v>373.943903869166</v>
      </c>
      <c r="D294" s="84">
        <f t="shared" si="40"/>
        <v>299.333189868369</v>
      </c>
      <c r="E294" s="84">
        <f t="shared" si="40"/>
        <v>17.7821579577184</v>
      </c>
      <c r="F294" s="84">
        <f t="shared" si="40"/>
        <v>251.419799361787</v>
      </c>
      <c r="G294" s="84">
        <f t="shared" si="40"/>
        <v>10.1536757080176</v>
      </c>
      <c r="H294" s="84">
        <f t="shared" si="40"/>
        <v>173.821512963702</v>
      </c>
    </row>
    <row r="295" ht="17.2" customHeight="1" spans="1:8">
      <c r="A295" s="166" t="s">
        <v>1623</v>
      </c>
      <c r="B295" s="166"/>
      <c r="C295" s="166"/>
      <c r="D295" s="166"/>
      <c r="E295" s="166"/>
      <c r="F295" s="166"/>
      <c r="G295" s="166"/>
      <c r="H295" s="166"/>
    </row>
    <row r="296" ht="17.2" customHeight="1" spans="1:8">
      <c r="A296" s="166"/>
      <c r="B296" s="166"/>
      <c r="C296" s="166"/>
      <c r="D296" s="166"/>
      <c r="E296" s="166"/>
      <c r="F296" s="166"/>
      <c r="G296" s="166"/>
      <c r="H296" s="166"/>
    </row>
    <row r="297" ht="17.2" customHeight="1" spans="1:8">
      <c r="A297" s="166"/>
      <c r="B297" s="166"/>
      <c r="C297" s="166"/>
      <c r="D297" s="166"/>
      <c r="E297" s="166"/>
      <c r="F297" s="166"/>
      <c r="G297" s="166"/>
      <c r="H297" s="166"/>
    </row>
    <row r="298" ht="17.2" customHeight="1" spans="1:8">
      <c r="A298" s="57" t="s">
        <v>50</v>
      </c>
      <c r="B298" s="57"/>
      <c r="C298" s="57">
        <v>85</v>
      </c>
      <c r="D298" s="57">
        <v>86</v>
      </c>
      <c r="E298" s="57">
        <v>86</v>
      </c>
      <c r="F298" s="57"/>
      <c r="G298" s="57"/>
      <c r="H298" s="57"/>
    </row>
    <row r="299" ht="30" customHeight="1" spans="1:8">
      <c r="A299" s="57" t="s">
        <v>1625</v>
      </c>
      <c r="B299" s="57"/>
      <c r="C299" s="245" t="str">
        <f>建筑工程单价分析表!B231</f>
        <v>装载机2m3</v>
      </c>
      <c r="D299" s="245" t="str">
        <f>建筑工程单价分析表!B233</f>
        <v>单斗挖掘机液压2m3</v>
      </c>
      <c r="E299" s="245" t="str">
        <f>建筑工程单价分析表!B232</f>
        <v>机动翻斗车1t</v>
      </c>
      <c r="F299" s="57"/>
      <c r="G299" s="57"/>
      <c r="H299" s="57"/>
    </row>
    <row r="300" ht="17.2" customHeight="1" spans="1:8">
      <c r="A300" s="57" t="s">
        <v>1657</v>
      </c>
      <c r="B300" s="57"/>
      <c r="C300" s="57"/>
      <c r="D300" s="57"/>
      <c r="E300" s="57"/>
      <c r="F300" s="57"/>
      <c r="G300" s="57"/>
      <c r="H300" s="57"/>
    </row>
    <row r="301" ht="17.2" customHeight="1" spans="1:8">
      <c r="A301" s="57" t="s">
        <v>1634</v>
      </c>
      <c r="B301" s="57"/>
      <c r="C301" s="57">
        <v>1009</v>
      </c>
      <c r="D301" s="57">
        <v>1006</v>
      </c>
      <c r="E301" s="57">
        <v>3030</v>
      </c>
      <c r="F301" s="57"/>
      <c r="G301" s="57"/>
      <c r="H301" s="57"/>
    </row>
    <row r="302" ht="17.2" customHeight="1" spans="1:8">
      <c r="A302" s="245" t="s">
        <v>1662</v>
      </c>
      <c r="B302" s="61" t="s">
        <v>1636</v>
      </c>
      <c r="C302" s="57">
        <v>32.15</v>
      </c>
      <c r="D302" s="57">
        <v>89.06</v>
      </c>
      <c r="E302" s="57">
        <v>1.22</v>
      </c>
      <c r="F302" s="57"/>
      <c r="G302" s="57"/>
      <c r="H302" s="57"/>
    </row>
    <row r="303" ht="17.2" customHeight="1" spans="1:8">
      <c r="A303" s="245"/>
      <c r="B303" s="61" t="s">
        <v>1637</v>
      </c>
      <c r="C303" s="57">
        <v>24.2</v>
      </c>
      <c r="D303" s="57">
        <v>54.68</v>
      </c>
      <c r="E303" s="57">
        <v>1.22</v>
      </c>
      <c r="F303" s="57"/>
      <c r="G303" s="57"/>
      <c r="H303" s="57"/>
    </row>
    <row r="304" ht="17.2" customHeight="1" spans="1:8">
      <c r="A304" s="245"/>
      <c r="B304" s="61" t="s">
        <v>1638</v>
      </c>
      <c r="C304" s="57"/>
      <c r="D304" s="57">
        <v>3.56</v>
      </c>
      <c r="E304" s="57"/>
      <c r="F304" s="57"/>
      <c r="G304" s="57"/>
      <c r="H304" s="57"/>
    </row>
    <row r="305" ht="17.2" customHeight="1" spans="1:8">
      <c r="A305" s="245"/>
      <c r="B305" s="57" t="s">
        <v>1382</v>
      </c>
      <c r="C305" s="113">
        <f>C302/1.15+C303/1.09+C304</f>
        <v>50.1583566015158</v>
      </c>
      <c r="D305" s="113">
        <f>D302/1.15+D303/1.09+D304</f>
        <v>131.168615875548</v>
      </c>
      <c r="E305" s="113">
        <f>E302/1.15+E303/1.09+E304</f>
        <v>2.18013562026326</v>
      </c>
      <c r="F305" s="113"/>
      <c r="G305" s="113"/>
      <c r="H305" s="113"/>
    </row>
    <row r="306" customHeight="1" spans="1:8">
      <c r="A306" s="245" t="s">
        <v>1639</v>
      </c>
      <c r="B306" s="57" t="s">
        <v>1640</v>
      </c>
      <c r="C306" s="57">
        <v>1.3</v>
      </c>
      <c r="D306" s="88">
        <v>2.7</v>
      </c>
      <c r="E306" s="88">
        <v>1.3</v>
      </c>
      <c r="F306" s="57"/>
      <c r="G306" s="57"/>
      <c r="H306" s="57"/>
    </row>
    <row r="307" customHeight="1" spans="1:8">
      <c r="A307" s="245"/>
      <c r="B307" s="57" t="s">
        <v>1642</v>
      </c>
      <c r="C307" s="57"/>
      <c r="D307" s="57"/>
      <c r="E307" s="57"/>
      <c r="F307" s="57"/>
      <c r="G307" s="57"/>
      <c r="H307" s="57"/>
    </row>
    <row r="308" customHeight="1" spans="1:8">
      <c r="A308" s="245"/>
      <c r="B308" s="57" t="s">
        <v>1644</v>
      </c>
      <c r="C308" s="57">
        <v>19.7</v>
      </c>
      <c r="D308" s="57">
        <v>20.2</v>
      </c>
      <c r="E308" s="57">
        <v>1.5</v>
      </c>
      <c r="F308" s="57"/>
      <c r="G308" s="57"/>
      <c r="H308" s="57"/>
    </row>
    <row r="309" customHeight="1" spans="1:8">
      <c r="A309" s="245"/>
      <c r="B309" s="57" t="s">
        <v>1123</v>
      </c>
      <c r="C309" s="57"/>
      <c r="D309" s="57"/>
      <c r="E309" s="57"/>
      <c r="F309" s="57"/>
      <c r="G309" s="57"/>
      <c r="H309" s="57"/>
    </row>
    <row r="310" customHeight="1" spans="1:8">
      <c r="A310" s="245"/>
      <c r="B310" s="57" t="s">
        <v>1122</v>
      </c>
      <c r="C310" s="57"/>
      <c r="D310" s="57"/>
      <c r="E310" s="57"/>
      <c r="F310" s="57"/>
      <c r="G310" s="57"/>
      <c r="H310" s="57"/>
    </row>
    <row r="311" customHeight="1" spans="1:8">
      <c r="A311" s="245"/>
      <c r="B311" s="57" t="s">
        <v>1022</v>
      </c>
      <c r="C311" s="57"/>
      <c r="D311" s="57"/>
      <c r="E311" s="57"/>
      <c r="F311" s="57"/>
      <c r="G311" s="57"/>
      <c r="H311" s="57"/>
    </row>
    <row r="312" customHeight="1" spans="1:8">
      <c r="A312" s="245"/>
      <c r="B312" s="57" t="s">
        <v>1650</v>
      </c>
      <c r="C312" s="57"/>
      <c r="D312" s="57"/>
      <c r="E312" s="57"/>
      <c r="F312" s="57"/>
      <c r="G312" s="57"/>
      <c r="H312" s="57"/>
    </row>
    <row r="313" customHeight="1" spans="1:8">
      <c r="A313" s="245"/>
      <c r="B313" s="57" t="s">
        <v>1405</v>
      </c>
      <c r="C313" s="113"/>
      <c r="D313" s="113"/>
      <c r="E313" s="113"/>
      <c r="F313" s="113"/>
      <c r="G313" s="113"/>
      <c r="H313" s="113"/>
    </row>
    <row r="314" customHeight="1" spans="1:8">
      <c r="A314" s="245"/>
      <c r="B314" s="57" t="s">
        <v>1382</v>
      </c>
      <c r="C314" s="113">
        <f>C306*8.1+C308*J14</f>
        <v>69.433</v>
      </c>
      <c r="D314" s="113">
        <f>D306*8.1+D308*2.99</f>
        <v>82.268</v>
      </c>
      <c r="E314" s="113">
        <f>E306*8.1+E308*2.99</f>
        <v>15.015</v>
      </c>
      <c r="F314" s="113"/>
      <c r="G314" s="113"/>
      <c r="H314" s="113"/>
    </row>
    <row r="315" customHeight="1" spans="1:8">
      <c r="A315" s="117" t="s">
        <v>1651</v>
      </c>
      <c r="B315" s="118"/>
      <c r="C315" s="84">
        <f t="shared" ref="C315:E315" si="41">C305+C314</f>
        <v>119.591356601516</v>
      </c>
      <c r="D315" s="84">
        <f t="shared" si="41"/>
        <v>213.436615875548</v>
      </c>
      <c r="E315" s="84">
        <f t="shared" si="41"/>
        <v>17.1951356202633</v>
      </c>
      <c r="F315" s="84"/>
      <c r="G315" s="84"/>
      <c r="H315" s="84"/>
    </row>
    <row r="316" customHeight="1" spans="1:8">
      <c r="A316" s="306"/>
      <c r="B316" s="306"/>
      <c r="C316" s="306"/>
      <c r="D316" s="306"/>
      <c r="E316" s="306"/>
      <c r="F316" s="306"/>
      <c r="G316" s="306"/>
      <c r="H316" s="306"/>
    </row>
    <row r="317" customHeight="1" spans="1:8">
      <c r="A317" s="306"/>
      <c r="B317" s="306"/>
      <c r="C317" s="306"/>
      <c r="D317" s="306"/>
      <c r="E317" s="306"/>
      <c r="F317" s="306"/>
      <c r="G317" s="306"/>
      <c r="H317" s="306"/>
    </row>
  </sheetData>
  <mergeCells count="120">
    <mergeCell ref="A4:B4"/>
    <mergeCell ref="A5:B5"/>
    <mergeCell ref="A6:B6"/>
    <mergeCell ref="A7:B7"/>
    <mergeCell ref="A21:B21"/>
    <mergeCell ref="A25:B25"/>
    <mergeCell ref="A26:B26"/>
    <mergeCell ref="A27:B27"/>
    <mergeCell ref="A28:B28"/>
    <mergeCell ref="A42:B42"/>
    <mergeCell ref="A46:B46"/>
    <mergeCell ref="A47:B47"/>
    <mergeCell ref="A48:B48"/>
    <mergeCell ref="A49:B49"/>
    <mergeCell ref="A63:B63"/>
    <mergeCell ref="A67:B67"/>
    <mergeCell ref="A68:B68"/>
    <mergeCell ref="A69:B69"/>
    <mergeCell ref="A70:B70"/>
    <mergeCell ref="A84:B84"/>
    <mergeCell ref="A88:B88"/>
    <mergeCell ref="A89:B89"/>
    <mergeCell ref="A90:B90"/>
    <mergeCell ref="A91:B91"/>
    <mergeCell ref="A105:B105"/>
    <mergeCell ref="A109:B109"/>
    <mergeCell ref="A110:B110"/>
    <mergeCell ref="A111:B111"/>
    <mergeCell ref="A112:B112"/>
    <mergeCell ref="A126:B126"/>
    <mergeCell ref="A130:B130"/>
    <mergeCell ref="A131:B131"/>
    <mergeCell ref="A132:B132"/>
    <mergeCell ref="A133:B133"/>
    <mergeCell ref="A147:B147"/>
    <mergeCell ref="A151:B151"/>
    <mergeCell ref="A152:B152"/>
    <mergeCell ref="A153:B153"/>
    <mergeCell ref="A154:B154"/>
    <mergeCell ref="A168:B168"/>
    <mergeCell ref="A172:B172"/>
    <mergeCell ref="A173:B173"/>
    <mergeCell ref="A174:B174"/>
    <mergeCell ref="A175:B175"/>
    <mergeCell ref="A189:B189"/>
    <mergeCell ref="A193:B193"/>
    <mergeCell ref="A194:B194"/>
    <mergeCell ref="A195:B195"/>
    <mergeCell ref="A196:B196"/>
    <mergeCell ref="A210:B210"/>
    <mergeCell ref="A214:B214"/>
    <mergeCell ref="A215:B215"/>
    <mergeCell ref="A216:B216"/>
    <mergeCell ref="A217:B217"/>
    <mergeCell ref="A231:B231"/>
    <mergeCell ref="A235:B235"/>
    <mergeCell ref="A236:B236"/>
    <mergeCell ref="A237:B237"/>
    <mergeCell ref="A238:B238"/>
    <mergeCell ref="A252:B252"/>
    <mergeCell ref="A256:B256"/>
    <mergeCell ref="A257:B257"/>
    <mergeCell ref="A258:B258"/>
    <mergeCell ref="A259:B259"/>
    <mergeCell ref="A273:B273"/>
    <mergeCell ref="A277:B277"/>
    <mergeCell ref="A278:B278"/>
    <mergeCell ref="A279:B279"/>
    <mergeCell ref="A280:B280"/>
    <mergeCell ref="A294:B294"/>
    <mergeCell ref="A298:B298"/>
    <mergeCell ref="A299:B299"/>
    <mergeCell ref="A300:B300"/>
    <mergeCell ref="A301:B301"/>
    <mergeCell ref="A315:B315"/>
    <mergeCell ref="A8:A11"/>
    <mergeCell ref="A12:A20"/>
    <mergeCell ref="A29:A32"/>
    <mergeCell ref="A33:A41"/>
    <mergeCell ref="A50:A53"/>
    <mergeCell ref="A54:A62"/>
    <mergeCell ref="A71:A74"/>
    <mergeCell ref="A75:A83"/>
    <mergeCell ref="A92:A95"/>
    <mergeCell ref="A96:A104"/>
    <mergeCell ref="A113:A116"/>
    <mergeCell ref="A117:A125"/>
    <mergeCell ref="A134:A137"/>
    <mergeCell ref="A138:A146"/>
    <mergeCell ref="A155:A158"/>
    <mergeCell ref="A159:A167"/>
    <mergeCell ref="A176:A179"/>
    <mergeCell ref="A180:A188"/>
    <mergeCell ref="A197:A200"/>
    <mergeCell ref="A201:A209"/>
    <mergeCell ref="A218:A221"/>
    <mergeCell ref="A222:A230"/>
    <mergeCell ref="A239:A242"/>
    <mergeCell ref="A243:A251"/>
    <mergeCell ref="A260:A263"/>
    <mergeCell ref="A264:A272"/>
    <mergeCell ref="A281:A284"/>
    <mergeCell ref="A285:A293"/>
    <mergeCell ref="A302:A305"/>
    <mergeCell ref="A306:A314"/>
    <mergeCell ref="A1:H3"/>
    <mergeCell ref="A43:H45"/>
    <mergeCell ref="A22:H24"/>
    <mergeCell ref="A85:H87"/>
    <mergeCell ref="A232:H234"/>
    <mergeCell ref="A106:H108"/>
    <mergeCell ref="A64:H66"/>
    <mergeCell ref="A148:H150"/>
    <mergeCell ref="A127:H129"/>
    <mergeCell ref="A169:H171"/>
    <mergeCell ref="A190:H192"/>
    <mergeCell ref="A211:H213"/>
    <mergeCell ref="A274:H276"/>
    <mergeCell ref="A253:H255"/>
    <mergeCell ref="A295:H297"/>
  </mergeCells>
  <pageMargins left="0.94375" right="0.94375" top="1.18055555555556" bottom="0.984027777777778" header="0.510416666666667" footer="0.510416666666667"/>
  <pageSetup paperSize="9" orientation="portrait"/>
  <headerFooter alignWithMargins="0" scaleWithDoc="0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50"/>
  <sheetViews>
    <sheetView topLeftCell="A25" workbookViewId="0">
      <selection activeCell="M79" sqref="M79"/>
    </sheetView>
  </sheetViews>
  <sheetFormatPr defaultColWidth="9" defaultRowHeight="14.25" outlineLevelCol="5"/>
  <cols>
    <col min="2" max="2" width="22.125" customWidth="1"/>
    <col min="3" max="4" width="12.125" customWidth="1"/>
    <col min="5" max="5" width="11.6" customWidth="1"/>
    <col min="6" max="6" width="12.875" customWidth="1"/>
  </cols>
  <sheetData>
    <row r="1" ht="18.75" spans="1:6">
      <c r="A1" s="175" t="s">
        <v>1753</v>
      </c>
      <c r="B1" s="176"/>
      <c r="C1" s="176"/>
      <c r="D1" s="176"/>
      <c r="E1" s="176"/>
      <c r="F1" s="176"/>
    </row>
    <row r="2" spans="1:6">
      <c r="A2" s="177"/>
      <c r="B2" s="178" t="s">
        <v>1156</v>
      </c>
      <c r="C2" s="178"/>
      <c r="D2" s="178"/>
      <c r="E2" s="178"/>
      <c r="F2" s="178"/>
    </row>
    <row r="3" spans="1:6">
      <c r="A3" s="177" t="s">
        <v>1754</v>
      </c>
      <c r="B3" s="179"/>
      <c r="C3" s="180"/>
      <c r="D3" s="180"/>
      <c r="E3" s="179" t="s">
        <v>1755</v>
      </c>
      <c r="F3" s="179"/>
    </row>
    <row r="4" spans="1:6">
      <c r="A4" s="181" t="s">
        <v>354</v>
      </c>
      <c r="B4" s="181" t="s">
        <v>956</v>
      </c>
      <c r="C4" s="181" t="s">
        <v>52</v>
      </c>
      <c r="D4" s="181" t="s">
        <v>855</v>
      </c>
      <c r="E4" s="181" t="s">
        <v>53</v>
      </c>
      <c r="F4" s="181" t="s">
        <v>306</v>
      </c>
    </row>
    <row r="5" spans="1:6">
      <c r="A5" s="181" t="s">
        <v>1756</v>
      </c>
      <c r="B5" s="181" t="s">
        <v>960</v>
      </c>
      <c r="C5" s="181"/>
      <c r="D5" s="181"/>
      <c r="E5" s="181"/>
      <c r="F5" s="182">
        <f>F6+F15+F16</f>
        <v>705.16832592</v>
      </c>
    </row>
    <row r="6" spans="1:6">
      <c r="A6" s="181" t="s">
        <v>59</v>
      </c>
      <c r="B6" s="181" t="s">
        <v>957</v>
      </c>
      <c r="C6" s="181"/>
      <c r="D6" s="181"/>
      <c r="E6" s="181"/>
      <c r="F6" s="182">
        <f>F7+F10+F11</f>
        <v>672.87054</v>
      </c>
    </row>
    <row r="7" spans="1:6">
      <c r="A7" s="181">
        <v>1</v>
      </c>
      <c r="B7" s="181" t="s">
        <v>964</v>
      </c>
      <c r="C7" s="181" t="s">
        <v>965</v>
      </c>
      <c r="D7" s="183"/>
      <c r="E7" s="184">
        <f>SUM(E8:E9)</f>
        <v>113.4</v>
      </c>
      <c r="F7" s="183">
        <f>SUM(F8:F9)</f>
        <v>659.677</v>
      </c>
    </row>
    <row r="8" spans="1:6">
      <c r="A8" s="181"/>
      <c r="B8" s="181" t="s">
        <v>966</v>
      </c>
      <c r="C8" s="181" t="s">
        <v>965</v>
      </c>
      <c r="D8" s="183">
        <f>新定额单价!D9</f>
        <v>8.1</v>
      </c>
      <c r="E8" s="184">
        <v>2.3</v>
      </c>
      <c r="F8" s="183">
        <f>D8*E8</f>
        <v>18.63</v>
      </c>
    </row>
    <row r="9" spans="1:6">
      <c r="A9" s="181"/>
      <c r="B9" s="181" t="s">
        <v>968</v>
      </c>
      <c r="C9" s="181" t="s">
        <v>965</v>
      </c>
      <c r="D9" s="183">
        <f>新定额单价!D10</f>
        <v>5.77</v>
      </c>
      <c r="E9" s="184">
        <v>111.1</v>
      </c>
      <c r="F9" s="183">
        <f>D9*E9</f>
        <v>641.047</v>
      </c>
    </row>
    <row r="10" spans="1:6">
      <c r="A10" s="181">
        <v>2</v>
      </c>
      <c r="B10" s="181" t="s">
        <v>974</v>
      </c>
      <c r="C10" s="181"/>
      <c r="D10" s="181"/>
      <c r="E10" s="181"/>
      <c r="F10" s="183">
        <v>0</v>
      </c>
    </row>
    <row r="11" spans="1:6">
      <c r="A11" s="181">
        <v>3</v>
      </c>
      <c r="B11" s="181" t="s">
        <v>969</v>
      </c>
      <c r="C11" s="185" t="s">
        <v>423</v>
      </c>
      <c r="D11" s="182">
        <f>F7</f>
        <v>659.677</v>
      </c>
      <c r="E11" s="181">
        <v>2</v>
      </c>
      <c r="F11" s="183">
        <f>D11*E11/100</f>
        <v>13.19354</v>
      </c>
    </row>
    <row r="12" spans="1:6">
      <c r="A12" s="181"/>
      <c r="B12" s="181"/>
      <c r="C12" s="185"/>
      <c r="D12" s="182"/>
      <c r="E12" s="181"/>
      <c r="F12" s="183"/>
    </row>
    <row r="13" spans="1:6">
      <c r="A13" s="181"/>
      <c r="B13" s="181"/>
      <c r="C13" s="185"/>
      <c r="D13" s="182"/>
      <c r="E13" s="181"/>
      <c r="F13" s="183"/>
    </row>
    <row r="14" spans="1:6">
      <c r="A14" s="181"/>
      <c r="B14" s="181"/>
      <c r="C14" s="185"/>
      <c r="D14" s="182"/>
      <c r="E14" s="181"/>
      <c r="F14" s="183"/>
    </row>
    <row r="15" spans="1:6">
      <c r="A15" s="186" t="s">
        <v>70</v>
      </c>
      <c r="B15" s="181" t="s">
        <v>977</v>
      </c>
      <c r="C15" s="187">
        <f>取费表!$C$4</f>
        <v>0.048</v>
      </c>
      <c r="D15" s="186"/>
      <c r="E15" s="182">
        <f>F7+F10+F11</f>
        <v>672.87054</v>
      </c>
      <c r="F15" s="183">
        <f t="shared" ref="F15:F19" si="0">E15*C15</f>
        <v>32.29778592</v>
      </c>
    </row>
    <row r="16" spans="1:6">
      <c r="A16" s="186"/>
      <c r="B16" s="181"/>
      <c r="C16" s="187"/>
      <c r="D16" s="186"/>
      <c r="E16" s="182"/>
      <c r="F16" s="183"/>
    </row>
    <row r="17" spans="1:6">
      <c r="A17" s="181" t="s">
        <v>979</v>
      </c>
      <c r="B17" s="181" t="s">
        <v>973</v>
      </c>
      <c r="C17" s="187">
        <f>取费表!$E$4</f>
        <v>0.04</v>
      </c>
      <c r="D17" s="186"/>
      <c r="E17" s="182">
        <f>F5</f>
        <v>705.16832592</v>
      </c>
      <c r="F17" s="183">
        <f t="shared" si="0"/>
        <v>28.2067330368</v>
      </c>
    </row>
    <row r="18" spans="1:6">
      <c r="A18" s="181" t="s">
        <v>162</v>
      </c>
      <c r="B18" s="181" t="s">
        <v>980</v>
      </c>
      <c r="C18" s="187">
        <f>取费表!$F$4</f>
        <v>0.05</v>
      </c>
      <c r="D18" s="186"/>
      <c r="E18" s="182">
        <f>F17+F5</f>
        <v>733.3750589568</v>
      </c>
      <c r="F18" s="183">
        <f t="shared" si="0"/>
        <v>36.66875294784</v>
      </c>
    </row>
    <row r="19" spans="1:6">
      <c r="A19" s="181" t="s">
        <v>214</v>
      </c>
      <c r="B19" s="181" t="s">
        <v>976</v>
      </c>
      <c r="C19" s="188">
        <f>新定额单价!C20</f>
        <v>0.09</v>
      </c>
      <c r="D19" s="186"/>
      <c r="E19" s="182">
        <f>F18+F17+F5</f>
        <v>770.04381190464</v>
      </c>
      <c r="F19" s="183">
        <f t="shared" si="0"/>
        <v>69.3039430714176</v>
      </c>
    </row>
    <row r="20" spans="1:6">
      <c r="A20" s="181"/>
      <c r="B20" s="181" t="s">
        <v>984</v>
      </c>
      <c r="C20" s="188"/>
      <c r="D20" s="186"/>
      <c r="E20" s="182"/>
      <c r="F20" s="183">
        <f>(F5+F17+F18+F19)*取费表!H4</f>
        <v>25.1804326492817</v>
      </c>
    </row>
    <row r="21" spans="1:6">
      <c r="A21" s="186"/>
      <c r="B21" s="181" t="s">
        <v>278</v>
      </c>
      <c r="C21" s="186"/>
      <c r="D21" s="186"/>
      <c r="E21" s="181"/>
      <c r="F21" s="183">
        <f>F5+F17+F18+F19+F20</f>
        <v>864.528187625339</v>
      </c>
    </row>
    <row r="22" ht="18.75" spans="1:6">
      <c r="A22" s="176" t="s">
        <v>1753</v>
      </c>
      <c r="B22" s="176"/>
      <c r="C22" s="176"/>
      <c r="D22" s="176"/>
      <c r="E22" s="176"/>
      <c r="F22" s="176"/>
    </row>
    <row r="23" spans="1:6">
      <c r="A23" s="189" t="s">
        <v>1757</v>
      </c>
      <c r="B23" s="189"/>
      <c r="C23" s="189"/>
      <c r="D23" s="189"/>
      <c r="E23" s="189"/>
      <c r="F23" s="189"/>
    </row>
    <row r="24" spans="1:6">
      <c r="A24" s="190" t="s">
        <v>1758</v>
      </c>
      <c r="B24" s="190"/>
      <c r="C24" s="168"/>
      <c r="D24" s="168"/>
      <c r="E24" s="191" t="s">
        <v>1159</v>
      </c>
      <c r="F24" s="191"/>
    </row>
    <row r="25" ht="16" customHeight="1" spans="1:6">
      <c r="A25" s="117" t="s">
        <v>1202</v>
      </c>
      <c r="B25" s="192"/>
      <c r="C25" s="192"/>
      <c r="D25" s="192"/>
      <c r="E25" s="192"/>
      <c r="F25" s="118"/>
    </row>
    <row r="26" ht="16" customHeight="1" spans="1:6">
      <c r="A26" s="57" t="s">
        <v>354</v>
      </c>
      <c r="B26" s="57" t="s">
        <v>956</v>
      </c>
      <c r="C26" s="57" t="s">
        <v>52</v>
      </c>
      <c r="D26" s="57" t="s">
        <v>855</v>
      </c>
      <c r="E26" s="57" t="s">
        <v>53</v>
      </c>
      <c r="F26" s="57" t="s">
        <v>306</v>
      </c>
    </row>
    <row r="27" ht="16" customHeight="1" spans="1:6">
      <c r="A27" s="57" t="s">
        <v>959</v>
      </c>
      <c r="B27" s="57" t="s">
        <v>960</v>
      </c>
      <c r="C27" s="57"/>
      <c r="D27" s="57"/>
      <c r="E27" s="57"/>
      <c r="F27" s="84">
        <f>F28+F35+F36</f>
        <v>165.614692946105</v>
      </c>
    </row>
    <row r="28" ht="16" customHeight="1" spans="1:6">
      <c r="A28" s="57" t="s">
        <v>59</v>
      </c>
      <c r="B28" s="57" t="s">
        <v>957</v>
      </c>
      <c r="C28" s="57"/>
      <c r="D28" s="57"/>
      <c r="E28" s="57"/>
      <c r="F28" s="84">
        <f>F29+F32+F34</f>
        <v>158.029287162314</v>
      </c>
    </row>
    <row r="29" ht="16" customHeight="1" spans="1:6">
      <c r="A29" s="57">
        <v>1</v>
      </c>
      <c r="B29" s="57" t="s">
        <v>964</v>
      </c>
      <c r="C29" s="57" t="s">
        <v>965</v>
      </c>
      <c r="D29" s="113"/>
      <c r="E29" s="113">
        <f>SUM(E30:E31)</f>
        <v>4.1</v>
      </c>
      <c r="F29" s="113">
        <f>SUM(F30:F31)</f>
        <v>23.657</v>
      </c>
    </row>
    <row r="30" ht="16" customHeight="1" spans="1:6">
      <c r="A30" s="57"/>
      <c r="B30" s="57" t="s">
        <v>966</v>
      </c>
      <c r="C30" s="57" t="s">
        <v>965</v>
      </c>
      <c r="D30" s="113">
        <f>新定额单价!D94</f>
        <v>8.1</v>
      </c>
      <c r="E30" s="113">
        <v>0</v>
      </c>
      <c r="F30" s="113">
        <f t="shared" ref="F30:F33" si="1">D30*E30</f>
        <v>0</v>
      </c>
    </row>
    <row r="31" ht="16" customHeight="1" spans="1:6">
      <c r="A31" s="57"/>
      <c r="B31" s="57" t="s">
        <v>968</v>
      </c>
      <c r="C31" s="57" t="s">
        <v>965</v>
      </c>
      <c r="D31" s="113">
        <f>新定额单价!D95</f>
        <v>5.77</v>
      </c>
      <c r="E31" s="113">
        <f>4.1</f>
        <v>4.1</v>
      </c>
      <c r="F31" s="113">
        <f t="shared" si="1"/>
        <v>23.657</v>
      </c>
    </row>
    <row r="32" ht="16" customHeight="1" spans="1:6">
      <c r="A32" s="57">
        <v>2</v>
      </c>
      <c r="B32" s="57" t="s">
        <v>1171</v>
      </c>
      <c r="C32" s="57"/>
      <c r="D32" s="57"/>
      <c r="E32" s="57"/>
      <c r="F32" s="113">
        <f>F33</f>
        <v>126.847083011727</v>
      </c>
    </row>
    <row r="33" ht="16" customHeight="1" spans="1:6">
      <c r="A33" s="57"/>
      <c r="B33" s="193" t="s">
        <v>1203</v>
      </c>
      <c r="C33" s="57" t="s">
        <v>988</v>
      </c>
      <c r="D33" s="113">
        <f>台时!C21</f>
        <v>118.94887754288</v>
      </c>
      <c r="E33" s="88">
        <f>0.86*1.24</f>
        <v>1.0664</v>
      </c>
      <c r="F33" s="113">
        <f t="shared" si="1"/>
        <v>126.847083011727</v>
      </c>
    </row>
    <row r="34" ht="16" customHeight="1" spans="1:6">
      <c r="A34" s="57">
        <v>3</v>
      </c>
      <c r="B34" s="57" t="s">
        <v>969</v>
      </c>
      <c r="C34" s="59" t="s">
        <v>423</v>
      </c>
      <c r="D34" s="84">
        <f>F29+F33</f>
        <v>150.504083011727</v>
      </c>
      <c r="E34" s="57">
        <v>5</v>
      </c>
      <c r="F34" s="113">
        <f>D34*E34/100</f>
        <v>7.52520415058636</v>
      </c>
    </row>
    <row r="35" ht="16" customHeight="1" spans="1:6">
      <c r="A35" s="57" t="s">
        <v>70</v>
      </c>
      <c r="B35" s="57" t="s">
        <v>977</v>
      </c>
      <c r="C35" s="194">
        <f>取费表!$C$4</f>
        <v>0.048</v>
      </c>
      <c r="D35" s="57"/>
      <c r="E35" s="84">
        <f>F28</f>
        <v>158.029287162314</v>
      </c>
      <c r="F35" s="113">
        <f t="shared" ref="F35:F38" si="2">E35*C35</f>
        <v>7.58540578379105</v>
      </c>
    </row>
    <row r="36" ht="16" customHeight="1" spans="1:6">
      <c r="A36" s="57"/>
      <c r="B36" s="57"/>
      <c r="C36" s="194"/>
      <c r="D36" s="57"/>
      <c r="E36" s="84"/>
      <c r="F36" s="113"/>
    </row>
    <row r="37" ht="16" customHeight="1" spans="1:6">
      <c r="A37" s="57" t="s">
        <v>979</v>
      </c>
      <c r="B37" s="57" t="s">
        <v>973</v>
      </c>
      <c r="C37" s="194">
        <f>取费表!$E$4</f>
        <v>0.04</v>
      </c>
      <c r="D37" s="57"/>
      <c r="E37" s="84">
        <f>F27</f>
        <v>165.614692946105</v>
      </c>
      <c r="F37" s="113">
        <f t="shared" si="2"/>
        <v>6.62458771784419</v>
      </c>
    </row>
    <row r="38" ht="16" customHeight="1" spans="1:6">
      <c r="A38" s="57" t="s">
        <v>162</v>
      </c>
      <c r="B38" s="57" t="s">
        <v>980</v>
      </c>
      <c r="C38" s="194">
        <f>取费表!$F$4</f>
        <v>0.05</v>
      </c>
      <c r="D38" s="57"/>
      <c r="E38" s="84">
        <f>F37+F27</f>
        <v>172.239280663949</v>
      </c>
      <c r="F38" s="113">
        <f t="shared" si="2"/>
        <v>8.61196403319744</v>
      </c>
    </row>
    <row r="39" ht="16" customHeight="1" spans="1:6">
      <c r="A39" s="57" t="s">
        <v>214</v>
      </c>
      <c r="B39" s="57" t="s">
        <v>1173</v>
      </c>
      <c r="C39" s="59"/>
      <c r="D39" s="57"/>
      <c r="E39" s="57"/>
      <c r="F39" s="113">
        <f>F40</f>
        <v>73.5943968</v>
      </c>
    </row>
    <row r="40" ht="16" customHeight="1" spans="1:6">
      <c r="A40" s="57"/>
      <c r="B40" s="57" t="s">
        <v>1174</v>
      </c>
      <c r="C40" s="59" t="s">
        <v>184</v>
      </c>
      <c r="D40" s="84">
        <f>材料预算价!K12-材料预算价!L12</f>
        <v>4.86</v>
      </c>
      <c r="E40" s="88">
        <f>E33*台时!C14</f>
        <v>15.14288</v>
      </c>
      <c r="F40" s="113">
        <f>E40*D40</f>
        <v>73.5943968</v>
      </c>
    </row>
    <row r="41" ht="16" customHeight="1" spans="1:6">
      <c r="A41" s="57" t="s">
        <v>327</v>
      </c>
      <c r="B41" s="57" t="s">
        <v>976</v>
      </c>
      <c r="C41" s="195">
        <f>新定额单价!C149</f>
        <v>0.09</v>
      </c>
      <c r="D41" s="57"/>
      <c r="E41" s="196">
        <f>F39+F38+F37+F27</f>
        <v>254.445641497146</v>
      </c>
      <c r="F41" s="113">
        <f>E41*C41</f>
        <v>22.9001077347431</v>
      </c>
    </row>
    <row r="42" ht="16" customHeight="1" spans="1:6">
      <c r="A42" s="57"/>
      <c r="B42" s="57" t="s">
        <v>984</v>
      </c>
      <c r="C42" s="195"/>
      <c r="D42" s="57"/>
      <c r="E42" s="196"/>
      <c r="F42" s="113">
        <f>(F27+F37+F38+F39+F41)*取费表!H4</f>
        <v>8.32037247695669</v>
      </c>
    </row>
    <row r="43" ht="16" customHeight="1" spans="1:6">
      <c r="A43" s="57"/>
      <c r="B43" s="57" t="s">
        <v>278</v>
      </c>
      <c r="C43" s="57"/>
      <c r="D43" s="57"/>
      <c r="E43" s="57"/>
      <c r="F43" s="113">
        <f>F41+F39+F38+F37+F27+F42</f>
        <v>285.666121708847</v>
      </c>
    </row>
    <row r="44" ht="16" customHeight="1" spans="1:6">
      <c r="A44" s="57"/>
      <c r="B44" s="57"/>
      <c r="C44" s="57"/>
      <c r="D44" s="57"/>
      <c r="E44" s="57"/>
      <c r="F44" s="113"/>
    </row>
    <row r="45" ht="16" customHeight="1" spans="1:6">
      <c r="A45" s="57"/>
      <c r="B45" s="57"/>
      <c r="C45" s="57"/>
      <c r="D45" s="57"/>
      <c r="E45" s="57"/>
      <c r="F45" s="113"/>
    </row>
    <row r="46" spans="1:6">
      <c r="A46" s="79"/>
      <c r="B46" s="79"/>
      <c r="C46" s="79"/>
      <c r="D46" s="79"/>
      <c r="E46" s="79"/>
      <c r="F46" s="79"/>
    </row>
    <row r="47" ht="20" customHeight="1" spans="1:6">
      <c r="A47" s="175" t="s">
        <v>1753</v>
      </c>
      <c r="B47" s="176"/>
      <c r="C47" s="176"/>
      <c r="D47" s="176"/>
      <c r="E47" s="176"/>
      <c r="F47" s="176"/>
    </row>
    <row r="48" ht="20" customHeight="1" spans="1:6">
      <c r="A48" s="189" t="s">
        <v>1759</v>
      </c>
      <c r="B48" s="189"/>
      <c r="C48" s="189"/>
      <c r="D48" s="189"/>
      <c r="E48" s="189"/>
      <c r="F48" s="189"/>
    </row>
    <row r="49" ht="20" customHeight="1" spans="1:6">
      <c r="A49" s="190" t="s">
        <v>1176</v>
      </c>
      <c r="B49" s="191"/>
      <c r="C49" s="191"/>
      <c r="D49" s="191"/>
      <c r="E49" s="191" t="s">
        <v>1159</v>
      </c>
      <c r="F49" s="191"/>
    </row>
    <row r="50" ht="20" customHeight="1" spans="1:6">
      <c r="A50" s="197" t="s">
        <v>1177</v>
      </c>
      <c r="B50" s="192"/>
      <c r="C50" s="192"/>
      <c r="D50" s="192"/>
      <c r="E50" s="192"/>
      <c r="F50" s="118"/>
    </row>
    <row r="51" ht="20" customHeight="1" spans="1:6">
      <c r="A51" s="57" t="s">
        <v>354</v>
      </c>
      <c r="B51" s="57" t="s">
        <v>956</v>
      </c>
      <c r="C51" s="57" t="s">
        <v>52</v>
      </c>
      <c r="D51" s="57" t="s">
        <v>855</v>
      </c>
      <c r="E51" s="57" t="s">
        <v>53</v>
      </c>
      <c r="F51" s="57" t="s">
        <v>306</v>
      </c>
    </row>
    <row r="52" ht="20" customHeight="1" spans="1:6">
      <c r="A52" s="57" t="s">
        <v>959</v>
      </c>
      <c r="B52" s="57" t="s">
        <v>960</v>
      </c>
      <c r="C52" s="57"/>
      <c r="D52" s="57"/>
      <c r="E52" s="57"/>
      <c r="F52" s="84">
        <f>F53+F60+F61</f>
        <v>169.663271291832</v>
      </c>
    </row>
    <row r="53" ht="20" customHeight="1" spans="1:6">
      <c r="A53" s="57" t="s">
        <v>59</v>
      </c>
      <c r="B53" s="57" t="s">
        <v>957</v>
      </c>
      <c r="C53" s="57"/>
      <c r="D53" s="57"/>
      <c r="E53" s="57"/>
      <c r="F53" s="84">
        <f>F54+F57+F59</f>
        <v>161.892434438771</v>
      </c>
    </row>
    <row r="54" ht="20" customHeight="1" spans="1:6">
      <c r="A54" s="57">
        <v>1</v>
      </c>
      <c r="B54" s="57" t="s">
        <v>964</v>
      </c>
      <c r="C54" s="57" t="s">
        <v>965</v>
      </c>
      <c r="D54" s="113"/>
      <c r="E54" s="113">
        <f>SUM(E55:E56)</f>
        <v>2.1</v>
      </c>
      <c r="F54" s="113">
        <f>SUM(F55:F56)</f>
        <v>12.117</v>
      </c>
    </row>
    <row r="55" ht="20" customHeight="1" spans="1:6">
      <c r="A55" s="57"/>
      <c r="B55" s="57" t="s">
        <v>966</v>
      </c>
      <c r="C55" s="57" t="s">
        <v>965</v>
      </c>
      <c r="D55" s="113">
        <f>新定额单价!D50</f>
        <v>8.1</v>
      </c>
      <c r="E55" s="113">
        <v>0</v>
      </c>
      <c r="F55" s="113">
        <f t="shared" ref="F55:F58" si="3">D55*E55</f>
        <v>0</v>
      </c>
    </row>
    <row r="56" ht="20" customHeight="1" spans="1:6">
      <c r="A56" s="57"/>
      <c r="B56" s="57" t="s">
        <v>968</v>
      </c>
      <c r="C56" s="57" t="s">
        <v>965</v>
      </c>
      <c r="D56" s="113">
        <f>新定额单价!D51</f>
        <v>5.77</v>
      </c>
      <c r="E56" s="113">
        <v>2.1</v>
      </c>
      <c r="F56" s="113">
        <f t="shared" si="3"/>
        <v>12.117</v>
      </c>
    </row>
    <row r="57" ht="20" customHeight="1" spans="1:6">
      <c r="A57" s="57">
        <v>2</v>
      </c>
      <c r="B57" s="57" t="s">
        <v>1171</v>
      </c>
      <c r="C57" s="57"/>
      <c r="D57" s="57"/>
      <c r="E57" s="57"/>
      <c r="F57" s="113">
        <f>F58</f>
        <v>135.057940398883</v>
      </c>
    </row>
    <row r="58" ht="20" customHeight="1" spans="1:6">
      <c r="A58" s="57"/>
      <c r="B58" s="57" t="s">
        <v>1172</v>
      </c>
      <c r="C58" s="57" t="s">
        <v>988</v>
      </c>
      <c r="D58" s="113">
        <f>新定额单价!D53</f>
        <v>89.4423446350219</v>
      </c>
      <c r="E58" s="57">
        <v>1.51</v>
      </c>
      <c r="F58" s="113">
        <f t="shared" si="3"/>
        <v>135.057940398883</v>
      </c>
    </row>
    <row r="59" ht="20" customHeight="1" spans="1:6">
      <c r="A59" s="57">
        <v>3</v>
      </c>
      <c r="B59" s="57" t="s">
        <v>969</v>
      </c>
      <c r="C59" s="59" t="s">
        <v>423</v>
      </c>
      <c r="D59" s="84">
        <f>F54+F57</f>
        <v>147.174940398883</v>
      </c>
      <c r="E59" s="57">
        <v>10</v>
      </c>
      <c r="F59" s="113">
        <f>D59*E59/100</f>
        <v>14.7174940398883</v>
      </c>
    </row>
    <row r="60" ht="20" customHeight="1" spans="1:6">
      <c r="A60" s="57" t="s">
        <v>70</v>
      </c>
      <c r="B60" s="57" t="s">
        <v>977</v>
      </c>
      <c r="C60" s="194">
        <f>取费表!$C$4</f>
        <v>0.048</v>
      </c>
      <c r="D60" s="57"/>
      <c r="E60" s="84">
        <f>F53</f>
        <v>161.892434438771</v>
      </c>
      <c r="F60" s="113">
        <f t="shared" ref="F60:F63" si="4">E60*C60</f>
        <v>7.77083685306102</v>
      </c>
    </row>
    <row r="61" ht="20" customHeight="1" spans="1:6">
      <c r="A61" s="57"/>
      <c r="B61" s="57"/>
      <c r="C61" s="194"/>
      <c r="D61" s="57"/>
      <c r="E61" s="84"/>
      <c r="F61" s="113"/>
    </row>
    <row r="62" ht="20" customHeight="1" spans="1:6">
      <c r="A62" s="57" t="s">
        <v>979</v>
      </c>
      <c r="B62" s="57" t="s">
        <v>973</v>
      </c>
      <c r="C62" s="194">
        <f>取费表!$E$4</f>
        <v>0.04</v>
      </c>
      <c r="D62" s="57"/>
      <c r="E62" s="84">
        <f>F52</f>
        <v>169.663271291832</v>
      </c>
      <c r="F62" s="113">
        <f t="shared" si="4"/>
        <v>6.78653085167329</v>
      </c>
    </row>
    <row r="63" ht="20" customHeight="1" spans="1:6">
      <c r="A63" s="57" t="s">
        <v>162</v>
      </c>
      <c r="B63" s="57" t="s">
        <v>980</v>
      </c>
      <c r="C63" s="194">
        <f>取费表!$F$4</f>
        <v>0.05</v>
      </c>
      <c r="D63" s="57"/>
      <c r="E63" s="84">
        <f>F62+F52</f>
        <v>176.449802143506</v>
      </c>
      <c r="F63" s="113">
        <f t="shared" si="4"/>
        <v>8.82249010717528</v>
      </c>
    </row>
    <row r="64" ht="20" customHeight="1" spans="1:6">
      <c r="A64" s="57" t="s">
        <v>214</v>
      </c>
      <c r="B64" s="57" t="s">
        <v>1173</v>
      </c>
      <c r="C64" s="59"/>
      <c r="D64" s="84"/>
      <c r="E64" s="57"/>
      <c r="F64" s="113">
        <f>F65</f>
        <v>77.78916</v>
      </c>
    </row>
    <row r="65" ht="20" customHeight="1" spans="1:6">
      <c r="A65" s="57"/>
      <c r="B65" s="57" t="s">
        <v>1174</v>
      </c>
      <c r="C65" s="59" t="s">
        <v>184</v>
      </c>
      <c r="D65" s="84">
        <f>新定额单价!D60</f>
        <v>4.86</v>
      </c>
      <c r="E65" s="88">
        <f>E58*台时!E14</f>
        <v>16.006</v>
      </c>
      <c r="F65" s="113">
        <f>E65*D65</f>
        <v>77.78916</v>
      </c>
    </row>
    <row r="66" ht="20" customHeight="1" spans="1:6">
      <c r="A66" s="57" t="s">
        <v>327</v>
      </c>
      <c r="B66" s="57" t="s">
        <v>976</v>
      </c>
      <c r="C66" s="195">
        <f>新定额单价!C61</f>
        <v>0.09</v>
      </c>
      <c r="D66" s="57"/>
      <c r="E66" s="84">
        <f>F52+F62+F63+F64</f>
        <v>263.061452250681</v>
      </c>
      <c r="F66" s="113">
        <f>E66*C66</f>
        <v>23.6755307025613</v>
      </c>
    </row>
    <row r="67" ht="20" customHeight="1" spans="1:6">
      <c r="A67" s="57"/>
      <c r="B67" s="57" t="s">
        <v>984</v>
      </c>
      <c r="C67" s="195"/>
      <c r="D67" s="57"/>
      <c r="E67" s="84"/>
      <c r="F67" s="113">
        <f>(F52+F62+F63+F64+F66)*取费表!H4</f>
        <v>8.60210948859727</v>
      </c>
    </row>
    <row r="68" ht="20" customHeight="1" spans="1:6">
      <c r="A68" s="57"/>
      <c r="B68" s="57" t="s">
        <v>278</v>
      </c>
      <c r="C68" s="57"/>
      <c r="D68" s="57"/>
      <c r="E68" s="57"/>
      <c r="F68" s="113">
        <f>F52+F62+F63+F64+F66+F67</f>
        <v>295.339092441839</v>
      </c>
    </row>
    <row r="69" ht="20" customHeight="1" spans="1:6">
      <c r="A69" s="57"/>
      <c r="B69" s="57"/>
      <c r="C69" s="57"/>
      <c r="D69" s="57"/>
      <c r="E69" s="57"/>
      <c r="F69" s="113"/>
    </row>
    <row r="70" ht="20" customHeight="1" spans="1:6">
      <c r="A70" s="57"/>
      <c r="B70" s="57"/>
      <c r="C70" s="57"/>
      <c r="D70" s="57"/>
      <c r="E70" s="57"/>
      <c r="F70" s="113"/>
    </row>
    <row r="71" ht="20" customHeight="1" spans="1:6">
      <c r="A71" s="57"/>
      <c r="B71" s="57"/>
      <c r="C71" s="57"/>
      <c r="D71" s="57"/>
      <c r="E71" s="57"/>
      <c r="F71" s="113"/>
    </row>
    <row r="72" ht="20" customHeight="1" spans="1:6">
      <c r="A72" s="57"/>
      <c r="B72" s="57"/>
      <c r="C72" s="57"/>
      <c r="D72" s="57"/>
      <c r="E72" s="57"/>
      <c r="F72" s="113"/>
    </row>
    <row r="73" ht="20" customHeight="1" spans="1:6">
      <c r="A73" s="57"/>
      <c r="B73" s="57"/>
      <c r="C73" s="57"/>
      <c r="D73" s="57"/>
      <c r="E73" s="57"/>
      <c r="F73" s="113"/>
    </row>
    <row r="74" ht="20" customHeight="1" spans="1:6">
      <c r="A74" s="57"/>
      <c r="B74" s="57"/>
      <c r="C74" s="57"/>
      <c r="D74" s="57"/>
      <c r="E74" s="57"/>
      <c r="F74" s="113"/>
    </row>
    <row r="75" ht="20" customHeight="1" spans="1:6">
      <c r="A75" s="57"/>
      <c r="B75" s="57"/>
      <c r="C75" s="57"/>
      <c r="D75" s="57"/>
      <c r="E75" s="57"/>
      <c r="F75" s="113"/>
    </row>
    <row r="76" ht="20" customHeight="1" spans="1:6">
      <c r="A76" s="57"/>
      <c r="B76" s="57"/>
      <c r="C76" s="57"/>
      <c r="D76" s="57"/>
      <c r="E76" s="57"/>
      <c r="F76" s="113"/>
    </row>
    <row r="77" ht="20" customHeight="1" spans="1:6">
      <c r="A77" s="57"/>
      <c r="B77" s="57"/>
      <c r="C77" s="57"/>
      <c r="D77" s="57"/>
      <c r="E77" s="57"/>
      <c r="F77" s="113"/>
    </row>
    <row r="78" ht="20" customHeight="1" spans="1:6">
      <c r="A78" s="57"/>
      <c r="B78" s="57"/>
      <c r="C78" s="57"/>
      <c r="D78" s="57"/>
      <c r="E78" s="57"/>
      <c r="F78" s="113"/>
    </row>
    <row r="79" ht="20" customHeight="1" spans="1:6">
      <c r="A79" s="57"/>
      <c r="B79" s="57"/>
      <c r="C79" s="57"/>
      <c r="D79" s="57"/>
      <c r="E79" s="57"/>
      <c r="F79" s="113"/>
    </row>
    <row r="80" ht="20" customHeight="1" spans="1:6">
      <c r="A80" s="57"/>
      <c r="B80" s="57"/>
      <c r="C80" s="57"/>
      <c r="D80" s="57"/>
      <c r="E80" s="57"/>
      <c r="F80" s="113"/>
    </row>
    <row r="81" ht="20" customHeight="1" spans="1:6">
      <c r="A81" s="57"/>
      <c r="B81" s="57"/>
      <c r="C81" s="57"/>
      <c r="D81" s="57"/>
      <c r="E81" s="57"/>
      <c r="F81" s="113"/>
    </row>
    <row r="82" ht="20" customHeight="1" spans="1:6">
      <c r="A82" s="57"/>
      <c r="B82" s="57"/>
      <c r="C82" s="57"/>
      <c r="D82" s="57"/>
      <c r="E82" s="57"/>
      <c r="F82" s="113"/>
    </row>
    <row r="83" ht="20" customHeight="1" spans="1:6">
      <c r="A83" s="79"/>
      <c r="B83" s="79"/>
      <c r="C83" s="79"/>
      <c r="D83" s="79"/>
      <c r="E83" s="79"/>
      <c r="F83" s="79"/>
    </row>
    <row r="84" ht="18.75" spans="1:6">
      <c r="A84" s="176" t="s">
        <v>1753</v>
      </c>
      <c r="B84" s="176"/>
      <c r="C84" s="176"/>
      <c r="D84" s="176"/>
      <c r="E84" s="176"/>
      <c r="F84" s="176"/>
    </row>
    <row r="85" spans="1:6">
      <c r="A85" s="198" t="s">
        <v>1760</v>
      </c>
      <c r="B85" s="168"/>
      <c r="C85" s="168"/>
      <c r="D85" s="168"/>
      <c r="E85" s="168"/>
      <c r="F85" s="168"/>
    </row>
    <row r="86" spans="1:6">
      <c r="A86" s="190" t="s">
        <v>1761</v>
      </c>
      <c r="B86" s="191"/>
      <c r="C86" s="168"/>
      <c r="D86" s="168"/>
      <c r="E86" s="191" t="s">
        <v>1159</v>
      </c>
      <c r="F86" s="191"/>
    </row>
    <row r="87" spans="1:6">
      <c r="A87" s="197" t="s">
        <v>1207</v>
      </c>
      <c r="B87" s="192"/>
      <c r="C87" s="192"/>
      <c r="D87" s="192"/>
      <c r="E87" s="192"/>
      <c r="F87" s="118"/>
    </row>
    <row r="88" spans="1:6">
      <c r="A88" s="57" t="s">
        <v>354</v>
      </c>
      <c r="B88" s="57" t="s">
        <v>956</v>
      </c>
      <c r="C88" s="57" t="s">
        <v>52</v>
      </c>
      <c r="D88" s="57" t="s">
        <v>855</v>
      </c>
      <c r="E88" s="57" t="s">
        <v>53</v>
      </c>
      <c r="F88" s="57" t="s">
        <v>306</v>
      </c>
    </row>
    <row r="89" spans="1:6">
      <c r="A89" s="57" t="s">
        <v>959</v>
      </c>
      <c r="B89" s="57" t="s">
        <v>960</v>
      </c>
      <c r="C89" s="57"/>
      <c r="D89" s="57"/>
      <c r="E89" s="57"/>
      <c r="F89" s="84">
        <f>F90+F99</f>
        <v>663.235014994846</v>
      </c>
    </row>
    <row r="90" spans="1:6">
      <c r="A90" s="57" t="s">
        <v>59</v>
      </c>
      <c r="B90" s="57" t="s">
        <v>957</v>
      </c>
      <c r="C90" s="57"/>
      <c r="D90" s="57"/>
      <c r="E90" s="57"/>
      <c r="F90" s="84">
        <f>F91+F94+F95</f>
        <v>632.85783873554</v>
      </c>
    </row>
    <row r="91" spans="1:6">
      <c r="A91" s="57">
        <v>1</v>
      </c>
      <c r="B91" s="57" t="s">
        <v>964</v>
      </c>
      <c r="C91" s="57" t="s">
        <v>965</v>
      </c>
      <c r="D91" s="113"/>
      <c r="E91" s="113">
        <f>SUM(E92:E93)</f>
        <v>5.2</v>
      </c>
      <c r="F91" s="113">
        <f>SUM(F92:F93)</f>
        <v>30.004</v>
      </c>
    </row>
    <row r="92" spans="1:6">
      <c r="A92" s="57"/>
      <c r="B92" s="57" t="s">
        <v>966</v>
      </c>
      <c r="C92" s="57" t="s">
        <v>965</v>
      </c>
      <c r="D92" s="113">
        <f>新定额单价!D206</f>
        <v>8.1</v>
      </c>
      <c r="E92" s="113">
        <v>0</v>
      </c>
      <c r="F92" s="113">
        <f t="shared" ref="F92:F98" si="5">D92*E92</f>
        <v>0</v>
      </c>
    </row>
    <row r="93" spans="1:6">
      <c r="A93" s="57"/>
      <c r="B93" s="57" t="s">
        <v>968</v>
      </c>
      <c r="C93" s="57" t="s">
        <v>965</v>
      </c>
      <c r="D93" s="113">
        <f>新定额单价!D207</f>
        <v>5.77</v>
      </c>
      <c r="E93" s="113">
        <f>5.2</f>
        <v>5.2</v>
      </c>
      <c r="F93" s="113">
        <f t="shared" si="5"/>
        <v>30.004</v>
      </c>
    </row>
    <row r="94" spans="1:6">
      <c r="A94" s="57">
        <v>2</v>
      </c>
      <c r="B94" s="57" t="s">
        <v>969</v>
      </c>
      <c r="C94" s="59" t="s">
        <v>423</v>
      </c>
      <c r="D94" s="84">
        <f>F91+F95</f>
        <v>602.721751176705</v>
      </c>
      <c r="E94" s="57">
        <f>5</f>
        <v>5</v>
      </c>
      <c r="F94" s="113">
        <f>D94*E94/100</f>
        <v>30.1360875588353</v>
      </c>
    </row>
    <row r="95" spans="1:6">
      <c r="A95" s="57">
        <v>3</v>
      </c>
      <c r="B95" s="57" t="s">
        <v>1171</v>
      </c>
      <c r="C95" s="57"/>
      <c r="D95" s="57"/>
      <c r="E95" s="57"/>
      <c r="F95" s="113">
        <f>SUM(F96:F98)</f>
        <v>572.717751176705</v>
      </c>
    </row>
    <row r="96" spans="1:6">
      <c r="A96" s="57"/>
      <c r="B96" s="57" t="s">
        <v>1208</v>
      </c>
      <c r="C96" s="57" t="s">
        <v>988</v>
      </c>
      <c r="D96" s="113">
        <f>新定额单价!D210</f>
        <v>118.94887754288</v>
      </c>
      <c r="E96" s="88">
        <f>1.04</f>
        <v>1.04</v>
      </c>
      <c r="F96" s="113">
        <f t="shared" si="5"/>
        <v>123.706832644595</v>
      </c>
    </row>
    <row r="97" spans="1:6">
      <c r="A97" s="57"/>
      <c r="B97" s="57" t="s">
        <v>1209</v>
      </c>
      <c r="C97" s="57" t="s">
        <v>988</v>
      </c>
      <c r="D97" s="113">
        <f>新定额单价!D211</f>
        <v>66.3822584762664</v>
      </c>
      <c r="E97" s="88">
        <f>0.52</f>
        <v>0.52</v>
      </c>
      <c r="F97" s="113">
        <f t="shared" si="5"/>
        <v>34.5187744076585</v>
      </c>
    </row>
    <row r="98" spans="1:6">
      <c r="A98" s="57"/>
      <c r="B98" s="57" t="s">
        <v>1210</v>
      </c>
      <c r="C98" s="57" t="s">
        <v>988</v>
      </c>
      <c r="D98" s="113">
        <f>新定额单价!D212</f>
        <v>73.10267092142</v>
      </c>
      <c r="E98" s="88">
        <f>5.67</f>
        <v>5.67</v>
      </c>
      <c r="F98" s="113">
        <f t="shared" si="5"/>
        <v>414.492144124451</v>
      </c>
    </row>
    <row r="99" spans="1:6">
      <c r="A99" s="57" t="s">
        <v>70</v>
      </c>
      <c r="B99" s="57" t="s">
        <v>977</v>
      </c>
      <c r="C99" s="194">
        <f>取费表!$C$4</f>
        <v>0.048</v>
      </c>
      <c r="D99" s="113"/>
      <c r="E99" s="84">
        <f>F90</f>
        <v>632.85783873554</v>
      </c>
      <c r="F99" s="113">
        <f>E99*C99</f>
        <v>30.3771762593059</v>
      </c>
    </row>
    <row r="100" spans="1:6">
      <c r="A100" s="57" t="s">
        <v>979</v>
      </c>
      <c r="B100" s="57" t="s">
        <v>973</v>
      </c>
      <c r="C100" s="194">
        <f>取费表!$E$4</f>
        <v>0.04</v>
      </c>
      <c r="D100" s="113"/>
      <c r="E100" s="84">
        <f>F89</f>
        <v>663.235014994846</v>
      </c>
      <c r="F100" s="113">
        <f>E100*C100</f>
        <v>26.5294005997939</v>
      </c>
    </row>
    <row r="101" spans="1:6">
      <c r="A101" s="57" t="s">
        <v>162</v>
      </c>
      <c r="B101" s="57" t="s">
        <v>980</v>
      </c>
      <c r="C101" s="194">
        <f>取费表!$F$4</f>
        <v>0.05</v>
      </c>
      <c r="D101" s="113"/>
      <c r="E101" s="84">
        <f>F100+F89</f>
        <v>689.76441559464</v>
      </c>
      <c r="F101" s="113">
        <f>E101*C101</f>
        <v>34.488220779732</v>
      </c>
    </row>
    <row r="102" spans="1:6">
      <c r="A102" s="57" t="s">
        <v>214</v>
      </c>
      <c r="B102" s="57" t="s">
        <v>1173</v>
      </c>
      <c r="C102" s="59"/>
      <c r="D102" s="113"/>
      <c r="E102" s="57"/>
      <c r="F102" s="113">
        <f>F103</f>
        <v>374.0742</v>
      </c>
    </row>
    <row r="103" spans="1:6">
      <c r="A103" s="57"/>
      <c r="B103" s="57" t="s">
        <v>1174</v>
      </c>
      <c r="C103" s="59" t="s">
        <v>184</v>
      </c>
      <c r="D103" s="113">
        <f>材料预算价!K12-材料预算价!L12</f>
        <v>4.86</v>
      </c>
      <c r="E103" s="57">
        <f>E96*台时!C14+建筑工程单价分析表!E97*台时!D14+建筑工程单价分析表!E98*台时!G182</f>
        <v>76.97</v>
      </c>
      <c r="F103" s="113">
        <f>E103*D103</f>
        <v>374.0742</v>
      </c>
    </row>
    <row r="104" spans="1:6">
      <c r="A104" s="57" t="s">
        <v>327</v>
      </c>
      <c r="B104" s="57" t="s">
        <v>976</v>
      </c>
      <c r="C104" s="195">
        <f>新定额单价!C219</f>
        <v>0.09</v>
      </c>
      <c r="D104" s="57"/>
      <c r="E104" s="84">
        <f>F102+F101+F100+F89</f>
        <v>1098.32683637437</v>
      </c>
      <c r="F104" s="113">
        <f>E104*C104</f>
        <v>98.8494152736935</v>
      </c>
    </row>
    <row r="105" spans="1:6">
      <c r="A105" s="57"/>
      <c r="B105" s="57" t="s">
        <v>984</v>
      </c>
      <c r="C105" s="195"/>
      <c r="D105" s="57"/>
      <c r="E105" s="84"/>
      <c r="F105" s="113">
        <f>(F89+F100+F101+F102+F104)*取费表!H4</f>
        <v>35.915287549442</v>
      </c>
    </row>
    <row r="106" spans="1:6">
      <c r="A106" s="57"/>
      <c r="B106" s="57" t="s">
        <v>278</v>
      </c>
      <c r="C106" s="57"/>
      <c r="D106" s="57"/>
      <c r="E106" s="57"/>
      <c r="F106" s="113">
        <f>F104+F102+F101+F100+F89+F105</f>
        <v>1233.09153919751</v>
      </c>
    </row>
    <row r="107" ht="18.75" spans="1:6">
      <c r="A107" s="176" t="s">
        <v>1753</v>
      </c>
      <c r="B107" s="176"/>
      <c r="C107" s="176"/>
      <c r="D107" s="176"/>
      <c r="E107" s="176"/>
      <c r="F107" s="176"/>
    </row>
    <row r="108" spans="1:6">
      <c r="A108" s="189" t="s">
        <v>1762</v>
      </c>
      <c r="B108" s="189"/>
      <c r="C108" s="189"/>
      <c r="D108" s="189"/>
      <c r="E108" s="189"/>
      <c r="F108" s="189"/>
    </row>
    <row r="109" spans="1:6">
      <c r="A109" s="199" t="s">
        <v>1763</v>
      </c>
      <c r="B109" s="200"/>
      <c r="C109" s="168"/>
      <c r="D109" s="168"/>
      <c r="E109" s="191" t="s">
        <v>1159</v>
      </c>
      <c r="F109" s="191"/>
    </row>
    <row r="110" spans="1:6">
      <c r="A110" s="197" t="s">
        <v>1764</v>
      </c>
      <c r="B110" s="192"/>
      <c r="C110" s="201"/>
      <c r="D110" s="201"/>
      <c r="E110" s="201"/>
      <c r="F110" s="202"/>
    </row>
    <row r="111" spans="1:6">
      <c r="A111" s="57" t="s">
        <v>354</v>
      </c>
      <c r="B111" s="57" t="s">
        <v>956</v>
      </c>
      <c r="C111" s="57" t="s">
        <v>52</v>
      </c>
      <c r="D111" s="57" t="s">
        <v>855</v>
      </c>
      <c r="E111" s="57" t="s">
        <v>53</v>
      </c>
      <c r="F111" s="57" t="s">
        <v>306</v>
      </c>
    </row>
    <row r="112" spans="1:6">
      <c r="A112" s="57" t="s">
        <v>959</v>
      </c>
      <c r="B112" s="57" t="s">
        <v>960</v>
      </c>
      <c r="C112" s="57"/>
      <c r="D112" s="57"/>
      <c r="E112" s="57"/>
      <c r="F112" s="84">
        <f>F113+F122</f>
        <v>1441.06066759232</v>
      </c>
    </row>
    <row r="113" spans="1:6">
      <c r="A113" s="57" t="s">
        <v>59</v>
      </c>
      <c r="B113" s="57" t="s">
        <v>957</v>
      </c>
      <c r="C113" s="57"/>
      <c r="D113" s="57"/>
      <c r="E113" s="57"/>
      <c r="F113" s="84">
        <f>F114+F117+F118</f>
        <v>1375.05788892397</v>
      </c>
    </row>
    <row r="114" spans="1:6">
      <c r="A114" s="57">
        <v>1</v>
      </c>
      <c r="B114" s="57" t="s">
        <v>964</v>
      </c>
      <c r="C114" s="57" t="s">
        <v>965</v>
      </c>
      <c r="D114" s="113"/>
      <c r="E114" s="113">
        <f>SUM(E115:E116)</f>
        <v>18.2</v>
      </c>
      <c r="F114" s="113">
        <f>SUM(F115:F116)</f>
        <v>105.014</v>
      </c>
    </row>
    <row r="115" spans="1:6">
      <c r="A115" s="57"/>
      <c r="B115" s="57" t="s">
        <v>966</v>
      </c>
      <c r="C115" s="57" t="s">
        <v>965</v>
      </c>
      <c r="D115" s="113">
        <f>建筑工程单价分析表!D92</f>
        <v>8.1</v>
      </c>
      <c r="E115" s="113">
        <v>0</v>
      </c>
      <c r="F115" s="113">
        <f t="shared" ref="F115:F121" si="6">D115*E115</f>
        <v>0</v>
      </c>
    </row>
    <row r="116" spans="1:6">
      <c r="A116" s="57"/>
      <c r="B116" s="57" t="s">
        <v>968</v>
      </c>
      <c r="C116" s="57" t="s">
        <v>965</v>
      </c>
      <c r="D116" s="113">
        <f>建筑工程单价分析表!D93</f>
        <v>5.77</v>
      </c>
      <c r="E116" s="113">
        <v>18.2</v>
      </c>
      <c r="F116" s="113">
        <f t="shared" si="6"/>
        <v>105.014</v>
      </c>
    </row>
    <row r="117" spans="1:6">
      <c r="A117" s="57">
        <v>2</v>
      </c>
      <c r="B117" s="57" t="s">
        <v>969</v>
      </c>
      <c r="C117" s="59" t="s">
        <v>423</v>
      </c>
      <c r="D117" s="84">
        <f>F114+F118</f>
        <v>1348.09596953331</v>
      </c>
      <c r="E117" s="57">
        <v>2</v>
      </c>
      <c r="F117" s="113">
        <f>D117*E117/100</f>
        <v>26.9619193906661</v>
      </c>
    </row>
    <row r="118" spans="1:6">
      <c r="A118" s="57">
        <v>3</v>
      </c>
      <c r="B118" s="57" t="s">
        <v>1171</v>
      </c>
      <c r="C118" s="57"/>
      <c r="D118" s="57"/>
      <c r="E118" s="57"/>
      <c r="F118" s="203">
        <f>SUM(F119:F121)</f>
        <v>1243.08196953331</v>
      </c>
    </row>
    <row r="119" spans="1:6">
      <c r="A119" s="57"/>
      <c r="B119" s="57" t="s">
        <v>1208</v>
      </c>
      <c r="C119" s="57" t="s">
        <v>988</v>
      </c>
      <c r="D119" s="113">
        <f>建筑工程单价分析表!D96</f>
        <v>118.94887754288</v>
      </c>
      <c r="E119" s="88">
        <v>2.74</v>
      </c>
      <c r="F119" s="113">
        <f t="shared" si="6"/>
        <v>325.919924467491</v>
      </c>
    </row>
    <row r="120" spans="1:6">
      <c r="A120" s="57"/>
      <c r="B120" s="57" t="s">
        <v>1765</v>
      </c>
      <c r="C120" s="57" t="s">
        <v>988</v>
      </c>
      <c r="D120" s="113">
        <f>台时!E21</f>
        <v>89.4423446350219</v>
      </c>
      <c r="E120" s="88">
        <v>1.37</v>
      </c>
      <c r="F120" s="113">
        <f t="shared" si="6"/>
        <v>122.53601214998</v>
      </c>
    </row>
    <row r="121" spans="1:6">
      <c r="A121" s="57"/>
      <c r="B121" s="57" t="s">
        <v>1210</v>
      </c>
      <c r="C121" s="57" t="s">
        <v>988</v>
      </c>
      <c r="D121" s="113">
        <f>建筑工程单价分析表!D98</f>
        <v>73.10267092142</v>
      </c>
      <c r="E121" s="88">
        <v>10.87</v>
      </c>
      <c r="F121" s="113">
        <f t="shared" si="6"/>
        <v>794.626032915835</v>
      </c>
    </row>
    <row r="122" spans="1:6">
      <c r="A122" s="57" t="s">
        <v>70</v>
      </c>
      <c r="B122" s="57" t="s">
        <v>977</v>
      </c>
      <c r="C122" s="194">
        <f>取费表!$C$4</f>
        <v>0.048</v>
      </c>
      <c r="D122" s="84"/>
      <c r="E122" s="84">
        <f>F113</f>
        <v>1375.05788892397</v>
      </c>
      <c r="F122" s="113">
        <f t="shared" ref="F122:F124" si="7">E122*C122</f>
        <v>66.0027786683507</v>
      </c>
    </row>
    <row r="123" spans="1:6">
      <c r="A123" s="57" t="s">
        <v>979</v>
      </c>
      <c r="B123" s="57" t="s">
        <v>973</v>
      </c>
      <c r="C123" s="194">
        <f>取费表!$E$4</f>
        <v>0.04</v>
      </c>
      <c r="D123" s="84"/>
      <c r="E123" s="88">
        <f>F112</f>
        <v>1441.06066759232</v>
      </c>
      <c r="F123" s="113">
        <f t="shared" si="7"/>
        <v>57.6424267036929</v>
      </c>
    </row>
    <row r="124" spans="1:6">
      <c r="A124" s="57" t="s">
        <v>162</v>
      </c>
      <c r="B124" s="57" t="s">
        <v>980</v>
      </c>
      <c r="C124" s="194">
        <f>取费表!$F$4</f>
        <v>0.05</v>
      </c>
      <c r="D124" s="84"/>
      <c r="E124" s="88">
        <f>F123+F112</f>
        <v>1498.70309429602</v>
      </c>
      <c r="F124" s="113">
        <f t="shared" si="7"/>
        <v>74.9351547148008</v>
      </c>
    </row>
    <row r="125" spans="1:6">
      <c r="A125" s="57" t="s">
        <v>214</v>
      </c>
      <c r="B125" s="57" t="s">
        <v>1173</v>
      </c>
      <c r="C125" s="59"/>
      <c r="D125" s="84"/>
      <c r="E125" s="88"/>
      <c r="F125" s="113">
        <f>F126</f>
        <v>798.51744</v>
      </c>
    </row>
    <row r="126" spans="1:6">
      <c r="A126" s="57"/>
      <c r="B126" s="57" t="s">
        <v>1174</v>
      </c>
      <c r="C126" s="59" t="s">
        <v>184</v>
      </c>
      <c r="D126" s="84">
        <f>材料预算价!K12-材料预算价!L12</f>
        <v>4.86</v>
      </c>
      <c r="E126" s="88">
        <f>E121*台时!$G$182+建筑工程单价分析表!E120*台时!E14+建筑工程单价分析表!E119*台时!$C$14</f>
        <v>164.304</v>
      </c>
      <c r="F126" s="113">
        <f>E126*D126</f>
        <v>798.51744</v>
      </c>
    </row>
    <row r="127" spans="1:6">
      <c r="A127" s="57" t="s">
        <v>327</v>
      </c>
      <c r="B127" s="57" t="s">
        <v>976</v>
      </c>
      <c r="C127" s="195">
        <f>建筑工程单价分析表!C104</f>
        <v>0.09</v>
      </c>
      <c r="D127" s="57"/>
      <c r="E127" s="204">
        <f>F125+F124+F123+F112</f>
        <v>2372.15568901082</v>
      </c>
      <c r="F127" s="113">
        <f>E127*C127</f>
        <v>213.494012010974</v>
      </c>
    </row>
    <row r="128" spans="1:6">
      <c r="A128" s="57"/>
      <c r="B128" s="57" t="s">
        <v>984</v>
      </c>
      <c r="C128" s="195"/>
      <c r="D128" s="57"/>
      <c r="E128" s="204"/>
      <c r="F128" s="113">
        <f>(F112+F123+F124+F125+F127)*取费表!H4</f>
        <v>77.5694910306537</v>
      </c>
    </row>
    <row r="129" spans="1:6">
      <c r="A129" s="57"/>
      <c r="B129" s="57" t="s">
        <v>278</v>
      </c>
      <c r="C129" s="57"/>
      <c r="D129" s="57"/>
      <c r="E129" s="117"/>
      <c r="F129" s="113">
        <f>F127+F125+F124+F123+F112+F128</f>
        <v>2663.21919205244</v>
      </c>
    </row>
    <row r="130" spans="1:6">
      <c r="A130" s="57"/>
      <c r="B130" s="57"/>
      <c r="C130" s="57"/>
      <c r="D130" s="57"/>
      <c r="E130" s="57"/>
      <c r="F130" s="113"/>
    </row>
    <row r="131" ht="18.75" spans="1:6">
      <c r="A131" s="176" t="s">
        <v>1753</v>
      </c>
      <c r="B131" s="176"/>
      <c r="C131" s="176"/>
      <c r="D131" s="176"/>
      <c r="E131" s="176"/>
      <c r="F131" s="176"/>
    </row>
    <row r="132" spans="1:6">
      <c r="A132" s="205" t="s">
        <v>1766</v>
      </c>
      <c r="B132" s="205"/>
      <c r="C132" s="205"/>
      <c r="D132" s="205"/>
      <c r="E132" s="205"/>
      <c r="F132" s="205"/>
    </row>
    <row r="133" spans="1:6">
      <c r="A133" s="190" t="s">
        <v>1767</v>
      </c>
      <c r="B133" s="191"/>
      <c r="C133" s="168"/>
      <c r="D133" s="168"/>
      <c r="E133" s="191" t="s">
        <v>1159</v>
      </c>
      <c r="F133" s="191"/>
    </row>
    <row r="134" spans="1:6">
      <c r="A134" s="197" t="s">
        <v>1218</v>
      </c>
      <c r="B134" s="192"/>
      <c r="C134" s="201"/>
      <c r="D134" s="201"/>
      <c r="E134" s="201"/>
      <c r="F134" s="202"/>
    </row>
    <row r="135" spans="1:6">
      <c r="A135" s="57" t="s">
        <v>354</v>
      </c>
      <c r="B135" s="57" t="s">
        <v>956</v>
      </c>
      <c r="C135" s="57" t="s">
        <v>52</v>
      </c>
      <c r="D135" s="57" t="s">
        <v>855</v>
      </c>
      <c r="E135" s="57" t="s">
        <v>53</v>
      </c>
      <c r="F135" s="57" t="s">
        <v>306</v>
      </c>
    </row>
    <row r="136" spans="1:6">
      <c r="A136" s="57" t="s">
        <v>959</v>
      </c>
      <c r="B136" s="57" t="s">
        <v>960</v>
      </c>
      <c r="C136" s="57"/>
      <c r="D136" s="57"/>
      <c r="E136" s="57"/>
      <c r="F136" s="84">
        <f>F137+F150</f>
        <v>391.712515289241</v>
      </c>
    </row>
    <row r="137" spans="1:6">
      <c r="A137" s="57" t="s">
        <v>59</v>
      </c>
      <c r="B137" s="57" t="s">
        <v>957</v>
      </c>
      <c r="C137" s="57"/>
      <c r="D137" s="57"/>
      <c r="E137" s="57"/>
      <c r="F137" s="84">
        <f>F138+F141+F144</f>
        <v>373.771484054619</v>
      </c>
    </row>
    <row r="138" spans="1:6">
      <c r="A138" s="57">
        <v>1</v>
      </c>
      <c r="B138" s="57" t="s">
        <v>964</v>
      </c>
      <c r="C138" s="57" t="s">
        <v>965</v>
      </c>
      <c r="D138" s="113"/>
      <c r="E138" s="113">
        <f>SUM(E139:E140)</f>
        <v>20</v>
      </c>
      <c r="F138" s="84">
        <f>SUM(F139:F140)</f>
        <v>115.4</v>
      </c>
    </row>
    <row r="139" spans="1:6">
      <c r="A139" s="57"/>
      <c r="B139" s="57" t="s">
        <v>966</v>
      </c>
      <c r="C139" s="57" t="s">
        <v>965</v>
      </c>
      <c r="D139" s="113">
        <f>材料预算价!K20</f>
        <v>8.1</v>
      </c>
      <c r="E139" s="113">
        <v>0</v>
      </c>
      <c r="F139" s="84">
        <f t="shared" ref="F139:F142" si="8">D139*E139</f>
        <v>0</v>
      </c>
    </row>
    <row r="140" spans="1:6">
      <c r="A140" s="57"/>
      <c r="B140" s="57" t="s">
        <v>968</v>
      </c>
      <c r="C140" s="57" t="s">
        <v>965</v>
      </c>
      <c r="D140" s="113">
        <f>材料预算价!K19</f>
        <v>5.77</v>
      </c>
      <c r="E140" s="113">
        <f>20</f>
        <v>20</v>
      </c>
      <c r="F140" s="84">
        <f t="shared" si="8"/>
        <v>115.4</v>
      </c>
    </row>
    <row r="141" spans="1:6">
      <c r="A141" s="57">
        <v>2</v>
      </c>
      <c r="B141" s="57" t="s">
        <v>1219</v>
      </c>
      <c r="C141" s="59"/>
      <c r="D141" s="206"/>
      <c r="E141" s="206"/>
      <c r="F141" s="207">
        <f>F142+F143</f>
        <v>33.9792258231472</v>
      </c>
    </row>
    <row r="142" spans="1:6">
      <c r="A142" s="57"/>
      <c r="B142" s="57" t="s">
        <v>1022</v>
      </c>
      <c r="C142" s="59" t="s">
        <v>1226</v>
      </c>
      <c r="D142" s="208"/>
      <c r="E142" s="208">
        <v>8</v>
      </c>
      <c r="F142" s="207">
        <f t="shared" si="8"/>
        <v>0</v>
      </c>
    </row>
    <row r="143" spans="1:6">
      <c r="A143" s="57"/>
      <c r="B143" s="57" t="s">
        <v>969</v>
      </c>
      <c r="C143" s="59" t="s">
        <v>423</v>
      </c>
      <c r="D143" s="209">
        <f>F138+F144</f>
        <v>339.792258231472</v>
      </c>
      <c r="E143" s="206">
        <v>10</v>
      </c>
      <c r="F143" s="207">
        <f>E143*D143/100</f>
        <v>33.9792258231472</v>
      </c>
    </row>
    <row r="144" spans="1:6">
      <c r="A144" s="57">
        <v>3</v>
      </c>
      <c r="B144" s="57" t="s">
        <v>1171</v>
      </c>
      <c r="C144" s="57"/>
      <c r="D144" s="206"/>
      <c r="E144" s="206"/>
      <c r="F144" s="210">
        <f>SUM(F145:F149)</f>
        <v>224.392258231472</v>
      </c>
    </row>
    <row r="145" spans="1:6">
      <c r="A145" s="57"/>
      <c r="B145" s="57" t="s">
        <v>1220</v>
      </c>
      <c r="C145" s="57" t="s">
        <v>988</v>
      </c>
      <c r="D145" s="207">
        <f>台时!G21</f>
        <v>68.4126713203031</v>
      </c>
      <c r="E145" s="206">
        <v>1.89</v>
      </c>
      <c r="F145" s="208">
        <f t="shared" ref="F145:F148" si="9">D145*E145</f>
        <v>129.299948795373</v>
      </c>
    </row>
    <row r="146" spans="1:6">
      <c r="A146" s="57"/>
      <c r="B146" s="57" t="s">
        <v>1221</v>
      </c>
      <c r="C146" s="57" t="s">
        <v>988</v>
      </c>
      <c r="D146" s="208">
        <f>台时!E21</f>
        <v>89.4423446350219</v>
      </c>
      <c r="E146" s="206">
        <v>0.5</v>
      </c>
      <c r="F146" s="208">
        <f t="shared" si="9"/>
        <v>44.7211723175109</v>
      </c>
    </row>
    <row r="147" spans="1:6">
      <c r="A147" s="57"/>
      <c r="B147" s="57" t="s">
        <v>1222</v>
      </c>
      <c r="C147" s="57" t="s">
        <v>988</v>
      </c>
      <c r="D147" s="208">
        <f>台时!H21</f>
        <v>18.5494315915437</v>
      </c>
      <c r="E147" s="206">
        <v>1</v>
      </c>
      <c r="F147" s="208">
        <f t="shared" si="9"/>
        <v>18.5494315915437</v>
      </c>
    </row>
    <row r="148" spans="1:6">
      <c r="A148" s="57"/>
      <c r="B148" s="57" t="s">
        <v>1228</v>
      </c>
      <c r="C148" s="57" t="s">
        <v>988</v>
      </c>
      <c r="D148" s="208">
        <v>59.2</v>
      </c>
      <c r="E148" s="206">
        <v>0.5</v>
      </c>
      <c r="F148" s="208">
        <f t="shared" si="9"/>
        <v>29.6</v>
      </c>
    </row>
    <row r="149" spans="1:6">
      <c r="A149" s="57"/>
      <c r="B149" s="57" t="s">
        <v>1223</v>
      </c>
      <c r="C149" s="59" t="s">
        <v>423</v>
      </c>
      <c r="D149" s="211">
        <f>SUM(F145:F148)</f>
        <v>222.170552704428</v>
      </c>
      <c r="E149" s="206">
        <v>1</v>
      </c>
      <c r="F149" s="208">
        <f>D149*E149/100</f>
        <v>2.22170552704427</v>
      </c>
    </row>
    <row r="150" spans="1:6">
      <c r="A150" s="57" t="s">
        <v>70</v>
      </c>
      <c r="B150" s="57" t="s">
        <v>977</v>
      </c>
      <c r="C150" s="194">
        <f>取费表!$C$4</f>
        <v>0.048</v>
      </c>
      <c r="D150" s="211"/>
      <c r="E150" s="207">
        <f>F137</f>
        <v>373.771484054619</v>
      </c>
      <c r="F150" s="208">
        <f>E150*C150</f>
        <v>17.9410312346217</v>
      </c>
    </row>
    <row r="151" spans="1:6">
      <c r="A151" s="57" t="s">
        <v>979</v>
      </c>
      <c r="B151" s="57" t="s">
        <v>973</v>
      </c>
      <c r="C151" s="194">
        <f>取费表!$E$4</f>
        <v>0.04</v>
      </c>
      <c r="D151" s="211"/>
      <c r="E151" s="207">
        <f>F136</f>
        <v>391.712515289241</v>
      </c>
      <c r="F151" s="208">
        <f>E151*C151</f>
        <v>15.6685006115696</v>
      </c>
    </row>
    <row r="152" spans="1:6">
      <c r="A152" s="57" t="s">
        <v>162</v>
      </c>
      <c r="B152" s="57" t="s">
        <v>980</v>
      </c>
      <c r="C152" s="194">
        <f>取费表!$F$4</f>
        <v>0.05</v>
      </c>
      <c r="D152" s="211"/>
      <c r="E152" s="207">
        <f>F151+F136</f>
        <v>407.38101590081</v>
      </c>
      <c r="F152" s="208">
        <f>E152*C152</f>
        <v>20.3690507950405</v>
      </c>
    </row>
    <row r="153" spans="1:6">
      <c r="A153" s="57" t="s">
        <v>214</v>
      </c>
      <c r="B153" s="57" t="s">
        <v>1173</v>
      </c>
      <c r="C153" s="59"/>
      <c r="D153" s="211"/>
      <c r="E153" s="207"/>
      <c r="F153" s="208">
        <f>F154</f>
        <v>134.67546</v>
      </c>
    </row>
    <row r="154" spans="1:6">
      <c r="A154" s="57"/>
      <c r="B154" s="57" t="s">
        <v>1174</v>
      </c>
      <c r="C154" s="59" t="s">
        <v>184</v>
      </c>
      <c r="D154" s="207">
        <f>材料预算价!K12-材料预算价!L12</f>
        <v>4.86</v>
      </c>
      <c r="E154" s="207">
        <f>E145*台时!G14+建筑工程单价分析表!E146*台时!E14+E148*7.4</f>
        <v>27.711</v>
      </c>
      <c r="F154" s="208">
        <f>E154*D154</f>
        <v>134.67546</v>
      </c>
    </row>
    <row r="155" spans="1:6">
      <c r="A155" s="57" t="s">
        <v>327</v>
      </c>
      <c r="B155" s="57" t="s">
        <v>976</v>
      </c>
      <c r="C155" s="195">
        <f>建筑工程单价分析表!C127</f>
        <v>0.09</v>
      </c>
      <c r="D155" s="207"/>
      <c r="E155" s="212">
        <f>F153+F152+F151+F136</f>
        <v>562.425526695851</v>
      </c>
      <c r="F155" s="208">
        <f>E155*C155</f>
        <v>50.6182974026266</v>
      </c>
    </row>
    <row r="156" spans="1:6">
      <c r="A156" s="57"/>
      <c r="B156" s="57" t="s">
        <v>984</v>
      </c>
      <c r="C156" s="195"/>
      <c r="D156" s="207"/>
      <c r="E156" s="212"/>
      <c r="F156" s="208">
        <f>(F136+F151+F152+F153+F155)*取费表!H4</f>
        <v>18.3913147229543</v>
      </c>
    </row>
    <row r="157" spans="1:6">
      <c r="A157" s="57"/>
      <c r="B157" s="57" t="s">
        <v>278</v>
      </c>
      <c r="C157" s="57"/>
      <c r="D157" s="57"/>
      <c r="E157" s="57"/>
      <c r="F157" s="113">
        <f>F155+F153+F152+F151+F136+F156</f>
        <v>631.435138821432</v>
      </c>
    </row>
    <row r="158" ht="18" customHeight="1" spans="1:6">
      <c r="A158" s="176" t="s">
        <v>1753</v>
      </c>
      <c r="B158" s="176"/>
      <c r="C158" s="176"/>
      <c r="D158" s="176"/>
      <c r="E158" s="176"/>
      <c r="F158" s="176"/>
    </row>
    <row r="159" spans="1:6">
      <c r="A159" s="205" t="s">
        <v>1768</v>
      </c>
      <c r="B159" s="205"/>
      <c r="C159" s="205"/>
      <c r="D159" s="205"/>
      <c r="E159" s="205"/>
      <c r="F159" s="205"/>
    </row>
    <row r="160" spans="1:6">
      <c r="A160" s="190" t="s">
        <v>1769</v>
      </c>
      <c r="B160" s="191"/>
      <c r="C160" s="168"/>
      <c r="D160" s="168"/>
      <c r="E160" s="191" t="s">
        <v>1159</v>
      </c>
      <c r="F160" s="191"/>
    </row>
    <row r="161" spans="1:6">
      <c r="A161" s="197" t="s">
        <v>1770</v>
      </c>
      <c r="B161" s="192"/>
      <c r="C161" s="201"/>
      <c r="D161" s="201"/>
      <c r="E161" s="201"/>
      <c r="F161" s="202"/>
    </row>
    <row r="162" spans="1:6">
      <c r="A162" s="57" t="s">
        <v>354</v>
      </c>
      <c r="B162" s="57" t="s">
        <v>956</v>
      </c>
      <c r="C162" s="57" t="s">
        <v>52</v>
      </c>
      <c r="D162" s="57" t="s">
        <v>855</v>
      </c>
      <c r="E162" s="57" t="s">
        <v>53</v>
      </c>
      <c r="F162" s="57" t="s">
        <v>306</v>
      </c>
    </row>
    <row r="163" spans="1:6">
      <c r="A163" s="57" t="s">
        <v>959</v>
      </c>
      <c r="B163" s="57" t="s">
        <v>960</v>
      </c>
      <c r="C163" s="57"/>
      <c r="D163" s="57"/>
      <c r="E163" s="57"/>
      <c r="F163" s="84">
        <f>F164+F171+F172</f>
        <v>1772.41407633602</v>
      </c>
    </row>
    <row r="164" spans="1:6">
      <c r="A164" s="57" t="s">
        <v>59</v>
      </c>
      <c r="B164" s="57" t="s">
        <v>957</v>
      </c>
      <c r="C164" s="57"/>
      <c r="D164" s="57"/>
      <c r="E164" s="57"/>
      <c r="F164" s="84">
        <f>F165+F168+F170</f>
        <v>1691.23480566414</v>
      </c>
    </row>
    <row r="165" spans="1:6">
      <c r="A165" s="57">
        <v>1</v>
      </c>
      <c r="B165" s="57" t="s">
        <v>964</v>
      </c>
      <c r="C165" s="57" t="s">
        <v>965</v>
      </c>
      <c r="D165" s="113"/>
      <c r="E165" s="113">
        <f>SUM(E166:E167)</f>
        <v>231</v>
      </c>
      <c r="F165" s="113">
        <f>SUM(F166:F167)</f>
        <v>1343.588</v>
      </c>
    </row>
    <row r="166" spans="1:6">
      <c r="A166" s="57"/>
      <c r="B166" s="57" t="s">
        <v>966</v>
      </c>
      <c r="C166" s="57" t="s">
        <v>965</v>
      </c>
      <c r="D166" s="113">
        <f>建筑工程单价分析表!D139</f>
        <v>8.1</v>
      </c>
      <c r="E166" s="113">
        <v>4.6</v>
      </c>
      <c r="F166" s="113">
        <f t="shared" ref="F166:F169" si="10">D166*E166</f>
        <v>37.26</v>
      </c>
    </row>
    <row r="167" spans="1:6">
      <c r="A167" s="57"/>
      <c r="B167" s="57" t="s">
        <v>968</v>
      </c>
      <c r="C167" s="57" t="s">
        <v>965</v>
      </c>
      <c r="D167" s="113">
        <f>建筑工程单价分析表!D140</f>
        <v>5.77</v>
      </c>
      <c r="E167" s="113">
        <v>226.4</v>
      </c>
      <c r="F167" s="113">
        <f t="shared" si="10"/>
        <v>1306.328</v>
      </c>
    </row>
    <row r="168" spans="1:6">
      <c r="A168" s="57">
        <v>2</v>
      </c>
      <c r="B168" s="57" t="s">
        <v>1171</v>
      </c>
      <c r="C168" s="57"/>
      <c r="D168" s="57"/>
      <c r="E168" s="57"/>
      <c r="F168" s="113">
        <f>SUM(F169:F169)</f>
        <v>267.111814918229</v>
      </c>
    </row>
    <row r="169" spans="1:6">
      <c r="A169" s="57"/>
      <c r="B169" s="57" t="s">
        <v>1545</v>
      </c>
      <c r="C169" s="57" t="s">
        <v>988</v>
      </c>
      <c r="D169" s="113">
        <f>台时!H21</f>
        <v>18.5494315915437</v>
      </c>
      <c r="E169" s="57">
        <v>14.4</v>
      </c>
      <c r="F169" s="113">
        <f t="shared" si="10"/>
        <v>267.111814918229</v>
      </c>
    </row>
    <row r="170" spans="1:6">
      <c r="A170" s="57">
        <v>3</v>
      </c>
      <c r="B170" s="57" t="s">
        <v>969</v>
      </c>
      <c r="C170" s="59" t="s">
        <v>423</v>
      </c>
      <c r="D170" s="84">
        <f>F165+F168</f>
        <v>1610.69981491823</v>
      </c>
      <c r="E170" s="57">
        <v>5</v>
      </c>
      <c r="F170" s="113">
        <f>D170*E170/100</f>
        <v>80.5349907459115</v>
      </c>
    </row>
    <row r="171" spans="1:6">
      <c r="A171" s="57" t="s">
        <v>70</v>
      </c>
      <c r="B171" s="57" t="s">
        <v>977</v>
      </c>
      <c r="C171" s="194">
        <f>取费表!$C$4</f>
        <v>0.048</v>
      </c>
      <c r="D171" s="84"/>
      <c r="E171" s="84">
        <f>F164</f>
        <v>1691.23480566414</v>
      </c>
      <c r="F171" s="113">
        <f t="shared" ref="F171:F175" si="11">E171*C171</f>
        <v>81.1792706718788</v>
      </c>
    </row>
    <row r="172" spans="1:6">
      <c r="A172" s="57"/>
      <c r="B172" s="57"/>
      <c r="C172" s="194"/>
      <c r="D172" s="84"/>
      <c r="E172" s="84"/>
      <c r="F172" s="113"/>
    </row>
    <row r="173" spans="1:6">
      <c r="A173" s="57" t="s">
        <v>979</v>
      </c>
      <c r="B173" s="57" t="s">
        <v>973</v>
      </c>
      <c r="C173" s="194">
        <f>取费表!$E$4</f>
        <v>0.04</v>
      </c>
      <c r="D173" s="84"/>
      <c r="E173" s="84">
        <f>F163</f>
        <v>1772.41407633602</v>
      </c>
      <c r="F173" s="113">
        <f t="shared" si="11"/>
        <v>70.8965630534408</v>
      </c>
    </row>
    <row r="174" spans="1:6">
      <c r="A174" s="57" t="s">
        <v>162</v>
      </c>
      <c r="B174" s="57" t="s">
        <v>980</v>
      </c>
      <c r="C174" s="194">
        <f>取费表!$F$4</f>
        <v>0.05</v>
      </c>
      <c r="D174" s="84"/>
      <c r="E174" s="84">
        <f>F173+F163</f>
        <v>1843.31063938946</v>
      </c>
      <c r="F174" s="113">
        <f t="shared" si="11"/>
        <v>92.165531969473</v>
      </c>
    </row>
    <row r="175" spans="1:6">
      <c r="A175" s="57" t="s">
        <v>214</v>
      </c>
      <c r="B175" s="57" t="s">
        <v>976</v>
      </c>
      <c r="C175" s="195">
        <f>新定额单价!C345</f>
        <v>0.09</v>
      </c>
      <c r="D175" s="57"/>
      <c r="E175" s="84">
        <f>F174+F173+F163</f>
        <v>1935.47617135893</v>
      </c>
      <c r="F175" s="113">
        <f t="shared" si="11"/>
        <v>174.192855422304</v>
      </c>
    </row>
    <row r="176" spans="1:6">
      <c r="A176" s="57"/>
      <c r="B176" s="57" t="s">
        <v>984</v>
      </c>
      <c r="C176" s="195"/>
      <c r="D176" s="57"/>
      <c r="E176" s="84"/>
      <c r="F176" s="113">
        <f>(F163+F173+F174+F175)*取费表!H4</f>
        <v>63.2900708034371</v>
      </c>
    </row>
    <row r="177" spans="1:6">
      <c r="A177" s="57"/>
      <c r="B177" s="57" t="s">
        <v>278</v>
      </c>
      <c r="C177" s="57"/>
      <c r="D177" s="57"/>
      <c r="E177" s="57"/>
      <c r="F177" s="113">
        <f>F175+F174+F173+F163+F176</f>
        <v>2172.95909758467</v>
      </c>
    </row>
    <row r="178" ht="20" customHeight="1" spans="1:6">
      <c r="A178" s="176" t="s">
        <v>1753</v>
      </c>
      <c r="B178" s="176"/>
      <c r="C178" s="176"/>
      <c r="D178" s="176"/>
      <c r="E178" s="176"/>
      <c r="F178" s="176"/>
    </row>
    <row r="179" ht="20" customHeight="1" spans="1:6">
      <c r="A179" s="205" t="s">
        <v>1771</v>
      </c>
      <c r="B179" s="205"/>
      <c r="C179" s="205"/>
      <c r="D179" s="205"/>
      <c r="E179" s="205"/>
      <c r="F179" s="205"/>
    </row>
    <row r="180" ht="20" customHeight="1" spans="1:6">
      <c r="A180" s="190" t="s">
        <v>1772</v>
      </c>
      <c r="B180" s="191"/>
      <c r="C180" s="168"/>
      <c r="D180" s="168"/>
      <c r="E180" s="191" t="s">
        <v>1159</v>
      </c>
      <c r="F180" s="191"/>
    </row>
    <row r="181" ht="20" customHeight="1" spans="1:6">
      <c r="A181" s="197" t="s">
        <v>1184</v>
      </c>
      <c r="B181" s="192"/>
      <c r="C181" s="201"/>
      <c r="D181" s="201"/>
      <c r="E181" s="201"/>
      <c r="F181" s="202"/>
    </row>
    <row r="182" ht="20" customHeight="1" spans="1:6">
      <c r="A182" s="57" t="s">
        <v>354</v>
      </c>
      <c r="B182" s="57" t="s">
        <v>956</v>
      </c>
      <c r="C182" s="57" t="s">
        <v>52</v>
      </c>
      <c r="D182" s="57" t="s">
        <v>855</v>
      </c>
      <c r="E182" s="57" t="s">
        <v>53</v>
      </c>
      <c r="F182" s="57" t="s">
        <v>306</v>
      </c>
    </row>
    <row r="183" ht="20" customHeight="1" spans="1:6">
      <c r="A183" s="57" t="s">
        <v>959</v>
      </c>
      <c r="B183" s="57" t="s">
        <v>960</v>
      </c>
      <c r="C183" s="57"/>
      <c r="D183" s="57"/>
      <c r="E183" s="57"/>
      <c r="F183" s="84">
        <f>F184+F198+F199</f>
        <v>35244.9184288863</v>
      </c>
    </row>
    <row r="184" ht="20" customHeight="1" spans="1:6">
      <c r="A184" s="57" t="s">
        <v>59</v>
      </c>
      <c r="B184" s="57" t="s">
        <v>957</v>
      </c>
      <c r="C184" s="57"/>
      <c r="D184" s="57"/>
      <c r="E184" s="57"/>
      <c r="F184" s="196">
        <f>F185+F188+F192</f>
        <v>33630.6473558075</v>
      </c>
    </row>
    <row r="185" ht="20" customHeight="1" spans="1:6">
      <c r="A185" s="57">
        <v>1</v>
      </c>
      <c r="B185" s="57" t="s">
        <v>964</v>
      </c>
      <c r="C185" s="57" t="s">
        <v>965</v>
      </c>
      <c r="D185" s="113"/>
      <c r="E185" s="92">
        <f>SUM(E186:E187)</f>
        <v>2031.85</v>
      </c>
      <c r="F185" s="113">
        <f>SUM(F186:F187)</f>
        <v>14683.8531</v>
      </c>
    </row>
    <row r="186" ht="20" customHeight="1" spans="1:6">
      <c r="A186" s="57"/>
      <c r="B186" s="57" t="s">
        <v>966</v>
      </c>
      <c r="C186" s="57" t="s">
        <v>965</v>
      </c>
      <c r="D186" s="113">
        <f>新定额单价!D566</f>
        <v>8.1</v>
      </c>
      <c r="E186" s="92">
        <v>1270.42</v>
      </c>
      <c r="F186" s="113">
        <f t="shared" ref="F186:F190" si="12">D186*E186</f>
        <v>10290.402</v>
      </c>
    </row>
    <row r="187" ht="20" customHeight="1" spans="1:6">
      <c r="A187" s="57"/>
      <c r="B187" s="57" t="s">
        <v>968</v>
      </c>
      <c r="C187" s="57" t="s">
        <v>965</v>
      </c>
      <c r="D187" s="113">
        <f>新定额单价!D567</f>
        <v>5.77</v>
      </c>
      <c r="E187" s="92">
        <v>761.43</v>
      </c>
      <c r="F187" s="113">
        <f t="shared" si="12"/>
        <v>4393.4511</v>
      </c>
    </row>
    <row r="188" ht="20" customHeight="1" spans="1:6">
      <c r="A188" s="57">
        <v>2</v>
      </c>
      <c r="B188" s="57" t="s">
        <v>1219</v>
      </c>
      <c r="C188" s="57"/>
      <c r="D188" s="57"/>
      <c r="E188" s="57"/>
      <c r="F188" s="203">
        <f>SUM(F189:F191)</f>
        <v>13200.09660207</v>
      </c>
    </row>
    <row r="189" ht="20" customHeight="1" spans="1:6">
      <c r="A189" s="57"/>
      <c r="B189" s="57" t="s">
        <v>1111</v>
      </c>
      <c r="C189" s="57" t="s">
        <v>1188</v>
      </c>
      <c r="D189" s="57">
        <f>材料预算价!L9</f>
        <v>70</v>
      </c>
      <c r="E189" s="57">
        <v>111.2</v>
      </c>
      <c r="F189" s="113">
        <f t="shared" si="12"/>
        <v>7784</v>
      </c>
    </row>
    <row r="190" ht="20" customHeight="1" spans="1:6">
      <c r="A190" s="57"/>
      <c r="B190" s="57" t="s">
        <v>1255</v>
      </c>
      <c r="C190" s="57" t="s">
        <v>1188</v>
      </c>
      <c r="D190" s="113">
        <f>配合比!M14</f>
        <v>135.62339</v>
      </c>
      <c r="E190" s="57">
        <v>37.1</v>
      </c>
      <c r="F190" s="113">
        <f t="shared" si="12"/>
        <v>5031.627769</v>
      </c>
    </row>
    <row r="191" ht="20" customHeight="1" spans="1:6">
      <c r="A191" s="57"/>
      <c r="B191" s="57" t="s">
        <v>1248</v>
      </c>
      <c r="C191" s="59" t="s">
        <v>423</v>
      </c>
      <c r="D191" s="84">
        <f>F189+F190</f>
        <v>12815.627769</v>
      </c>
      <c r="E191" s="57">
        <v>3</v>
      </c>
      <c r="F191" s="113">
        <f>D191*E191/100</f>
        <v>384.46883307</v>
      </c>
    </row>
    <row r="192" ht="20" customHeight="1" spans="1:6">
      <c r="A192" s="57">
        <v>3</v>
      </c>
      <c r="B192" s="57" t="s">
        <v>1171</v>
      </c>
      <c r="C192" s="57"/>
      <c r="D192" s="57"/>
      <c r="E192" s="57"/>
      <c r="F192" s="203">
        <f>SUM(F193:F197)</f>
        <v>5746.69765373754</v>
      </c>
    </row>
    <row r="193" ht="20" customHeight="1" spans="1:6">
      <c r="A193" s="57"/>
      <c r="B193" s="57" t="s">
        <v>1256</v>
      </c>
      <c r="C193" s="57" t="s">
        <v>988</v>
      </c>
      <c r="D193" s="113">
        <f>建筑工程单价分析表!D230</f>
        <v>15.3</v>
      </c>
      <c r="E193" s="57">
        <v>6.68</v>
      </c>
      <c r="F193" s="113">
        <f t="shared" ref="F193:F197" si="13">D193*E193</f>
        <v>102.204</v>
      </c>
    </row>
    <row r="194" ht="20" customHeight="1" spans="1:6">
      <c r="A194" s="57"/>
      <c r="B194" s="57" t="s">
        <v>1260</v>
      </c>
      <c r="C194" s="57" t="s">
        <v>988</v>
      </c>
      <c r="D194" s="113">
        <f>建筑工程单价分析表!D231</f>
        <v>119.591356601516</v>
      </c>
      <c r="E194" s="57">
        <v>5.56</v>
      </c>
      <c r="F194" s="113">
        <f t="shared" si="13"/>
        <v>664.927942704429</v>
      </c>
    </row>
    <row r="195" ht="20" customHeight="1" spans="1:6">
      <c r="A195" s="57"/>
      <c r="B195" s="57" t="s">
        <v>1261</v>
      </c>
      <c r="C195" s="57" t="s">
        <v>988</v>
      </c>
      <c r="D195" s="113">
        <f>建筑工程单价分析表!D232</f>
        <v>17.1951356202633</v>
      </c>
      <c r="E195" s="57">
        <v>9.52</v>
      </c>
      <c r="F195" s="113">
        <f t="shared" si="13"/>
        <v>163.697691104907</v>
      </c>
    </row>
    <row r="196" ht="20" customHeight="1" spans="1:6">
      <c r="A196" s="57"/>
      <c r="B196" s="57" t="s">
        <v>1262</v>
      </c>
      <c r="C196" s="57" t="s">
        <v>988</v>
      </c>
      <c r="D196" s="113">
        <f>建筑工程单价分析表!D233</f>
        <v>213.436615875548</v>
      </c>
      <c r="E196" s="57">
        <v>2.37</v>
      </c>
      <c r="F196" s="113">
        <f t="shared" si="13"/>
        <v>505.844779625049</v>
      </c>
    </row>
    <row r="197" ht="20" customHeight="1" spans="1:6">
      <c r="A197" s="57"/>
      <c r="B197" s="57" t="s">
        <v>1263</v>
      </c>
      <c r="C197" s="57" t="s">
        <v>423</v>
      </c>
      <c r="D197" s="113">
        <f>SUM(F193:F196)</f>
        <v>1436.67441343438</v>
      </c>
      <c r="E197" s="57">
        <v>3</v>
      </c>
      <c r="F197" s="113">
        <f t="shared" si="13"/>
        <v>4310.02324030315</v>
      </c>
    </row>
    <row r="198" ht="20" customHeight="1" spans="1:6">
      <c r="A198" s="57" t="s">
        <v>70</v>
      </c>
      <c r="B198" s="57" t="s">
        <v>977</v>
      </c>
      <c r="C198" s="194">
        <f>取费表!$C$6</f>
        <v>0.048</v>
      </c>
      <c r="D198" s="113"/>
      <c r="E198" s="196">
        <f>F184</f>
        <v>33630.6473558075</v>
      </c>
      <c r="F198" s="113">
        <f t="shared" ref="F198:F201" si="14">E198*C198</f>
        <v>1614.27107307876</v>
      </c>
    </row>
    <row r="199" ht="20" customHeight="1" spans="1:6">
      <c r="A199" s="57"/>
      <c r="B199" s="57"/>
      <c r="C199" s="194"/>
      <c r="D199" s="113"/>
      <c r="E199" s="196"/>
      <c r="F199" s="113"/>
    </row>
    <row r="200" ht="20" customHeight="1" spans="1:6">
      <c r="A200" s="57" t="s">
        <v>979</v>
      </c>
      <c r="B200" s="57" t="s">
        <v>973</v>
      </c>
      <c r="C200" s="194">
        <f>取费表!$E$6</f>
        <v>0.085</v>
      </c>
      <c r="D200" s="113"/>
      <c r="E200" s="84">
        <f>F183</f>
        <v>35244.9184288863</v>
      </c>
      <c r="F200" s="113">
        <f t="shared" si="14"/>
        <v>2995.81806645534</v>
      </c>
    </row>
    <row r="201" ht="20" customHeight="1" spans="1:6">
      <c r="A201" s="57" t="s">
        <v>162</v>
      </c>
      <c r="B201" s="57" t="s">
        <v>980</v>
      </c>
      <c r="C201" s="194">
        <f>取费表!$F$6</f>
        <v>0.07</v>
      </c>
      <c r="D201" s="113"/>
      <c r="E201" s="84">
        <f>F200+F183</f>
        <v>38240.7364953416</v>
      </c>
      <c r="F201" s="113">
        <f t="shared" si="14"/>
        <v>2676.85155467391</v>
      </c>
    </row>
    <row r="202" ht="20" customHeight="1" spans="1:6">
      <c r="A202" s="57" t="s">
        <v>214</v>
      </c>
      <c r="B202" s="57" t="s">
        <v>1173</v>
      </c>
      <c r="C202" s="59"/>
      <c r="D202" s="113"/>
      <c r="E202" s="57"/>
      <c r="F202" s="113">
        <f>SUM(F203:F206)</f>
        <v>12098.7506086432</v>
      </c>
    </row>
    <row r="203" ht="20" customHeight="1" spans="1:6">
      <c r="A203" s="57"/>
      <c r="B203" s="57" t="s">
        <v>1116</v>
      </c>
      <c r="C203" s="59" t="s">
        <v>184</v>
      </c>
      <c r="D203" s="113">
        <f>建筑工程单价分析表!D240</f>
        <v>4.86</v>
      </c>
      <c r="E203" s="57">
        <f>E194*台时!C308+E196*台时!D308+台时!E308*E195</f>
        <v>171.686</v>
      </c>
      <c r="F203" s="113">
        <f>D203*E203</f>
        <v>834.39396</v>
      </c>
    </row>
    <row r="204" ht="20" customHeight="1" spans="1:6">
      <c r="A204" s="57"/>
      <c r="B204" s="57" t="s">
        <v>1111</v>
      </c>
      <c r="C204" s="57" t="s">
        <v>1188</v>
      </c>
      <c r="D204" s="113">
        <f>材料预算价!K9-材料预算价!L9</f>
        <v>72.9672</v>
      </c>
      <c r="E204" s="57">
        <f>E189</f>
        <v>111.2</v>
      </c>
      <c r="F204" s="113">
        <f t="shared" ref="F204:F206" si="15">E204*D204</f>
        <v>8113.95264</v>
      </c>
    </row>
    <row r="205" ht="20" customHeight="1" spans="1:6">
      <c r="A205" s="57"/>
      <c r="B205" s="57" t="s">
        <v>1141</v>
      </c>
      <c r="C205" s="57" t="s">
        <v>69</v>
      </c>
      <c r="D205" s="113">
        <f>新定额单价!D580</f>
        <v>156.64017</v>
      </c>
      <c r="E205" s="88">
        <f>E190*配合比!E14</f>
        <v>8.327466</v>
      </c>
      <c r="F205" s="113">
        <f t="shared" si="15"/>
        <v>1304.41568990922</v>
      </c>
    </row>
    <row r="206" ht="20" customHeight="1" spans="1:6">
      <c r="A206" s="57"/>
      <c r="B206" s="57" t="s">
        <v>1142</v>
      </c>
      <c r="C206" s="57" t="s">
        <v>1188</v>
      </c>
      <c r="D206" s="113">
        <f>新定额单价!D581</f>
        <v>44.826214</v>
      </c>
      <c r="E206" s="88">
        <f>E190*配合比!G14</f>
        <v>41.181</v>
      </c>
      <c r="F206" s="113">
        <f t="shared" si="15"/>
        <v>1845.988318734</v>
      </c>
    </row>
    <row r="207" ht="20" customHeight="1" spans="1:6">
      <c r="A207" s="57" t="s">
        <v>327</v>
      </c>
      <c r="B207" s="57" t="s">
        <v>976</v>
      </c>
      <c r="C207" s="195">
        <f>新定额单价!C582</f>
        <v>0.09</v>
      </c>
      <c r="D207" s="113"/>
      <c r="E207" s="196">
        <f>F202+F201+F200+F183</f>
        <v>53016.3386586588</v>
      </c>
      <c r="F207" s="113">
        <f>E207*C207</f>
        <v>4771.47047927929</v>
      </c>
    </row>
    <row r="208" ht="20" customHeight="1" spans="1:6">
      <c r="A208" s="57"/>
      <c r="B208" s="57" t="s">
        <v>984</v>
      </c>
      <c r="C208" s="195"/>
      <c r="D208" s="113"/>
      <c r="E208" s="196"/>
      <c r="F208" s="113">
        <f>(F183+F200+F201+F202+F207)*取费表!H4</f>
        <v>1733.63427413814</v>
      </c>
    </row>
    <row r="209" ht="20" customHeight="1" spans="1:6">
      <c r="A209" s="57"/>
      <c r="B209" s="57" t="s">
        <v>278</v>
      </c>
      <c r="C209" s="57"/>
      <c r="D209" s="57"/>
      <c r="E209" s="57"/>
      <c r="F209" s="113">
        <f>F207+F202+F201+F200+F183+F208</f>
        <v>59521.4434120762</v>
      </c>
    </row>
    <row r="210" ht="20" customHeight="1" spans="1:6">
      <c r="A210" s="58"/>
      <c r="B210" s="57"/>
      <c r="C210" s="59"/>
      <c r="D210" s="58"/>
      <c r="E210" s="57"/>
      <c r="F210" s="113"/>
    </row>
    <row r="211" ht="20" customHeight="1" spans="1:6">
      <c r="A211" s="58"/>
      <c r="B211" s="57"/>
      <c r="C211" s="59"/>
      <c r="D211" s="58"/>
      <c r="E211" s="84"/>
      <c r="F211" s="113"/>
    </row>
    <row r="212" ht="20" customHeight="1" spans="1:6">
      <c r="A212" s="58"/>
      <c r="B212" s="57"/>
      <c r="C212" s="58"/>
      <c r="D212" s="58"/>
      <c r="E212" s="57"/>
      <c r="F212" s="113"/>
    </row>
    <row r="213" ht="20" customHeight="1" spans="1:6">
      <c r="A213" s="58"/>
      <c r="B213" s="57"/>
      <c r="C213" s="58"/>
      <c r="D213" s="58"/>
      <c r="E213" s="57"/>
      <c r="F213" s="113"/>
    </row>
    <row r="214" ht="20" customHeight="1" spans="1:6">
      <c r="A214" s="58"/>
      <c r="B214" s="57"/>
      <c r="C214" s="58"/>
      <c r="D214" s="58"/>
      <c r="E214" s="57"/>
      <c r="F214" s="113"/>
    </row>
    <row r="215" ht="20" customHeight="1" spans="1:6">
      <c r="A215" s="176" t="s">
        <v>1753</v>
      </c>
      <c r="B215" s="176"/>
      <c r="C215" s="176"/>
      <c r="D215" s="176"/>
      <c r="E215" s="176"/>
      <c r="F215" s="176"/>
    </row>
    <row r="216" ht="20" customHeight="1" spans="1:6">
      <c r="A216" s="205" t="s">
        <v>1773</v>
      </c>
      <c r="B216" s="205"/>
      <c r="C216" s="205"/>
      <c r="D216" s="205"/>
      <c r="E216" s="205"/>
      <c r="F216" s="205"/>
    </row>
    <row r="217" ht="20" customHeight="1" spans="1:6">
      <c r="A217" s="190" t="s">
        <v>1265</v>
      </c>
      <c r="B217" s="191"/>
      <c r="C217" s="168"/>
      <c r="D217" s="168"/>
      <c r="E217" s="191" t="s">
        <v>1159</v>
      </c>
      <c r="F217" s="191"/>
    </row>
    <row r="218" ht="20" customHeight="1" spans="1:6">
      <c r="A218" s="197" t="s">
        <v>1184</v>
      </c>
      <c r="B218" s="192"/>
      <c r="C218" s="201"/>
      <c r="D218" s="201"/>
      <c r="E218" s="201"/>
      <c r="F218" s="202"/>
    </row>
    <row r="219" ht="20" customHeight="1" spans="1:6">
      <c r="A219" s="57" t="s">
        <v>354</v>
      </c>
      <c r="B219" s="57" t="s">
        <v>956</v>
      </c>
      <c r="C219" s="57" t="s">
        <v>52</v>
      </c>
      <c r="D219" s="57" t="s">
        <v>855</v>
      </c>
      <c r="E219" s="57" t="s">
        <v>53</v>
      </c>
      <c r="F219" s="57" t="s">
        <v>306</v>
      </c>
    </row>
    <row r="220" ht="20" customHeight="1" spans="1:6">
      <c r="A220" s="57" t="s">
        <v>959</v>
      </c>
      <c r="B220" s="57" t="s">
        <v>960</v>
      </c>
      <c r="C220" s="57"/>
      <c r="D220" s="57"/>
      <c r="E220" s="57"/>
      <c r="F220" s="84">
        <f>F221+F235+F236</f>
        <v>28654.3800721163</v>
      </c>
    </row>
    <row r="221" ht="20" customHeight="1" spans="1:6">
      <c r="A221" s="57" t="s">
        <v>59</v>
      </c>
      <c r="B221" s="57" t="s">
        <v>957</v>
      </c>
      <c r="C221" s="57"/>
      <c r="D221" s="57"/>
      <c r="E221" s="57"/>
      <c r="F221" s="84">
        <f>F222+F225+F229</f>
        <v>27341.9657176682</v>
      </c>
    </row>
    <row r="222" ht="20" customHeight="1" spans="1:6">
      <c r="A222" s="57" t="s">
        <v>959</v>
      </c>
      <c r="B222" s="57" t="s">
        <v>964</v>
      </c>
      <c r="C222" s="57" t="s">
        <v>965</v>
      </c>
      <c r="D222" s="113"/>
      <c r="E222" s="92">
        <f>SUM(E223:E224)</f>
        <v>1507.51</v>
      </c>
      <c r="F222" s="113">
        <f>SUM(F223:F224)</f>
        <v>10768.5144</v>
      </c>
    </row>
    <row r="223" ht="20" customHeight="1" spans="1:6">
      <c r="A223" s="57"/>
      <c r="B223" s="57" t="s">
        <v>966</v>
      </c>
      <c r="C223" s="57" t="s">
        <v>965</v>
      </c>
      <c r="D223" s="113">
        <f>建筑工程单价分析表!D186</f>
        <v>8.1</v>
      </c>
      <c r="E223" s="92">
        <v>888.49</v>
      </c>
      <c r="F223" s="113">
        <f t="shared" ref="F223:F227" si="16">D223*E223</f>
        <v>7196.769</v>
      </c>
    </row>
    <row r="224" ht="20" customHeight="1" spans="1:6">
      <c r="A224" s="57"/>
      <c r="B224" s="57" t="s">
        <v>968</v>
      </c>
      <c r="C224" s="57" t="s">
        <v>965</v>
      </c>
      <c r="D224" s="113">
        <f>建筑工程单价分析表!D187</f>
        <v>5.77</v>
      </c>
      <c r="E224" s="92">
        <v>619.02</v>
      </c>
      <c r="F224" s="113">
        <f t="shared" si="16"/>
        <v>3571.7454</v>
      </c>
    </row>
    <row r="225" ht="20" customHeight="1" spans="1:6">
      <c r="A225" s="57" t="s">
        <v>72</v>
      </c>
      <c r="B225" s="57" t="s">
        <v>1219</v>
      </c>
      <c r="C225" s="57"/>
      <c r="D225" s="57"/>
      <c r="E225" s="57"/>
      <c r="F225" s="203">
        <f>SUM(F226:F228)</f>
        <v>12885.41012346</v>
      </c>
    </row>
    <row r="226" ht="20" customHeight="1" spans="1:6">
      <c r="A226" s="57"/>
      <c r="B226" s="57" t="s">
        <v>1111</v>
      </c>
      <c r="C226" s="57" t="s">
        <v>1188</v>
      </c>
      <c r="D226" s="57">
        <f>材料预算价!L9</f>
        <v>70</v>
      </c>
      <c r="E226" s="57">
        <v>111.3</v>
      </c>
      <c r="F226" s="113">
        <f t="shared" si="16"/>
        <v>7791</v>
      </c>
    </row>
    <row r="227" ht="20" customHeight="1" spans="1:6">
      <c r="A227" s="57"/>
      <c r="B227" s="57" t="s">
        <v>1255</v>
      </c>
      <c r="C227" s="57" t="s">
        <v>1188</v>
      </c>
      <c r="D227" s="113">
        <f>配合比!M14</f>
        <v>135.62339</v>
      </c>
      <c r="E227" s="57">
        <v>35.7</v>
      </c>
      <c r="F227" s="113">
        <f t="shared" si="16"/>
        <v>4841.755023</v>
      </c>
    </row>
    <row r="228" ht="20" customHeight="1" spans="1:6">
      <c r="A228" s="57"/>
      <c r="B228" s="57" t="s">
        <v>1248</v>
      </c>
      <c r="C228" s="59" t="s">
        <v>423</v>
      </c>
      <c r="D228" s="84">
        <f>F226+F227</f>
        <v>12632.755023</v>
      </c>
      <c r="E228" s="57">
        <v>2</v>
      </c>
      <c r="F228" s="113">
        <f>D228*E228/100</f>
        <v>252.65510046</v>
      </c>
    </row>
    <row r="229" ht="20" customHeight="1" spans="1:6">
      <c r="A229" s="57" t="s">
        <v>162</v>
      </c>
      <c r="B229" s="57" t="s">
        <v>1171</v>
      </c>
      <c r="C229" s="57"/>
      <c r="D229" s="57"/>
      <c r="E229" s="57"/>
      <c r="F229" s="203">
        <f>SUM(F230:F234)</f>
        <v>3688.04119420822</v>
      </c>
    </row>
    <row r="230" ht="20" customHeight="1" spans="1:6">
      <c r="A230" s="57"/>
      <c r="B230" s="57" t="s">
        <v>1259</v>
      </c>
      <c r="C230" s="57" t="s">
        <v>988</v>
      </c>
      <c r="D230" s="113">
        <f>台时!D83</f>
        <v>15.3</v>
      </c>
      <c r="E230" s="57">
        <v>6.43</v>
      </c>
      <c r="F230" s="113">
        <f t="shared" ref="F230:F234" si="17">D230*E230</f>
        <v>98.379</v>
      </c>
    </row>
    <row r="231" ht="20" customHeight="1" spans="1:6">
      <c r="A231" s="57"/>
      <c r="B231" s="57" t="s">
        <v>1260</v>
      </c>
      <c r="C231" s="57" t="s">
        <v>988</v>
      </c>
      <c r="D231" s="113">
        <f>台时!C315</f>
        <v>119.591356601516</v>
      </c>
      <c r="E231" s="57">
        <v>5.57</v>
      </c>
      <c r="F231" s="113">
        <f t="shared" si="17"/>
        <v>666.123856270444</v>
      </c>
    </row>
    <row r="232" ht="20" customHeight="1" spans="1:6">
      <c r="A232" s="57"/>
      <c r="B232" s="57" t="s">
        <v>1261</v>
      </c>
      <c r="C232" s="57" t="s">
        <v>988</v>
      </c>
      <c r="D232" s="113">
        <f>台时!E315</f>
        <v>17.1951356202633</v>
      </c>
      <c r="E232" s="57">
        <v>9.16</v>
      </c>
      <c r="F232" s="113">
        <f t="shared" si="17"/>
        <v>157.507442281612</v>
      </c>
    </row>
    <row r="233" ht="20" customHeight="1" spans="1:6">
      <c r="A233" s="57"/>
      <c r="B233" s="57" t="s">
        <v>1262</v>
      </c>
      <c r="C233" s="57" t="s">
        <v>988</v>
      </c>
      <c r="D233" s="113">
        <f>台时!D315</f>
        <v>213.436615875548</v>
      </c>
      <c r="E233" s="57">
        <v>0</v>
      </c>
      <c r="F233" s="113">
        <f t="shared" si="17"/>
        <v>0</v>
      </c>
    </row>
    <row r="234" ht="20" customHeight="1" spans="1:6">
      <c r="A234" s="57"/>
      <c r="B234" s="57" t="s">
        <v>1263</v>
      </c>
      <c r="C234" s="57" t="s">
        <v>423</v>
      </c>
      <c r="D234" s="113">
        <f>SUM(F230:F233)</f>
        <v>922.010298552056</v>
      </c>
      <c r="E234" s="57">
        <v>3</v>
      </c>
      <c r="F234" s="113">
        <f t="shared" si="17"/>
        <v>2766.03089565617</v>
      </c>
    </row>
    <row r="235" ht="20" customHeight="1" spans="1:6">
      <c r="A235" s="57" t="s">
        <v>70</v>
      </c>
      <c r="B235" s="57" t="s">
        <v>977</v>
      </c>
      <c r="C235" s="194">
        <f>取费表!$C$6</f>
        <v>0.048</v>
      </c>
      <c r="D235" s="113"/>
      <c r="E235" s="84">
        <f>F221</f>
        <v>27341.9657176682</v>
      </c>
      <c r="F235" s="113">
        <f t="shared" ref="F235:F238" si="18">E235*C235</f>
        <v>1312.41435444807</v>
      </c>
    </row>
    <row r="236" ht="20" customHeight="1" spans="1:6">
      <c r="A236" s="57"/>
      <c r="B236" s="57"/>
      <c r="C236" s="194"/>
      <c r="D236" s="113"/>
      <c r="E236" s="84"/>
      <c r="F236" s="113"/>
    </row>
    <row r="237" ht="20" customHeight="1" spans="1:6">
      <c r="A237" s="57" t="s">
        <v>979</v>
      </c>
      <c r="B237" s="57" t="s">
        <v>973</v>
      </c>
      <c r="C237" s="194">
        <f>取费表!$E$6</f>
        <v>0.085</v>
      </c>
      <c r="D237" s="113"/>
      <c r="E237" s="84">
        <f>F220</f>
        <v>28654.3800721163</v>
      </c>
      <c r="F237" s="113">
        <f t="shared" si="18"/>
        <v>2435.62230612989</v>
      </c>
    </row>
    <row r="238" ht="20" customHeight="1" spans="1:6">
      <c r="A238" s="57" t="s">
        <v>162</v>
      </c>
      <c r="B238" s="57" t="s">
        <v>980</v>
      </c>
      <c r="C238" s="194">
        <f>取费表!$F$6</f>
        <v>0.07</v>
      </c>
      <c r="D238" s="113"/>
      <c r="E238" s="84">
        <f>F237+F220</f>
        <v>31090.0023782462</v>
      </c>
      <c r="F238" s="113">
        <f t="shared" si="18"/>
        <v>2176.30016647723</v>
      </c>
    </row>
    <row r="239" ht="20" customHeight="1" spans="1:6">
      <c r="A239" s="57" t="s">
        <v>214</v>
      </c>
      <c r="B239" s="57" t="s">
        <v>1173</v>
      </c>
      <c r="C239" s="59"/>
      <c r="D239" s="113"/>
      <c r="E239" s="57"/>
      <c r="F239" s="113">
        <f>SUM(F240:F243)</f>
        <v>11752.8295385057</v>
      </c>
    </row>
    <row r="240" ht="20" customHeight="1" spans="1:6">
      <c r="A240" s="57"/>
      <c r="B240" s="57" t="s">
        <v>1116</v>
      </c>
      <c r="C240" s="59" t="s">
        <v>184</v>
      </c>
      <c r="D240" s="113">
        <f>材料预算价!K12-材料预算价!L12</f>
        <v>4.86</v>
      </c>
      <c r="E240" s="57">
        <f>E231*台时!C308+E233*台时!D308+台时!E308*E232</f>
        <v>123.469</v>
      </c>
      <c r="F240" s="113">
        <f>D240*E240</f>
        <v>600.05934</v>
      </c>
    </row>
    <row r="241" ht="20" customHeight="1" spans="1:6">
      <c r="A241" s="57"/>
      <c r="B241" s="57" t="s">
        <v>1111</v>
      </c>
      <c r="C241" s="57" t="s">
        <v>1188</v>
      </c>
      <c r="D241" s="113">
        <f>材料预算价!K9-材料预算价!L9</f>
        <v>72.9672</v>
      </c>
      <c r="E241" s="57">
        <f>E226</f>
        <v>111.3</v>
      </c>
      <c r="F241" s="113">
        <f t="shared" ref="F241:F243" si="19">E241*D241</f>
        <v>8121.24936</v>
      </c>
    </row>
    <row r="242" ht="20" customHeight="1" spans="1:6">
      <c r="A242" s="57"/>
      <c r="B242" s="57" t="s">
        <v>1141</v>
      </c>
      <c r="C242" s="57" t="s">
        <v>69</v>
      </c>
      <c r="D242" s="113">
        <f>建筑工程单价分析表!D205</f>
        <v>156.64017</v>
      </c>
      <c r="E242" s="88">
        <f>E227*配合比!E14</f>
        <v>8.013222</v>
      </c>
      <c r="F242" s="113">
        <f t="shared" si="19"/>
        <v>1255.19245632774</v>
      </c>
    </row>
    <row r="243" ht="20" customHeight="1" spans="1:6">
      <c r="A243" s="57"/>
      <c r="B243" s="57" t="s">
        <v>1142</v>
      </c>
      <c r="C243" s="57" t="s">
        <v>1188</v>
      </c>
      <c r="D243" s="113">
        <f>建筑工程单价分析表!D206</f>
        <v>44.826214</v>
      </c>
      <c r="E243" s="88">
        <f>E227*配合比!G14</f>
        <v>39.627</v>
      </c>
      <c r="F243" s="113">
        <f t="shared" si="19"/>
        <v>1776.328382178</v>
      </c>
    </row>
    <row r="244" ht="20" customHeight="1" spans="1:6">
      <c r="A244" s="57" t="s">
        <v>327</v>
      </c>
      <c r="B244" s="57" t="s">
        <v>976</v>
      </c>
      <c r="C244" s="195">
        <f>建筑工程单价分析表!C207</f>
        <v>0.09</v>
      </c>
      <c r="D244" s="113"/>
      <c r="E244" s="84">
        <f>F239+F238+F237+F220</f>
        <v>45019.1320832292</v>
      </c>
      <c r="F244" s="113">
        <f>E244*C244</f>
        <v>4051.72188749062</v>
      </c>
    </row>
    <row r="245" ht="20" customHeight="1" spans="1:6">
      <c r="A245" s="57"/>
      <c r="B245" s="57" t="s">
        <v>984</v>
      </c>
      <c r="C245" s="195"/>
      <c r="D245" s="113"/>
      <c r="E245" s="84"/>
      <c r="F245" s="113">
        <f>(F220+F237+F238+F239+F244)*取费表!H4</f>
        <v>1472.12561912159</v>
      </c>
    </row>
    <row r="246" ht="20" customHeight="1" spans="1:6">
      <c r="A246" s="57"/>
      <c r="B246" s="57" t="s">
        <v>278</v>
      </c>
      <c r="C246" s="57"/>
      <c r="D246" s="113"/>
      <c r="E246" s="57"/>
      <c r="F246" s="113">
        <f>E244+F244+F245</f>
        <v>50542.9795898414</v>
      </c>
    </row>
    <row r="247" ht="20" customHeight="1" spans="1:6">
      <c r="A247" s="57"/>
      <c r="B247" s="57"/>
      <c r="C247" s="57"/>
      <c r="D247" s="113"/>
      <c r="E247" s="57"/>
      <c r="F247" s="113"/>
    </row>
    <row r="248" ht="20" customHeight="1" spans="1:6">
      <c r="A248" s="57"/>
      <c r="B248" s="57"/>
      <c r="C248" s="57"/>
      <c r="D248" s="113"/>
      <c r="E248" s="57"/>
      <c r="F248" s="113"/>
    </row>
    <row r="249" ht="20" customHeight="1" spans="1:6">
      <c r="A249" s="57"/>
      <c r="B249" s="57"/>
      <c r="C249" s="57"/>
      <c r="D249" s="113"/>
      <c r="E249" s="57"/>
      <c r="F249" s="113"/>
    </row>
    <row r="250" ht="20" customHeight="1" spans="1:6">
      <c r="A250" s="57"/>
      <c r="B250" s="57"/>
      <c r="C250" s="57"/>
      <c r="D250" s="113"/>
      <c r="E250" s="57"/>
      <c r="F250" s="113"/>
    </row>
    <row r="251" ht="20" customHeight="1" spans="1:6">
      <c r="A251" s="57"/>
      <c r="B251" s="57"/>
      <c r="C251" s="57"/>
      <c r="D251" s="113"/>
      <c r="E251" s="57"/>
      <c r="F251" s="113"/>
    </row>
    <row r="252" ht="32" customHeight="1" spans="1:6">
      <c r="A252" s="176" t="s">
        <v>1753</v>
      </c>
      <c r="B252" s="176"/>
      <c r="C252" s="176"/>
      <c r="D252" s="176"/>
      <c r="E252" s="176"/>
      <c r="F252" s="176"/>
    </row>
    <row r="253" ht="20" customHeight="1" spans="1:6">
      <c r="A253" s="213" t="s">
        <v>433</v>
      </c>
      <c r="B253" s="213"/>
      <c r="C253" s="213"/>
      <c r="D253" s="213"/>
      <c r="E253" s="213"/>
      <c r="F253" s="213"/>
    </row>
    <row r="254" ht="20" customHeight="1" spans="1:6">
      <c r="A254" s="214" t="s">
        <v>1182</v>
      </c>
      <c r="B254" s="215">
        <v>3007</v>
      </c>
      <c r="C254" s="216"/>
      <c r="D254" s="217"/>
      <c r="E254" s="214" t="s">
        <v>1183</v>
      </c>
      <c r="F254" s="215" t="s">
        <v>924</v>
      </c>
    </row>
    <row r="255" ht="20" customHeight="1" spans="1:6">
      <c r="A255" s="218" t="s">
        <v>1184</v>
      </c>
      <c r="B255" s="219"/>
      <c r="C255" s="220"/>
      <c r="D255" s="220"/>
      <c r="E255" s="220"/>
      <c r="F255" s="221"/>
    </row>
    <row r="256" ht="20" customHeight="1" spans="1:6">
      <c r="A256" s="206" t="s">
        <v>354</v>
      </c>
      <c r="B256" s="222" t="s">
        <v>956</v>
      </c>
      <c r="C256" s="206" t="s">
        <v>52</v>
      </c>
      <c r="D256" s="206" t="s">
        <v>54</v>
      </c>
      <c r="E256" s="206" t="s">
        <v>53</v>
      </c>
      <c r="F256" s="206" t="s">
        <v>1185</v>
      </c>
    </row>
    <row r="257" ht="20" customHeight="1" spans="1:6">
      <c r="A257" s="206">
        <v>1</v>
      </c>
      <c r="B257" s="222" t="s">
        <v>960</v>
      </c>
      <c r="C257" s="206"/>
      <c r="D257" s="206"/>
      <c r="E257" s="206"/>
      <c r="F257" s="223">
        <f>F258+F266+F267</f>
        <v>8705.4174281216</v>
      </c>
    </row>
    <row r="258" ht="20" customHeight="1" spans="1:6">
      <c r="A258" s="206">
        <v>1.1</v>
      </c>
      <c r="B258" s="222" t="s">
        <v>957</v>
      </c>
      <c r="C258" s="206"/>
      <c r="D258" s="206"/>
      <c r="E258" s="206"/>
      <c r="F258" s="223">
        <f>F259+F262+F265</f>
        <v>8306.6960192</v>
      </c>
    </row>
    <row r="259" ht="20" customHeight="1" spans="1:6">
      <c r="A259" s="206" t="s">
        <v>1186</v>
      </c>
      <c r="B259" s="222" t="s">
        <v>963</v>
      </c>
      <c r="C259" s="206"/>
      <c r="D259" s="206"/>
      <c r="E259" s="206"/>
      <c r="F259" s="223">
        <f>F260+F261</f>
        <v>2866.523</v>
      </c>
    </row>
    <row r="260" ht="20" customHeight="1" spans="1:6">
      <c r="A260" s="206"/>
      <c r="B260" s="222" t="s">
        <v>966</v>
      </c>
      <c r="C260" s="206" t="s">
        <v>965</v>
      </c>
      <c r="D260" s="206">
        <v>8.1</v>
      </c>
      <c r="E260" s="206">
        <v>9.9</v>
      </c>
      <c r="F260" s="223">
        <f t="shared" ref="F260:F263" si="20">D260*E260</f>
        <v>80.19</v>
      </c>
    </row>
    <row r="261" ht="20" customHeight="1" spans="1:6">
      <c r="A261" s="206"/>
      <c r="B261" s="222" t="s">
        <v>968</v>
      </c>
      <c r="C261" s="206" t="s">
        <v>965</v>
      </c>
      <c r="D261" s="206">
        <v>5.77</v>
      </c>
      <c r="E261" s="206">
        <v>482.9</v>
      </c>
      <c r="F261" s="223">
        <f t="shared" si="20"/>
        <v>2786.333</v>
      </c>
    </row>
    <row r="262" ht="20" customHeight="1" spans="1:6">
      <c r="A262" s="206" t="s">
        <v>1187</v>
      </c>
      <c r="B262" s="222" t="s">
        <v>967</v>
      </c>
      <c r="C262" s="206"/>
      <c r="D262" s="206"/>
      <c r="E262" s="206"/>
      <c r="F262" s="223">
        <f>F263+F264</f>
        <v>5440.1730192</v>
      </c>
    </row>
    <row r="263" ht="20" customHeight="1" spans="1:6">
      <c r="A263" s="206"/>
      <c r="B263" s="224" t="s">
        <v>1120</v>
      </c>
      <c r="C263" s="206" t="s">
        <v>1188</v>
      </c>
      <c r="D263" s="208">
        <f>材料预算价!K15</f>
        <v>52.80696</v>
      </c>
      <c r="E263" s="206">
        <v>102</v>
      </c>
      <c r="F263" s="223">
        <f t="shared" si="20"/>
        <v>5386.30992</v>
      </c>
    </row>
    <row r="264" ht="20" customHeight="1" spans="1:6">
      <c r="A264" s="206"/>
      <c r="B264" s="222" t="s">
        <v>1163</v>
      </c>
      <c r="C264" s="206" t="s">
        <v>423</v>
      </c>
      <c r="D264" s="223">
        <f>F263</f>
        <v>5386.30992</v>
      </c>
      <c r="E264" s="206">
        <v>1</v>
      </c>
      <c r="F264" s="223">
        <f>D264*E264/100</f>
        <v>53.8630992</v>
      </c>
    </row>
    <row r="265" ht="20" customHeight="1" spans="1:6">
      <c r="A265" s="206" t="s">
        <v>1189</v>
      </c>
      <c r="B265" s="222" t="s">
        <v>1190</v>
      </c>
      <c r="C265" s="206" t="s">
        <v>988</v>
      </c>
      <c r="D265" s="208">
        <f>台时!C42</f>
        <v>0.813242919824491</v>
      </c>
      <c r="E265" s="206"/>
      <c r="F265" s="223">
        <f t="shared" ref="F265:F269" si="21">D265*E265</f>
        <v>0</v>
      </c>
    </row>
    <row r="266" ht="20" customHeight="1" spans="1:6">
      <c r="A266" s="206">
        <v>1.2</v>
      </c>
      <c r="B266" s="222" t="s">
        <v>971</v>
      </c>
      <c r="C266" s="206"/>
      <c r="D266" s="223">
        <f>F258</f>
        <v>8306.6960192</v>
      </c>
      <c r="E266" s="225">
        <f>新定额单价!K154</f>
        <v>0.048</v>
      </c>
      <c r="F266" s="223">
        <f t="shared" si="21"/>
        <v>398.7214089216</v>
      </c>
    </row>
    <row r="267" ht="20" customHeight="1" spans="1:6">
      <c r="A267" s="206">
        <v>1.3</v>
      </c>
      <c r="B267" s="222" t="s">
        <v>1191</v>
      </c>
      <c r="C267" s="206"/>
      <c r="D267" s="223">
        <f>F258</f>
        <v>8306.6960192</v>
      </c>
      <c r="E267" s="225"/>
      <c r="F267" s="223">
        <f t="shared" si="21"/>
        <v>0</v>
      </c>
    </row>
    <row r="268" ht="20" customHeight="1" spans="1:6">
      <c r="A268" s="206">
        <v>2</v>
      </c>
      <c r="B268" s="222" t="s">
        <v>973</v>
      </c>
      <c r="C268" s="206"/>
      <c r="D268" s="223">
        <f>F257</f>
        <v>8705.4174281216</v>
      </c>
      <c r="E268" s="225">
        <f>新定额单价!K156</f>
        <v>0.085</v>
      </c>
      <c r="F268" s="223">
        <f t="shared" si="21"/>
        <v>739.960481390336</v>
      </c>
    </row>
    <row r="269" ht="20" customHeight="1" spans="1:6">
      <c r="A269" s="206">
        <v>3</v>
      </c>
      <c r="B269" s="222" t="s">
        <v>975</v>
      </c>
      <c r="C269" s="206"/>
      <c r="D269" s="223">
        <f>F257+F268</f>
        <v>9445.37790951193</v>
      </c>
      <c r="E269" s="225">
        <f>新定额单价!K157</f>
        <v>0.07</v>
      </c>
      <c r="F269" s="223">
        <f t="shared" si="21"/>
        <v>661.176453665835</v>
      </c>
    </row>
    <row r="270" ht="20" customHeight="1" spans="1:6">
      <c r="A270" s="206">
        <v>4</v>
      </c>
      <c r="B270" s="222" t="s">
        <v>1173</v>
      </c>
      <c r="C270" s="206"/>
      <c r="D270" s="206"/>
      <c r="E270" s="206"/>
      <c r="F270" s="223">
        <f>F271</f>
        <v>0</v>
      </c>
    </row>
    <row r="271" ht="20" customHeight="1" spans="1:6">
      <c r="A271" s="206"/>
      <c r="B271" s="224" t="str">
        <f>B263</f>
        <v>砂砾石</v>
      </c>
      <c r="C271" s="206" t="s">
        <v>1188</v>
      </c>
      <c r="D271" s="212"/>
      <c r="E271" s="206">
        <f>E263</f>
        <v>102</v>
      </c>
      <c r="F271" s="223">
        <f>D271*E271</f>
        <v>0</v>
      </c>
    </row>
    <row r="272" ht="20" customHeight="1" spans="1:6">
      <c r="A272" s="206">
        <v>5</v>
      </c>
      <c r="B272" s="222" t="s">
        <v>976</v>
      </c>
      <c r="C272" s="206"/>
      <c r="D272" s="212">
        <f>F257+F268+F269+F270</f>
        <v>10106.5543631778</v>
      </c>
      <c r="E272" s="225">
        <f>新定额单价!K160</f>
        <v>0.09</v>
      </c>
      <c r="F272" s="223">
        <f>D272*E272</f>
        <v>909.589892685999</v>
      </c>
    </row>
    <row r="273" ht="20" customHeight="1" spans="1:6">
      <c r="A273" s="206">
        <v>6</v>
      </c>
      <c r="B273" s="222" t="s">
        <v>278</v>
      </c>
      <c r="C273" s="206"/>
      <c r="D273" s="206"/>
      <c r="E273" s="206"/>
      <c r="F273" s="223">
        <f>F257+F268+F269+F270+F272</f>
        <v>11016.1442558638</v>
      </c>
    </row>
    <row r="274" ht="20" customHeight="1" spans="1:6">
      <c r="A274" s="206"/>
      <c r="B274" s="222" t="s">
        <v>1192</v>
      </c>
      <c r="C274" s="206"/>
      <c r="D274" s="223">
        <f>F273</f>
        <v>11016.1442558638</v>
      </c>
      <c r="E274" s="225">
        <f>新定额单价!K162</f>
        <v>0.03</v>
      </c>
      <c r="F274" s="223">
        <f>E274*D274</f>
        <v>330.484327675913</v>
      </c>
    </row>
    <row r="275" ht="20" customHeight="1" spans="1:6">
      <c r="A275" s="206"/>
      <c r="B275" s="222" t="s">
        <v>1193</v>
      </c>
      <c r="C275" s="206"/>
      <c r="D275" s="206"/>
      <c r="E275" s="206"/>
      <c r="F275" s="223">
        <f>SUM(F273:F274)</f>
        <v>11346.6285835397</v>
      </c>
    </row>
    <row r="276" ht="20" customHeight="1" spans="1:6">
      <c r="A276" s="206"/>
      <c r="B276" s="222"/>
      <c r="C276" s="206"/>
      <c r="D276" s="206"/>
      <c r="E276" s="206"/>
      <c r="F276" s="223"/>
    </row>
    <row r="277" ht="20" customHeight="1" spans="1:6">
      <c r="A277" s="206"/>
      <c r="B277" s="222"/>
      <c r="C277" s="206"/>
      <c r="D277" s="206"/>
      <c r="E277" s="206"/>
      <c r="F277" s="223"/>
    </row>
    <row r="278" ht="20" customHeight="1" spans="1:6">
      <c r="A278" s="206"/>
      <c r="B278" s="222"/>
      <c r="C278" s="206"/>
      <c r="D278" s="206"/>
      <c r="E278" s="206"/>
      <c r="F278" s="223"/>
    </row>
    <row r="279" ht="20" customHeight="1" spans="1:6">
      <c r="A279" s="206"/>
      <c r="B279" s="222"/>
      <c r="C279" s="206"/>
      <c r="D279" s="206"/>
      <c r="E279" s="206"/>
      <c r="F279" s="223"/>
    </row>
    <row r="280" ht="20" customHeight="1" spans="1:6">
      <c r="A280" s="206"/>
      <c r="B280" s="222"/>
      <c r="C280" s="206"/>
      <c r="D280" s="206"/>
      <c r="E280" s="206"/>
      <c r="F280" s="223"/>
    </row>
    <row r="281" ht="20" customHeight="1" spans="1:6">
      <c r="A281" s="206"/>
      <c r="B281" s="222"/>
      <c r="C281" s="206"/>
      <c r="D281" s="206"/>
      <c r="E281" s="206"/>
      <c r="F281" s="223"/>
    </row>
    <row r="282" ht="20" customHeight="1" spans="1:6">
      <c r="A282" s="206"/>
      <c r="B282" s="222"/>
      <c r="C282" s="206"/>
      <c r="D282" s="206"/>
      <c r="E282" s="206"/>
      <c r="F282" s="223"/>
    </row>
    <row r="283" ht="20" customHeight="1" spans="1:6">
      <c r="A283" s="206"/>
      <c r="B283" s="222"/>
      <c r="C283" s="206"/>
      <c r="D283" s="206"/>
      <c r="E283" s="206"/>
      <c r="F283" s="223"/>
    </row>
    <row r="284" ht="20" customHeight="1" spans="1:6">
      <c r="A284" s="206"/>
      <c r="B284" s="222"/>
      <c r="C284" s="206"/>
      <c r="D284" s="206"/>
      <c r="E284" s="206"/>
      <c r="F284" s="223"/>
    </row>
    <row r="285" ht="20" customHeight="1" spans="1:6">
      <c r="A285" s="206"/>
      <c r="B285" s="222"/>
      <c r="C285" s="206"/>
      <c r="D285" s="206"/>
      <c r="E285" s="206"/>
      <c r="F285" s="223"/>
    </row>
    <row r="286" ht="20" customHeight="1" spans="1:6">
      <c r="A286" s="226"/>
      <c r="B286" s="226"/>
      <c r="C286" s="226"/>
      <c r="D286" s="226"/>
      <c r="E286" s="226"/>
      <c r="F286" s="226"/>
    </row>
    <row r="287" ht="20" customHeight="1" spans="1:6">
      <c r="A287" s="226"/>
      <c r="B287" s="226"/>
      <c r="C287" s="226"/>
      <c r="D287" s="226"/>
      <c r="E287" s="226"/>
      <c r="F287" s="226"/>
    </row>
    <row r="288" ht="23" customHeight="1" spans="1:6">
      <c r="A288" s="175" t="s">
        <v>1753</v>
      </c>
      <c r="B288" s="176"/>
      <c r="C288" s="176"/>
      <c r="D288" s="176"/>
      <c r="E288" s="176"/>
      <c r="F288" s="176"/>
    </row>
    <row r="289" spans="1:6">
      <c r="A289" s="227" t="s">
        <v>1774</v>
      </c>
      <c r="B289" s="227"/>
      <c r="C289" s="227"/>
      <c r="D289" s="227"/>
      <c r="E289" s="227"/>
      <c r="F289" s="227"/>
    </row>
    <row r="290" spans="1:6">
      <c r="A290" s="228" t="s">
        <v>1775</v>
      </c>
      <c r="B290" s="228"/>
      <c r="C290" s="228"/>
      <c r="D290" s="228"/>
      <c r="E290" s="228" t="s">
        <v>1776</v>
      </c>
      <c r="F290" s="228"/>
    </row>
    <row r="291" spans="1:6">
      <c r="A291" s="229" t="s">
        <v>1777</v>
      </c>
      <c r="B291" s="230"/>
      <c r="C291" s="230"/>
      <c r="D291" s="230"/>
      <c r="E291" s="230"/>
      <c r="F291" s="230"/>
    </row>
    <row r="292" spans="1:6">
      <c r="A292" s="231" t="s">
        <v>354</v>
      </c>
      <c r="B292" s="231" t="s">
        <v>956</v>
      </c>
      <c r="C292" s="231" t="s">
        <v>1778</v>
      </c>
      <c r="D292" s="231" t="s">
        <v>54</v>
      </c>
      <c r="E292" s="231" t="s">
        <v>1588</v>
      </c>
      <c r="F292" s="231" t="s">
        <v>1185</v>
      </c>
    </row>
    <row r="293" spans="1:6">
      <c r="A293" s="231">
        <v>1</v>
      </c>
      <c r="B293" s="229" t="s">
        <v>960</v>
      </c>
      <c r="C293" s="231"/>
      <c r="D293" s="231"/>
      <c r="E293" s="231"/>
      <c r="F293" s="232">
        <f>F294+F306</f>
        <v>431.095554503566</v>
      </c>
    </row>
    <row r="294" spans="1:6">
      <c r="A294" s="231" t="s">
        <v>1779</v>
      </c>
      <c r="B294" s="229" t="s">
        <v>957</v>
      </c>
      <c r="C294" s="231"/>
      <c r="D294" s="231"/>
      <c r="E294" s="231"/>
      <c r="F294" s="232">
        <f>F295+F298+F301</f>
        <v>411.350719946151</v>
      </c>
    </row>
    <row r="295" spans="1:6">
      <c r="A295" s="231"/>
      <c r="B295" s="229" t="s">
        <v>1780</v>
      </c>
      <c r="C295" s="231" t="s">
        <v>965</v>
      </c>
      <c r="D295" s="231"/>
      <c r="E295" s="231" t="s">
        <v>958</v>
      </c>
      <c r="F295" s="233">
        <f>SUM(F296:F297)</f>
        <v>149.664</v>
      </c>
    </row>
    <row r="296" spans="1:6">
      <c r="A296" s="231"/>
      <c r="B296" s="229" t="s">
        <v>966</v>
      </c>
      <c r="C296" s="231" t="s">
        <v>965</v>
      </c>
      <c r="D296" s="233">
        <v>8.1</v>
      </c>
      <c r="E296" s="233">
        <v>4.8</v>
      </c>
      <c r="F296" s="233">
        <f t="shared" ref="F296:F299" si="22">E296*D296</f>
        <v>38.88</v>
      </c>
    </row>
    <row r="297" spans="1:6">
      <c r="A297" s="231"/>
      <c r="B297" s="229" t="s">
        <v>968</v>
      </c>
      <c r="C297" s="231" t="s">
        <v>965</v>
      </c>
      <c r="D297" s="233">
        <v>5.77</v>
      </c>
      <c r="E297" s="233">
        <v>19.2</v>
      </c>
      <c r="F297" s="233">
        <f t="shared" si="22"/>
        <v>110.784</v>
      </c>
    </row>
    <row r="298" spans="1:6">
      <c r="A298" s="231"/>
      <c r="B298" s="229" t="s">
        <v>1781</v>
      </c>
      <c r="C298" s="231"/>
      <c r="D298" s="233"/>
      <c r="E298" s="233"/>
      <c r="F298" s="233">
        <f>SUM(F299:F300)</f>
        <v>0</v>
      </c>
    </row>
    <row r="299" spans="1:6">
      <c r="A299" s="231"/>
      <c r="B299" s="229" t="s">
        <v>1782</v>
      </c>
      <c r="C299" s="231" t="s">
        <v>1783</v>
      </c>
      <c r="D299" s="233"/>
      <c r="E299" s="233">
        <v>106</v>
      </c>
      <c r="F299" s="233">
        <f t="shared" si="22"/>
        <v>0</v>
      </c>
    </row>
    <row r="300" spans="1:6">
      <c r="A300" s="231"/>
      <c r="B300" s="229" t="s">
        <v>1784</v>
      </c>
      <c r="C300" s="231" t="s">
        <v>1785</v>
      </c>
      <c r="D300" s="233"/>
      <c r="E300" s="233"/>
      <c r="F300" s="233">
        <f>(F299)*0.01</f>
        <v>0</v>
      </c>
    </row>
    <row r="301" spans="1:6">
      <c r="A301" s="231"/>
      <c r="B301" s="229" t="s">
        <v>1786</v>
      </c>
      <c r="C301" s="231"/>
      <c r="D301" s="233"/>
      <c r="E301" s="233"/>
      <c r="F301" s="233">
        <f>SUM(F302:F305)</f>
        <v>261.686719946151</v>
      </c>
    </row>
    <row r="302" spans="1:6">
      <c r="A302" s="231"/>
      <c r="B302" s="229" t="s">
        <v>1787</v>
      </c>
      <c r="C302" s="231" t="s">
        <v>988</v>
      </c>
      <c r="D302" s="233">
        <f>台时!E21</f>
        <v>89.4423446350219</v>
      </c>
      <c r="E302" s="233">
        <f>0.1*8</f>
        <v>0.8</v>
      </c>
      <c r="F302" s="233">
        <f t="shared" ref="F302:F306" si="23">E302*D302</f>
        <v>71.5538757080175</v>
      </c>
    </row>
    <row r="303" spans="1:6">
      <c r="A303" s="231"/>
      <c r="B303" s="229" t="s">
        <v>1788</v>
      </c>
      <c r="C303" s="231" t="s">
        <v>988</v>
      </c>
      <c r="D303" s="233">
        <f>2822.58/8</f>
        <v>352.8225</v>
      </c>
      <c r="E303" s="233">
        <v>0.35</v>
      </c>
      <c r="F303" s="233">
        <f t="shared" si="23"/>
        <v>123.487875</v>
      </c>
    </row>
    <row r="304" spans="1:6">
      <c r="A304" s="231"/>
      <c r="B304" s="229" t="s">
        <v>1789</v>
      </c>
      <c r="C304" s="231" t="s">
        <v>988</v>
      </c>
      <c r="D304" s="233">
        <f>200/8</f>
        <v>25</v>
      </c>
      <c r="E304" s="233">
        <f>0.12*8</f>
        <v>0.96</v>
      </c>
      <c r="F304" s="233">
        <f t="shared" si="23"/>
        <v>24</v>
      </c>
    </row>
    <row r="305" spans="1:6">
      <c r="A305" s="231"/>
      <c r="B305" s="229" t="s">
        <v>1790</v>
      </c>
      <c r="C305" s="231" t="s">
        <v>988</v>
      </c>
      <c r="D305" s="233">
        <f>台时!C105</f>
        <v>15.9123019545273</v>
      </c>
      <c r="E305" s="233">
        <v>2.68</v>
      </c>
      <c r="F305" s="233">
        <f t="shared" si="23"/>
        <v>42.6449692381332</v>
      </c>
    </row>
    <row r="306" spans="1:6">
      <c r="A306" s="231" t="s">
        <v>1791</v>
      </c>
      <c r="B306" s="229" t="s">
        <v>971</v>
      </c>
      <c r="C306" s="231"/>
      <c r="D306" s="233">
        <f>F294</f>
        <v>411.350719946151</v>
      </c>
      <c r="E306" s="225">
        <v>0.048</v>
      </c>
      <c r="F306" s="233">
        <f t="shared" si="23"/>
        <v>19.7448345574152</v>
      </c>
    </row>
    <row r="307" spans="1:6">
      <c r="A307" s="206">
        <v>2</v>
      </c>
      <c r="B307" s="234" t="s">
        <v>973</v>
      </c>
      <c r="C307" s="231"/>
      <c r="D307" s="235">
        <f>F293</f>
        <v>431.095554503566</v>
      </c>
      <c r="E307" s="225">
        <v>0.0725</v>
      </c>
      <c r="F307" s="233">
        <f t="shared" ref="F307:F311" si="24">E307*D307</f>
        <v>31.2544277015085</v>
      </c>
    </row>
    <row r="308" spans="1:6">
      <c r="A308" s="231">
        <v>3</v>
      </c>
      <c r="B308" s="229" t="s">
        <v>1792</v>
      </c>
      <c r="C308" s="231"/>
      <c r="D308" s="233">
        <f>F293+F307</f>
        <v>462.349982205074</v>
      </c>
      <c r="E308" s="225">
        <v>0.05</v>
      </c>
      <c r="F308" s="233">
        <f t="shared" si="24"/>
        <v>23.1174991102537</v>
      </c>
    </row>
    <row r="309" spans="1:6">
      <c r="A309" s="231">
        <v>4</v>
      </c>
      <c r="B309" s="229" t="s">
        <v>1173</v>
      </c>
      <c r="C309" s="231"/>
      <c r="D309" s="233"/>
      <c r="E309" s="225"/>
      <c r="F309" s="233">
        <f>F310+F311</f>
        <v>1189.01867681416</v>
      </c>
    </row>
    <row r="310" spans="1:6">
      <c r="A310" s="231"/>
      <c r="B310" s="229" t="s">
        <v>1116</v>
      </c>
      <c r="C310" s="231" t="s">
        <v>184</v>
      </c>
      <c r="D310" s="233">
        <f>建筑工程单价分析表!D154</f>
        <v>4.86</v>
      </c>
      <c r="E310" s="233">
        <f>E302*台时!E14+台时!C98*E305</f>
        <v>13.036</v>
      </c>
      <c r="F310" s="233">
        <f>D310*E310</f>
        <v>63.35496</v>
      </c>
    </row>
    <row r="311" spans="1:6">
      <c r="A311" s="231"/>
      <c r="B311" s="229" t="s">
        <v>1793</v>
      </c>
      <c r="C311" s="231" t="s">
        <v>1783</v>
      </c>
      <c r="D311" s="233">
        <f>12/1.13</f>
        <v>10.6194690265487</v>
      </c>
      <c r="E311" s="233">
        <f>E299</f>
        <v>106</v>
      </c>
      <c r="F311" s="233">
        <f t="shared" si="24"/>
        <v>1125.66371681416</v>
      </c>
    </row>
    <row r="312" spans="1:6">
      <c r="A312" s="231">
        <v>5</v>
      </c>
      <c r="B312" s="229" t="s">
        <v>976</v>
      </c>
      <c r="C312" s="231"/>
      <c r="D312" s="207">
        <f>F293+F307+F308+F309</f>
        <v>1674.48615812949</v>
      </c>
      <c r="E312" s="225">
        <v>0.09</v>
      </c>
      <c r="F312" s="233">
        <f>D312*E312</f>
        <v>150.703754231654</v>
      </c>
    </row>
    <row r="313" spans="1:6">
      <c r="A313" s="231"/>
      <c r="B313" s="229" t="s">
        <v>1193</v>
      </c>
      <c r="C313" s="231"/>
      <c r="D313" s="233"/>
      <c r="E313" s="233"/>
      <c r="F313" s="233">
        <f>F293+F307+F308+F309+F312</f>
        <v>1825.18991236114</v>
      </c>
    </row>
    <row r="314" ht="22" customHeight="1" spans="1:6">
      <c r="A314" s="175" t="s">
        <v>1753</v>
      </c>
      <c r="B314" s="176"/>
      <c r="C314" s="176"/>
      <c r="D314" s="176"/>
      <c r="E314" s="176"/>
      <c r="F314" s="176"/>
    </row>
    <row r="315" spans="1:6">
      <c r="A315" s="227" t="s">
        <v>1794</v>
      </c>
      <c r="B315" s="227"/>
      <c r="C315" s="227"/>
      <c r="D315" s="227"/>
      <c r="E315" s="227"/>
      <c r="F315" s="227"/>
    </row>
    <row r="316" spans="1:6">
      <c r="A316" s="228" t="s">
        <v>1795</v>
      </c>
      <c r="B316" s="228"/>
      <c r="C316" s="228"/>
      <c r="D316" s="228"/>
      <c r="E316" s="228" t="s">
        <v>1796</v>
      </c>
      <c r="F316" s="228"/>
    </row>
    <row r="317" spans="1:6">
      <c r="A317" s="229" t="s">
        <v>1797</v>
      </c>
      <c r="B317" s="230"/>
      <c r="C317" s="230"/>
      <c r="D317" s="230"/>
      <c r="E317" s="230"/>
      <c r="F317" s="230"/>
    </row>
    <row r="318" ht="24" spans="1:6">
      <c r="A318" s="236" t="s">
        <v>354</v>
      </c>
      <c r="B318" s="236" t="s">
        <v>1798</v>
      </c>
      <c r="C318" s="237" t="s">
        <v>1799</v>
      </c>
      <c r="D318" s="236" t="s">
        <v>54</v>
      </c>
      <c r="E318" s="236" t="s">
        <v>1800</v>
      </c>
      <c r="F318" s="236" t="s">
        <v>1185</v>
      </c>
    </row>
    <row r="319" spans="1:6">
      <c r="A319" s="236">
        <v>1</v>
      </c>
      <c r="B319" s="238" t="s">
        <v>960</v>
      </c>
      <c r="C319" s="236"/>
      <c r="D319" s="236"/>
      <c r="E319" s="236"/>
      <c r="F319" s="239">
        <f>F320+F329</f>
        <v>782.57304</v>
      </c>
    </row>
    <row r="320" spans="1:6">
      <c r="A320" s="236" t="s">
        <v>1779</v>
      </c>
      <c r="B320" s="238" t="s">
        <v>957</v>
      </c>
      <c r="C320" s="236"/>
      <c r="D320" s="236"/>
      <c r="E320" s="236"/>
      <c r="F320" s="239">
        <f>F323+F325+F326</f>
        <v>746.73</v>
      </c>
    </row>
    <row r="321" spans="1:6">
      <c r="A321" s="236"/>
      <c r="B321" s="238" t="s">
        <v>1801</v>
      </c>
      <c r="C321" s="236" t="s">
        <v>965</v>
      </c>
      <c r="D321" s="233">
        <f>D296</f>
        <v>8.1</v>
      </c>
      <c r="E321" s="231">
        <v>11</v>
      </c>
      <c r="F321" s="240">
        <f>D321*E321</f>
        <v>89.1</v>
      </c>
    </row>
    <row r="322" spans="1:6">
      <c r="A322" s="236"/>
      <c r="B322" s="238" t="s">
        <v>968</v>
      </c>
      <c r="C322" s="236" t="s">
        <v>965</v>
      </c>
      <c r="D322" s="233">
        <f>D297</f>
        <v>5.77</v>
      </c>
      <c r="E322" s="241">
        <v>44</v>
      </c>
      <c r="F322" s="240">
        <f>D322*E322</f>
        <v>253.88</v>
      </c>
    </row>
    <row r="323" spans="1:6">
      <c r="A323" s="236"/>
      <c r="B323" s="238" t="s">
        <v>278</v>
      </c>
      <c r="C323" s="236"/>
      <c r="D323" s="233"/>
      <c r="E323" s="233"/>
      <c r="F323" s="233">
        <f>SUM(F321:F322)</f>
        <v>342.98</v>
      </c>
    </row>
    <row r="324" spans="1:6">
      <c r="A324" s="236"/>
      <c r="B324" s="238" t="s">
        <v>1802</v>
      </c>
      <c r="C324" s="236"/>
      <c r="D324" s="233"/>
      <c r="E324" s="233"/>
      <c r="F324" s="233" t="s">
        <v>919</v>
      </c>
    </row>
    <row r="325" spans="1:6">
      <c r="A325" s="236"/>
      <c r="B325" s="229" t="s">
        <v>1803</v>
      </c>
      <c r="C325" s="231" t="s">
        <v>988</v>
      </c>
      <c r="D325" s="233">
        <f>50/8</f>
        <v>6.25</v>
      </c>
      <c r="E325" s="233">
        <f>0.2*8</f>
        <v>1.6</v>
      </c>
      <c r="F325" s="233">
        <f>E325*D325</f>
        <v>10</v>
      </c>
    </row>
    <row r="326" spans="1:6">
      <c r="A326" s="236"/>
      <c r="B326" s="238" t="s">
        <v>1804</v>
      </c>
      <c r="C326" s="236" t="s">
        <v>1785</v>
      </c>
      <c r="D326" s="233"/>
      <c r="E326" s="233"/>
      <c r="F326" s="233">
        <f>SUM(F327:F328)</f>
        <v>393.75</v>
      </c>
    </row>
    <row r="327" spans="1:6">
      <c r="A327" s="236"/>
      <c r="B327" s="238" t="s">
        <v>1805</v>
      </c>
      <c r="C327" s="236" t="s">
        <v>1806</v>
      </c>
      <c r="D327" s="233">
        <v>3</v>
      </c>
      <c r="E327" s="233">
        <v>125</v>
      </c>
      <c r="F327" s="233">
        <f>D327*E327</f>
        <v>375</v>
      </c>
    </row>
    <row r="328" spans="1:6">
      <c r="A328" s="236"/>
      <c r="B328" s="238" t="s">
        <v>1807</v>
      </c>
      <c r="C328" s="236"/>
      <c r="D328" s="233"/>
      <c r="E328" s="233"/>
      <c r="F328" s="233">
        <f>F327*5/100</f>
        <v>18.75</v>
      </c>
    </row>
    <row r="329" spans="1:6">
      <c r="A329" s="231" t="s">
        <v>1808</v>
      </c>
      <c r="B329" s="238" t="s">
        <v>971</v>
      </c>
      <c r="C329" s="236"/>
      <c r="D329" s="240">
        <f>F320</f>
        <v>746.73</v>
      </c>
      <c r="E329" s="225">
        <f>E306</f>
        <v>0.048</v>
      </c>
      <c r="F329" s="233">
        <f>E329*D329</f>
        <v>35.84304</v>
      </c>
    </row>
    <row r="330" spans="1:6">
      <c r="A330" s="206">
        <v>2</v>
      </c>
      <c r="B330" s="234" t="s">
        <v>973</v>
      </c>
      <c r="C330" s="236"/>
      <c r="D330" s="235">
        <f>F319</f>
        <v>782.57304</v>
      </c>
      <c r="E330" s="225">
        <f>E307</f>
        <v>0.0725</v>
      </c>
      <c r="F330" s="233">
        <f>E330*D330</f>
        <v>56.7365454</v>
      </c>
    </row>
    <row r="331" spans="1:6">
      <c r="A331" s="231">
        <v>3</v>
      </c>
      <c r="B331" s="238" t="s">
        <v>1792</v>
      </c>
      <c r="C331" s="236"/>
      <c r="D331" s="240">
        <f>F319+F330</f>
        <v>839.3095854</v>
      </c>
      <c r="E331" s="225">
        <f>E308</f>
        <v>0.05</v>
      </c>
      <c r="F331" s="233">
        <f>E331*D331</f>
        <v>41.96547927</v>
      </c>
    </row>
    <row r="332" spans="1:6">
      <c r="A332" s="231">
        <v>5</v>
      </c>
      <c r="B332" s="238" t="s">
        <v>976</v>
      </c>
      <c r="C332" s="236"/>
      <c r="D332" s="207">
        <f>F319+F330+F331</f>
        <v>881.27506467</v>
      </c>
      <c r="E332" s="225">
        <f>E312</f>
        <v>0.09</v>
      </c>
      <c r="F332" s="240">
        <f>D332*E332</f>
        <v>79.3147558203</v>
      </c>
    </row>
    <row r="333" spans="1:6">
      <c r="A333" s="236"/>
      <c r="B333" s="238" t="s">
        <v>1193</v>
      </c>
      <c r="C333" s="236"/>
      <c r="D333" s="240"/>
      <c r="E333" s="233"/>
      <c r="F333" s="240">
        <f>F319+F330+F331+F332</f>
        <v>960.5898204903</v>
      </c>
    </row>
    <row r="334" ht="18.75" spans="1:6">
      <c r="A334" s="175" t="s">
        <v>1753</v>
      </c>
      <c r="B334" s="176"/>
      <c r="C334" s="176"/>
      <c r="D334" s="176"/>
      <c r="E334" s="176"/>
      <c r="F334" s="176"/>
    </row>
    <row r="335" ht="15.75" spans="1:6">
      <c r="A335" s="242" t="s">
        <v>1809</v>
      </c>
      <c r="B335" s="243"/>
      <c r="C335" s="243"/>
      <c r="D335" s="243"/>
      <c r="E335" s="243"/>
      <c r="F335" s="243"/>
    </row>
    <row r="336" spans="1:6">
      <c r="A336" s="199" t="s">
        <v>1317</v>
      </c>
      <c r="B336" s="191"/>
      <c r="C336" s="243"/>
      <c r="D336" s="243"/>
      <c r="E336" s="191" t="s">
        <v>1159</v>
      </c>
      <c r="F336" s="191"/>
    </row>
    <row r="337" spans="1:6">
      <c r="A337" s="117" t="s">
        <v>1218</v>
      </c>
      <c r="B337" s="192"/>
      <c r="C337" s="192"/>
      <c r="D337" s="192"/>
      <c r="E337" s="192"/>
      <c r="F337" s="118"/>
    </row>
    <row r="338" spans="1:6">
      <c r="A338" s="57" t="s">
        <v>354</v>
      </c>
      <c r="B338" s="57" t="s">
        <v>956</v>
      </c>
      <c r="C338" s="57" t="s">
        <v>52</v>
      </c>
      <c r="D338" s="57" t="s">
        <v>855</v>
      </c>
      <c r="E338" s="57" t="s">
        <v>53</v>
      </c>
      <c r="F338" s="57" t="s">
        <v>306</v>
      </c>
    </row>
    <row r="339" spans="1:6">
      <c r="A339" s="57" t="s">
        <v>959</v>
      </c>
      <c r="B339" s="57" t="s">
        <v>960</v>
      </c>
      <c r="C339" s="57"/>
      <c r="D339" s="57"/>
      <c r="E339" s="57"/>
      <c r="F339" s="84">
        <f>F340+F366+F367</f>
        <v>30154.6538485153</v>
      </c>
    </row>
    <row r="340" spans="1:6">
      <c r="A340" s="57" t="s">
        <v>59</v>
      </c>
      <c r="B340" s="57" t="s">
        <v>957</v>
      </c>
      <c r="C340" s="57"/>
      <c r="D340" s="57"/>
      <c r="E340" s="57"/>
      <c r="F340" s="84">
        <f>F341+F344+F355+F363</f>
        <v>28773.5246646138</v>
      </c>
    </row>
    <row r="341" spans="1:6">
      <c r="A341" s="57">
        <v>1</v>
      </c>
      <c r="B341" s="57" t="s">
        <v>964</v>
      </c>
      <c r="C341" s="57" t="s">
        <v>965</v>
      </c>
      <c r="D341" s="84"/>
      <c r="E341" s="92">
        <f>SUM(E342:E343)</f>
        <v>1000.9</v>
      </c>
      <c r="F341" s="113">
        <f>SUM(F342:F343)</f>
        <v>7221.657</v>
      </c>
    </row>
    <row r="342" spans="1:6">
      <c r="A342" s="57"/>
      <c r="B342" s="57" t="s">
        <v>966</v>
      </c>
      <c r="C342" s="57" t="s">
        <v>965</v>
      </c>
      <c r="D342" s="113">
        <f>新定额单价!D1186</f>
        <v>8.1</v>
      </c>
      <c r="E342" s="92">
        <v>620.8</v>
      </c>
      <c r="F342" s="113">
        <f t="shared" ref="F342:F353" si="25">D342*E342</f>
        <v>5028.48</v>
      </c>
    </row>
    <row r="343" spans="1:6">
      <c r="A343" s="57"/>
      <c r="B343" s="57" t="s">
        <v>968</v>
      </c>
      <c r="C343" s="57" t="s">
        <v>965</v>
      </c>
      <c r="D343" s="113">
        <f>新定额单价!D1187</f>
        <v>5.77</v>
      </c>
      <c r="E343" s="92">
        <v>380.1</v>
      </c>
      <c r="F343" s="113">
        <f t="shared" si="25"/>
        <v>2193.177</v>
      </c>
    </row>
    <row r="344" spans="1:6">
      <c r="A344" s="57">
        <v>2</v>
      </c>
      <c r="B344" s="57" t="s">
        <v>1219</v>
      </c>
      <c r="C344" s="57"/>
      <c r="D344" s="84"/>
      <c r="E344" s="84"/>
      <c r="F344" s="84">
        <f>SUM(F345:F354)</f>
        <v>18919.2798265313</v>
      </c>
    </row>
    <row r="345" spans="1:6">
      <c r="A345" s="57"/>
      <c r="B345" s="244" t="s">
        <v>1272</v>
      </c>
      <c r="C345" s="244" t="s">
        <v>1188</v>
      </c>
      <c r="D345" s="84">
        <f>新定额单价!D1189</f>
        <v>2232.665025</v>
      </c>
      <c r="E345" s="84">
        <v>0.03</v>
      </c>
      <c r="F345" s="84">
        <f t="shared" si="25"/>
        <v>66.97995075</v>
      </c>
    </row>
    <row r="346" spans="1:6">
      <c r="A346" s="57"/>
      <c r="B346" s="244" t="s">
        <v>1273</v>
      </c>
      <c r="C346" s="244" t="s">
        <v>184</v>
      </c>
      <c r="D346" s="84">
        <f>新定额单价!D1190</f>
        <v>4.44</v>
      </c>
      <c r="E346" s="84">
        <v>0.98</v>
      </c>
      <c r="F346" s="84">
        <f t="shared" si="25"/>
        <v>4.3512</v>
      </c>
    </row>
    <row r="347" spans="1:6">
      <c r="A347" s="57"/>
      <c r="B347" s="244" t="s">
        <v>1274</v>
      </c>
      <c r="C347" s="244" t="s">
        <v>184</v>
      </c>
      <c r="D347" s="84">
        <f>新定额单价!D1191</f>
        <v>4.5</v>
      </c>
      <c r="E347" s="84">
        <v>2.34</v>
      </c>
      <c r="F347" s="84">
        <f t="shared" si="25"/>
        <v>10.53</v>
      </c>
    </row>
    <row r="348" spans="1:6">
      <c r="A348" s="57"/>
      <c r="B348" s="244" t="s">
        <v>1275</v>
      </c>
      <c r="C348" s="244" t="s">
        <v>184</v>
      </c>
      <c r="D348" s="84">
        <f>新定额单价!D1192</f>
        <v>5.15</v>
      </c>
      <c r="E348" s="84">
        <v>3.14</v>
      </c>
      <c r="F348" s="84">
        <f t="shared" si="25"/>
        <v>16.171</v>
      </c>
    </row>
    <row r="349" spans="1:6">
      <c r="A349" s="57"/>
      <c r="B349" s="244" t="s">
        <v>1276</v>
      </c>
      <c r="C349" s="244" t="s">
        <v>184</v>
      </c>
      <c r="D349" s="84">
        <f>新定额单价!D1193</f>
        <v>4.5</v>
      </c>
      <c r="E349" s="84">
        <v>0.07</v>
      </c>
      <c r="F349" s="84">
        <f t="shared" si="25"/>
        <v>0.315</v>
      </c>
    </row>
    <row r="350" spans="1:6">
      <c r="A350" s="57"/>
      <c r="B350" s="244" t="s">
        <v>1277</v>
      </c>
      <c r="C350" s="244" t="s">
        <v>184</v>
      </c>
      <c r="D350" s="84">
        <f>新定额单价!D1194</f>
        <v>6.39</v>
      </c>
      <c r="E350" s="84">
        <v>3.65</v>
      </c>
      <c r="F350" s="84">
        <f t="shared" si="25"/>
        <v>23.3235</v>
      </c>
    </row>
    <row r="351" spans="1:6">
      <c r="A351" s="57"/>
      <c r="B351" s="244" t="s">
        <v>1278</v>
      </c>
      <c r="C351" s="244" t="s">
        <v>184</v>
      </c>
      <c r="D351" s="84">
        <f>新定额单价!D1195</f>
        <v>5.97</v>
      </c>
      <c r="E351" s="84">
        <v>0.08</v>
      </c>
      <c r="F351" s="84">
        <f t="shared" si="25"/>
        <v>0.4776</v>
      </c>
    </row>
    <row r="352" spans="1:6">
      <c r="A352" s="57"/>
      <c r="B352" s="57" t="s">
        <v>1279</v>
      </c>
      <c r="C352" s="57" t="s">
        <v>1188</v>
      </c>
      <c r="D352" s="84">
        <f>配合比!M8</f>
        <v>176.4913185</v>
      </c>
      <c r="E352" s="84">
        <v>103</v>
      </c>
      <c r="F352" s="84">
        <f t="shared" si="25"/>
        <v>18178.6058055</v>
      </c>
    </row>
    <row r="353" spans="1:6">
      <c r="A353" s="57"/>
      <c r="B353" s="57" t="s">
        <v>1022</v>
      </c>
      <c r="C353" s="57" t="s">
        <v>1188</v>
      </c>
      <c r="D353" s="84">
        <f>材料预算价!K14</f>
        <v>4.37</v>
      </c>
      <c r="E353" s="84">
        <v>120</v>
      </c>
      <c r="F353" s="84">
        <f t="shared" si="25"/>
        <v>524.4</v>
      </c>
    </row>
    <row r="354" spans="1:6">
      <c r="A354" s="57"/>
      <c r="B354" s="57" t="s">
        <v>1163</v>
      </c>
      <c r="C354" s="59" t="s">
        <v>423</v>
      </c>
      <c r="D354" s="84">
        <f>F345+F346+F347+F348+F349+F350+F351+F352++F353</f>
        <v>18825.15405625</v>
      </c>
      <c r="E354" s="84">
        <v>0.5</v>
      </c>
      <c r="F354" s="84">
        <f>D354*E354/100</f>
        <v>94.12577028125</v>
      </c>
    </row>
    <row r="355" spans="1:6">
      <c r="A355" s="57">
        <v>3</v>
      </c>
      <c r="B355" s="57" t="s">
        <v>1171</v>
      </c>
      <c r="C355" s="57"/>
      <c r="D355" s="84"/>
      <c r="E355" s="84"/>
      <c r="F355" s="84">
        <f>SUM(F356:F362)</f>
        <v>646.176417409852</v>
      </c>
    </row>
    <row r="356" spans="1:6">
      <c r="A356" s="57"/>
      <c r="B356" s="57" t="s">
        <v>1280</v>
      </c>
      <c r="C356" s="57" t="s">
        <v>988</v>
      </c>
      <c r="D356" s="84">
        <f>新定额单价!D1200</f>
        <v>49.389824491424</v>
      </c>
      <c r="E356" s="84">
        <v>0.08</v>
      </c>
      <c r="F356" s="84">
        <f t="shared" ref="F356:F361" si="26">D356*E356</f>
        <v>3.95118595931392</v>
      </c>
    </row>
    <row r="357" spans="1:6">
      <c r="A357" s="57"/>
      <c r="B357" s="57" t="s">
        <v>1281</v>
      </c>
      <c r="C357" s="57" t="s">
        <v>988</v>
      </c>
      <c r="D357" s="84">
        <f>新定额单价!D1201</f>
        <v>62.3342780215397</v>
      </c>
      <c r="E357" s="84">
        <v>0.12</v>
      </c>
      <c r="F357" s="84">
        <f t="shared" si="26"/>
        <v>7.48011336258476</v>
      </c>
    </row>
    <row r="358" spans="1:6">
      <c r="A358" s="57"/>
      <c r="B358" s="57" t="s">
        <v>1282</v>
      </c>
      <c r="C358" s="57" t="s">
        <v>988</v>
      </c>
      <c r="D358" s="84">
        <f>新定额单价!D1202</f>
        <v>8.0471858795373</v>
      </c>
      <c r="E358" s="204">
        <v>0.12</v>
      </c>
      <c r="F358" s="84">
        <f t="shared" si="26"/>
        <v>0.965662305544476</v>
      </c>
    </row>
    <row r="359" spans="1:6">
      <c r="A359" s="57"/>
      <c r="B359" s="57" t="s">
        <v>1283</v>
      </c>
      <c r="C359" s="57" t="s">
        <v>988</v>
      </c>
      <c r="D359" s="84">
        <f>新定额单价!D1203</f>
        <v>23.7459521340247</v>
      </c>
      <c r="E359" s="84">
        <v>18.54</v>
      </c>
      <c r="F359" s="84">
        <f t="shared" si="26"/>
        <v>440.249952564818</v>
      </c>
    </row>
    <row r="360" spans="1:6">
      <c r="A360" s="57"/>
      <c r="B360" s="57" t="s">
        <v>1297</v>
      </c>
      <c r="C360" s="57" t="s">
        <v>988</v>
      </c>
      <c r="D360" s="84">
        <f>新定额单价!D1204</f>
        <v>2.37852772237734</v>
      </c>
      <c r="E360" s="84">
        <v>40.05</v>
      </c>
      <c r="F360" s="84">
        <f t="shared" si="26"/>
        <v>95.2600352812125</v>
      </c>
    </row>
    <row r="361" spans="1:6">
      <c r="A361" s="57"/>
      <c r="B361" s="57" t="s">
        <v>1190</v>
      </c>
      <c r="C361" s="57" t="s">
        <v>988</v>
      </c>
      <c r="D361" s="84">
        <f>新定额单价!D1205</f>
        <v>0.813242919824491</v>
      </c>
      <c r="E361" s="84">
        <v>83</v>
      </c>
      <c r="F361" s="84">
        <f t="shared" si="26"/>
        <v>67.4991623454328</v>
      </c>
    </row>
    <row r="362" spans="1:6">
      <c r="A362" s="57"/>
      <c r="B362" s="57" t="s">
        <v>1223</v>
      </c>
      <c r="C362" s="59" t="s">
        <v>423</v>
      </c>
      <c r="D362" s="84">
        <f>SUM(F356:F361)</f>
        <v>615.406111818906</v>
      </c>
      <c r="E362" s="196">
        <v>5</v>
      </c>
      <c r="F362" s="84">
        <f>D362*E362/100</f>
        <v>30.7703055909453</v>
      </c>
    </row>
    <row r="363" spans="1:6">
      <c r="A363" s="57">
        <v>4</v>
      </c>
      <c r="B363" s="57" t="s">
        <v>1285</v>
      </c>
      <c r="C363" s="59"/>
      <c r="D363" s="84"/>
      <c r="E363" s="84"/>
      <c r="F363" s="84">
        <f>SUM(F364:F365)</f>
        <v>1986.41142067271</v>
      </c>
    </row>
    <row r="364" spans="1:6">
      <c r="A364" s="57"/>
      <c r="B364" s="245" t="s">
        <v>1286</v>
      </c>
      <c r="C364" s="245" t="s">
        <v>1188</v>
      </c>
      <c r="D364" s="246">
        <f>新定额单价!$F$2253/100</f>
        <v>5.03319379720782</v>
      </c>
      <c r="E364" s="246">
        <v>103</v>
      </c>
      <c r="F364" s="84">
        <f>D364*E364</f>
        <v>518.418961112406</v>
      </c>
    </row>
    <row r="365" spans="1:6">
      <c r="A365" s="57"/>
      <c r="B365" s="245" t="s">
        <v>1287</v>
      </c>
      <c r="C365" s="245" t="s">
        <v>1188</v>
      </c>
      <c r="D365" s="246">
        <f>新定额单价!$F$2271/100</f>
        <v>14.2523539763136</v>
      </c>
      <c r="E365" s="246">
        <v>103</v>
      </c>
      <c r="F365" s="84">
        <f>D365*E365</f>
        <v>1467.9924595603</v>
      </c>
    </row>
    <row r="366" spans="1:6">
      <c r="A366" s="57" t="s">
        <v>70</v>
      </c>
      <c r="B366" s="57" t="s">
        <v>977</v>
      </c>
      <c r="C366" s="194">
        <f>取费表!$C$7</f>
        <v>0.048</v>
      </c>
      <c r="D366" s="246"/>
      <c r="E366" s="246">
        <f>F340</f>
        <v>28773.5246646138</v>
      </c>
      <c r="F366" s="84">
        <f t="shared" ref="F366:F369" si="27">E366*C366</f>
        <v>1381.12918390146</v>
      </c>
    </row>
    <row r="367" spans="1:6">
      <c r="A367" s="57"/>
      <c r="B367" s="57"/>
      <c r="C367" s="194"/>
      <c r="D367" s="246"/>
      <c r="E367" s="246"/>
      <c r="F367" s="84"/>
    </row>
    <row r="368" spans="1:6">
      <c r="A368" s="57" t="s">
        <v>979</v>
      </c>
      <c r="B368" s="57" t="s">
        <v>973</v>
      </c>
      <c r="C368" s="194">
        <f>取费表!$E$7</f>
        <v>0.07</v>
      </c>
      <c r="D368" s="246"/>
      <c r="E368" s="246">
        <f>F339</f>
        <v>30154.6538485153</v>
      </c>
      <c r="F368" s="84">
        <f t="shared" si="27"/>
        <v>2110.82576939607</v>
      </c>
    </row>
    <row r="369" spans="1:6">
      <c r="A369" s="57" t="s">
        <v>162</v>
      </c>
      <c r="B369" s="57" t="s">
        <v>980</v>
      </c>
      <c r="C369" s="194">
        <f>取费表!$F$7</f>
        <v>0.07</v>
      </c>
      <c r="D369" s="246"/>
      <c r="E369" s="246">
        <f>F368+F339</f>
        <v>32265.4796179113</v>
      </c>
      <c r="F369" s="84">
        <f t="shared" si="27"/>
        <v>2258.58357325379</v>
      </c>
    </row>
    <row r="370" spans="1:6">
      <c r="A370" s="57" t="s">
        <v>214</v>
      </c>
      <c r="B370" s="57" t="s">
        <v>1173</v>
      </c>
      <c r="C370" s="59"/>
      <c r="D370" s="84"/>
      <c r="E370" s="57"/>
      <c r="F370" s="113">
        <f>F371+F375</f>
        <v>9288.33052793235</v>
      </c>
    </row>
    <row r="371" spans="1:6">
      <c r="A371" s="57">
        <v>1</v>
      </c>
      <c r="B371" s="57" t="s">
        <v>1288</v>
      </c>
      <c r="C371" s="59"/>
      <c r="D371" s="84"/>
      <c r="E371" s="57"/>
      <c r="F371" s="113">
        <f>SUM(F372:F374)</f>
        <v>9280.41232793235</v>
      </c>
    </row>
    <row r="372" spans="1:6">
      <c r="A372" s="57"/>
      <c r="B372" s="57" t="s">
        <v>1141</v>
      </c>
      <c r="C372" s="57" t="s">
        <v>69</v>
      </c>
      <c r="D372" s="84">
        <f>新定额单价!D1216</f>
        <v>156.64017</v>
      </c>
      <c r="E372" s="84">
        <f>E352*配合比!E8</f>
        <v>31.641291</v>
      </c>
      <c r="F372" s="113">
        <f t="shared" ref="F372:F374" si="28">D372*E372</f>
        <v>4956.29720125947</v>
      </c>
    </row>
    <row r="373" spans="1:6">
      <c r="A373" s="57"/>
      <c r="B373" s="57" t="s">
        <v>1142</v>
      </c>
      <c r="C373" s="57" t="s">
        <v>1188</v>
      </c>
      <c r="D373" s="84">
        <f>新定额单价!D1217</f>
        <v>44.826214</v>
      </c>
      <c r="E373" s="84">
        <f>E352*配合比!G8</f>
        <v>56.62734</v>
      </c>
      <c r="F373" s="113">
        <f t="shared" si="28"/>
        <v>2538.38926109076</v>
      </c>
    </row>
    <row r="374" spans="1:6">
      <c r="A374" s="57"/>
      <c r="B374" s="57" t="s">
        <v>1110</v>
      </c>
      <c r="C374" s="57" t="s">
        <v>1188</v>
      </c>
      <c r="D374" s="84">
        <f>材料预算价!K8-材料预算价!L8</f>
        <v>20.60443</v>
      </c>
      <c r="E374" s="84">
        <f>E352*配合比!I8</f>
        <v>86.667084</v>
      </c>
      <c r="F374" s="113">
        <f t="shared" si="28"/>
        <v>1785.72586558212</v>
      </c>
    </row>
    <row r="375" spans="1:6">
      <c r="A375" s="57">
        <v>2</v>
      </c>
      <c r="B375" s="57" t="s">
        <v>1289</v>
      </c>
      <c r="C375" s="57"/>
      <c r="D375" s="84"/>
      <c r="E375" s="88"/>
      <c r="F375" s="113">
        <f>SUM(F376:F377)</f>
        <v>7.9182</v>
      </c>
    </row>
    <row r="376" spans="1:6">
      <c r="A376" s="57"/>
      <c r="B376" s="57" t="s">
        <v>1290</v>
      </c>
      <c r="C376" s="57" t="s">
        <v>184</v>
      </c>
      <c r="D376" s="84">
        <f>材料预算价!K13-材料预算价!L13</f>
        <v>6.225</v>
      </c>
      <c r="E376" s="88">
        <f>(E356*7.2+E357*5.8)</f>
        <v>1.272</v>
      </c>
      <c r="F376" s="113">
        <f>D376*E376</f>
        <v>7.9182</v>
      </c>
    </row>
    <row r="377" spans="1:6">
      <c r="A377" s="57"/>
      <c r="B377" s="57" t="s">
        <v>1174</v>
      </c>
      <c r="C377" s="57" t="s">
        <v>184</v>
      </c>
      <c r="D377" s="84">
        <f>材料预算价!K12-材料预算价!L12</f>
        <v>4.86</v>
      </c>
      <c r="E377" s="88"/>
      <c r="F377" s="113">
        <f>D377*E377</f>
        <v>0</v>
      </c>
    </row>
    <row r="378" spans="1:6">
      <c r="A378" s="57" t="s">
        <v>327</v>
      </c>
      <c r="B378" s="57" t="s">
        <v>976</v>
      </c>
      <c r="C378" s="195">
        <f>新定额单价!C1221</f>
        <v>0.09</v>
      </c>
      <c r="D378" s="84"/>
      <c r="E378" s="84">
        <f>F370+F369+F368+F339</f>
        <v>43812.3937190975</v>
      </c>
      <c r="F378" s="84">
        <f>E378*C378</f>
        <v>3943.11543471877</v>
      </c>
    </row>
    <row r="379" spans="1:6">
      <c r="A379" s="57"/>
      <c r="B379" s="57" t="s">
        <v>984</v>
      </c>
      <c r="C379" s="195"/>
      <c r="D379" s="84"/>
      <c r="E379" s="84"/>
      <c r="F379" s="84">
        <f>(F339+F368+F369+F370+F378)*取费表!H4</f>
        <v>1432.66527461449</v>
      </c>
    </row>
    <row r="380" spans="1:6">
      <c r="A380" s="57"/>
      <c r="B380" s="57" t="s">
        <v>278</v>
      </c>
      <c r="C380" s="57"/>
      <c r="D380" s="84"/>
      <c r="E380" s="84"/>
      <c r="F380" s="84">
        <f>F378+E378+F379</f>
        <v>49188.1744284307</v>
      </c>
    </row>
    <row r="381" ht="18.75" spans="1:6">
      <c r="A381" s="175" t="s">
        <v>1753</v>
      </c>
      <c r="B381" s="176"/>
      <c r="C381" s="176"/>
      <c r="D381" s="176"/>
      <c r="E381" s="176"/>
      <c r="F381" s="176"/>
    </row>
    <row r="382" ht="15.75" spans="1:6">
      <c r="A382" s="247" t="s">
        <v>1810</v>
      </c>
      <c r="B382" s="243"/>
      <c r="C382" s="243"/>
      <c r="D382" s="243"/>
      <c r="E382" s="243"/>
      <c r="F382" s="243"/>
    </row>
    <row r="383" spans="1:6">
      <c r="A383" s="191" t="s">
        <v>1323</v>
      </c>
      <c r="B383" s="191"/>
      <c r="C383" s="168"/>
      <c r="D383" s="168"/>
      <c r="E383" s="191" t="s">
        <v>1159</v>
      </c>
      <c r="F383" s="191"/>
    </row>
    <row r="384" spans="1:6">
      <c r="A384" s="117" t="s">
        <v>1324</v>
      </c>
      <c r="B384" s="192"/>
      <c r="C384" s="192"/>
      <c r="D384" s="192"/>
      <c r="E384" s="192"/>
      <c r="F384" s="118"/>
    </row>
    <row r="385" spans="1:6">
      <c r="A385" s="57" t="s">
        <v>354</v>
      </c>
      <c r="B385" s="57" t="s">
        <v>956</v>
      </c>
      <c r="C385" s="57" t="s">
        <v>52</v>
      </c>
      <c r="D385" s="57" t="s">
        <v>855</v>
      </c>
      <c r="E385" s="57" t="s">
        <v>53</v>
      </c>
      <c r="F385" s="57" t="s">
        <v>306</v>
      </c>
    </row>
    <row r="386" spans="1:6">
      <c r="A386" s="57" t="s">
        <v>959</v>
      </c>
      <c r="B386" s="57" t="s">
        <v>960</v>
      </c>
      <c r="C386" s="57"/>
      <c r="D386" s="57"/>
      <c r="E386" s="248"/>
      <c r="F386" s="84">
        <f>F387+F412+F413</f>
        <v>34081.9200589453</v>
      </c>
    </row>
    <row r="387" spans="1:6">
      <c r="A387" s="57" t="s">
        <v>59</v>
      </c>
      <c r="B387" s="57" t="s">
        <v>957</v>
      </c>
      <c r="C387" s="57"/>
      <c r="D387" s="57"/>
      <c r="E387" s="248"/>
      <c r="F387" s="196">
        <f>F388+F391+F401+F409</f>
        <v>32520.9160867799</v>
      </c>
    </row>
    <row r="388" spans="1:6">
      <c r="A388" s="57">
        <v>1</v>
      </c>
      <c r="B388" s="57" t="s">
        <v>964</v>
      </c>
      <c r="C388" s="57" t="s">
        <v>965</v>
      </c>
      <c r="D388" s="84"/>
      <c r="E388" s="249">
        <f>SUM(E389:E390)</f>
        <v>1486.1</v>
      </c>
      <c r="F388" s="113">
        <f>SUM(F389:F390)</f>
        <v>10790.86</v>
      </c>
    </row>
    <row r="389" spans="1:6">
      <c r="A389" s="57"/>
      <c r="B389" s="57" t="s">
        <v>966</v>
      </c>
      <c r="C389" s="57" t="s">
        <v>965</v>
      </c>
      <c r="D389" s="113">
        <f>建筑工程单价分析表!D342</f>
        <v>8.1</v>
      </c>
      <c r="E389" s="250">
        <v>951.1</v>
      </c>
      <c r="F389" s="251">
        <f t="shared" ref="F389:F399" si="29">D389*E389</f>
        <v>7703.91</v>
      </c>
    </row>
    <row r="390" spans="1:6">
      <c r="A390" s="57"/>
      <c r="B390" s="57" t="s">
        <v>968</v>
      </c>
      <c r="C390" s="57" t="s">
        <v>965</v>
      </c>
      <c r="D390" s="113">
        <f>建筑工程单价分析表!D343</f>
        <v>5.77</v>
      </c>
      <c r="E390" s="250">
        <v>535</v>
      </c>
      <c r="F390" s="251">
        <f t="shared" si="29"/>
        <v>3086.95</v>
      </c>
    </row>
    <row r="391" spans="1:6">
      <c r="A391" s="57">
        <v>2</v>
      </c>
      <c r="B391" s="57" t="s">
        <v>1219</v>
      </c>
      <c r="C391" s="57"/>
      <c r="D391" s="84"/>
      <c r="E391" s="84"/>
      <c r="F391" s="84">
        <f>SUM(F392:F400)</f>
        <v>18981.3913016955</v>
      </c>
    </row>
    <row r="392" spans="1:6">
      <c r="A392" s="57"/>
      <c r="B392" s="244" t="s">
        <v>1272</v>
      </c>
      <c r="C392" s="244" t="s">
        <v>1188</v>
      </c>
      <c r="D392" s="84">
        <f>建筑工程单价分析表!D345</f>
        <v>2232.665025</v>
      </c>
      <c r="E392" s="84">
        <v>0.4</v>
      </c>
      <c r="F392" s="84">
        <f t="shared" si="29"/>
        <v>893.06601</v>
      </c>
    </row>
    <row r="393" spans="1:6">
      <c r="A393" s="57"/>
      <c r="B393" s="244" t="s">
        <v>1273</v>
      </c>
      <c r="C393" s="244" t="s">
        <v>184</v>
      </c>
      <c r="D393" s="84">
        <v>4.44</v>
      </c>
      <c r="E393" s="84">
        <v>52.08</v>
      </c>
      <c r="F393" s="84">
        <f t="shared" si="29"/>
        <v>231.2352</v>
      </c>
    </row>
    <row r="394" spans="1:6">
      <c r="A394" s="57"/>
      <c r="B394" s="244" t="s">
        <v>1274</v>
      </c>
      <c r="C394" s="244" t="s">
        <v>184</v>
      </c>
      <c r="D394" s="84">
        <v>4.5</v>
      </c>
      <c r="E394" s="84">
        <v>42.2</v>
      </c>
      <c r="F394" s="84">
        <f t="shared" si="29"/>
        <v>189.9</v>
      </c>
    </row>
    <row r="395" spans="1:6">
      <c r="A395" s="57"/>
      <c r="B395" s="244" t="s">
        <v>1275</v>
      </c>
      <c r="C395" s="244" t="s">
        <v>184</v>
      </c>
      <c r="D395" s="84">
        <v>5.15</v>
      </c>
      <c r="E395" s="84">
        <v>22.32</v>
      </c>
      <c r="F395" s="84">
        <f t="shared" si="29"/>
        <v>114.948</v>
      </c>
    </row>
    <row r="396" spans="1:6">
      <c r="A396" s="57"/>
      <c r="B396" s="244" t="s">
        <v>1276</v>
      </c>
      <c r="C396" s="244" t="s">
        <v>184</v>
      </c>
      <c r="D396" s="84">
        <v>4.5</v>
      </c>
      <c r="E396" s="84">
        <v>67.3</v>
      </c>
      <c r="F396" s="84">
        <f t="shared" si="29"/>
        <v>302.85</v>
      </c>
    </row>
    <row r="397" spans="1:6">
      <c r="A397" s="57"/>
      <c r="B397" s="244" t="s">
        <v>1278</v>
      </c>
      <c r="C397" s="244" t="s">
        <v>184</v>
      </c>
      <c r="D397" s="84">
        <v>5.97</v>
      </c>
      <c r="E397" s="84">
        <v>1.5</v>
      </c>
      <c r="F397" s="84">
        <f t="shared" si="29"/>
        <v>8.955</v>
      </c>
    </row>
    <row r="398" spans="1:6">
      <c r="A398" s="57"/>
      <c r="B398" s="57" t="s">
        <v>1311</v>
      </c>
      <c r="C398" s="57" t="s">
        <v>1188</v>
      </c>
      <c r="D398" s="84">
        <f>配合比!M6</f>
        <v>161.3747797</v>
      </c>
      <c r="E398" s="84">
        <v>103</v>
      </c>
      <c r="F398" s="84">
        <f t="shared" si="29"/>
        <v>16621.6023091</v>
      </c>
    </row>
    <row r="399" spans="1:6">
      <c r="A399" s="57"/>
      <c r="B399" s="57" t="s">
        <v>1022</v>
      </c>
      <c r="C399" s="57" t="s">
        <v>1188</v>
      </c>
      <c r="D399" s="84">
        <f>材料预算价!K14</f>
        <v>4.37</v>
      </c>
      <c r="E399" s="84">
        <v>120</v>
      </c>
      <c r="F399" s="84">
        <f t="shared" si="29"/>
        <v>524.4</v>
      </c>
    </row>
    <row r="400" spans="1:6">
      <c r="A400" s="57"/>
      <c r="B400" s="57" t="s">
        <v>1163</v>
      </c>
      <c r="C400" s="59" t="s">
        <v>423</v>
      </c>
      <c r="D400" s="84">
        <f>F392+F393+F394+F395+F396+F397+F398++F399</f>
        <v>18886.9565191</v>
      </c>
      <c r="E400" s="84">
        <v>0.5</v>
      </c>
      <c r="F400" s="84">
        <f>D400*E400/100</f>
        <v>94.4347825955</v>
      </c>
    </row>
    <row r="401" spans="1:6">
      <c r="A401" s="57">
        <v>3</v>
      </c>
      <c r="B401" s="57" t="s">
        <v>1171</v>
      </c>
      <c r="C401" s="57"/>
      <c r="D401" s="84"/>
      <c r="E401" s="84"/>
      <c r="F401" s="84">
        <f>SUM(F402:F408)</f>
        <v>762.253364411667</v>
      </c>
    </row>
    <row r="402" spans="1:6">
      <c r="A402" s="57"/>
      <c r="B402" s="57" t="s">
        <v>1280</v>
      </c>
      <c r="C402" s="57" t="s">
        <v>988</v>
      </c>
      <c r="D402" s="84">
        <f>建筑工程单价分析表!D356</f>
        <v>49.389824491424</v>
      </c>
      <c r="E402" s="84">
        <v>1.5012</v>
      </c>
      <c r="F402" s="84">
        <f t="shared" ref="F402:F407" si="30">D402*E402</f>
        <v>74.1440045265257</v>
      </c>
    </row>
    <row r="403" spans="1:6">
      <c r="A403" s="57"/>
      <c r="B403" s="57" t="s">
        <v>1281</v>
      </c>
      <c r="C403" s="57" t="s">
        <v>988</v>
      </c>
      <c r="D403" s="84">
        <f>建筑工程单价分析表!D357</f>
        <v>62.3342780215397</v>
      </c>
      <c r="E403" s="84">
        <v>0.35</v>
      </c>
      <c r="F403" s="84">
        <f t="shared" si="30"/>
        <v>21.8169973075389</v>
      </c>
    </row>
    <row r="404" spans="1:6">
      <c r="A404" s="57"/>
      <c r="B404" s="57" t="s">
        <v>1282</v>
      </c>
      <c r="C404" s="57" t="s">
        <v>988</v>
      </c>
      <c r="D404" s="84">
        <f>建筑工程单价分析表!D358</f>
        <v>8.0471858795373</v>
      </c>
      <c r="E404" s="204">
        <v>3.3534</v>
      </c>
      <c r="F404" s="84">
        <f t="shared" si="30"/>
        <v>26.9854331284404</v>
      </c>
    </row>
    <row r="405" spans="1:6">
      <c r="A405" s="57"/>
      <c r="B405" s="57" t="s">
        <v>1340</v>
      </c>
      <c r="C405" s="57" t="s">
        <v>988</v>
      </c>
      <c r="D405" s="84">
        <f>建筑工程单价分析表!D359</f>
        <v>23.7459521340247</v>
      </c>
      <c r="E405" s="84">
        <v>18.54</v>
      </c>
      <c r="F405" s="84">
        <f t="shared" si="30"/>
        <v>440.249952564818</v>
      </c>
    </row>
    <row r="406" spans="1:6">
      <c r="A406" s="57"/>
      <c r="B406" s="57" t="s">
        <v>1297</v>
      </c>
      <c r="C406" s="57" t="s">
        <v>988</v>
      </c>
      <c r="D406" s="84">
        <f>建筑工程单价分析表!D360</f>
        <v>2.37852772237734</v>
      </c>
      <c r="E406" s="252">
        <v>40.05</v>
      </c>
      <c r="F406" s="84">
        <f t="shared" si="30"/>
        <v>95.2600352812125</v>
      </c>
    </row>
    <row r="407" spans="1:6">
      <c r="A407" s="57"/>
      <c r="B407" s="57" t="s">
        <v>1190</v>
      </c>
      <c r="C407" s="57" t="s">
        <v>988</v>
      </c>
      <c r="D407" s="84">
        <f>建筑工程单价分析表!D361</f>
        <v>0.813242919824491</v>
      </c>
      <c r="E407" s="84">
        <v>83</v>
      </c>
      <c r="F407" s="84">
        <f t="shared" si="30"/>
        <v>67.4991623454328</v>
      </c>
    </row>
    <row r="408" spans="1:6">
      <c r="A408" s="57"/>
      <c r="B408" s="57" t="s">
        <v>1223</v>
      </c>
      <c r="C408" s="59" t="s">
        <v>423</v>
      </c>
      <c r="D408" s="84">
        <f>SUM(F402:F407)</f>
        <v>725.955585153968</v>
      </c>
      <c r="E408" s="84">
        <v>5</v>
      </c>
      <c r="F408" s="84">
        <f>D408*E408/100</f>
        <v>36.2977792576984</v>
      </c>
    </row>
    <row r="409" spans="1:6">
      <c r="A409" s="57">
        <v>4</v>
      </c>
      <c r="B409" s="57" t="s">
        <v>1285</v>
      </c>
      <c r="C409" s="59"/>
      <c r="D409" s="84"/>
      <c r="E409" s="84"/>
      <c r="F409" s="84">
        <f>SUM(F410:F411)</f>
        <v>1986.41142067271</v>
      </c>
    </row>
    <row r="410" spans="1:6">
      <c r="A410" s="57"/>
      <c r="B410" s="245" t="s">
        <v>1286</v>
      </c>
      <c r="C410" s="245" t="s">
        <v>1188</v>
      </c>
      <c r="D410" s="246">
        <f>新定额单价!$F$2253/100</f>
        <v>5.03319379720782</v>
      </c>
      <c r="E410" s="246">
        <v>103</v>
      </c>
      <c r="F410" s="84">
        <f>D410*E410</f>
        <v>518.418961112406</v>
      </c>
    </row>
    <row r="411" spans="1:6">
      <c r="A411" s="57"/>
      <c r="B411" s="245" t="s">
        <v>1287</v>
      </c>
      <c r="C411" s="245" t="s">
        <v>1188</v>
      </c>
      <c r="D411" s="246">
        <f>新定额单价!$F$2271/100</f>
        <v>14.2523539763136</v>
      </c>
      <c r="E411" s="246">
        <v>103</v>
      </c>
      <c r="F411" s="84">
        <f>D411*E411</f>
        <v>1467.9924595603</v>
      </c>
    </row>
    <row r="412" spans="1:6">
      <c r="A412" s="57" t="s">
        <v>70</v>
      </c>
      <c r="B412" s="57" t="s">
        <v>977</v>
      </c>
      <c r="C412" s="194">
        <f>取费表!$C$7</f>
        <v>0.048</v>
      </c>
      <c r="D412" s="246"/>
      <c r="E412" s="246">
        <f>F387</f>
        <v>32520.9160867799</v>
      </c>
      <c r="F412" s="84">
        <f t="shared" ref="F412:F415" si="31">E412*C412</f>
        <v>1561.00397216543</v>
      </c>
    </row>
    <row r="413" spans="1:6">
      <c r="A413" s="57"/>
      <c r="B413" s="57"/>
      <c r="C413" s="194"/>
      <c r="D413" s="246"/>
      <c r="E413" s="246"/>
      <c r="F413" s="84"/>
    </row>
    <row r="414" spans="1:6">
      <c r="A414" s="57" t="s">
        <v>979</v>
      </c>
      <c r="B414" s="57" t="s">
        <v>973</v>
      </c>
      <c r="C414" s="194">
        <f>取费表!$E$7</f>
        <v>0.07</v>
      </c>
      <c r="D414" s="246"/>
      <c r="E414" s="246">
        <f>F386</f>
        <v>34081.9200589453</v>
      </c>
      <c r="F414" s="84">
        <f t="shared" si="31"/>
        <v>2385.73440412617</v>
      </c>
    </row>
    <row r="415" spans="1:6">
      <c r="A415" s="57" t="s">
        <v>162</v>
      </c>
      <c r="B415" s="57" t="s">
        <v>980</v>
      </c>
      <c r="C415" s="194">
        <f>取费表!$F$7</f>
        <v>0.07</v>
      </c>
      <c r="D415" s="246"/>
      <c r="E415" s="246">
        <f>F414+F386</f>
        <v>36467.6544630715</v>
      </c>
      <c r="F415" s="84">
        <f t="shared" si="31"/>
        <v>2552.735812415</v>
      </c>
    </row>
    <row r="416" spans="1:6">
      <c r="A416" s="55" t="s">
        <v>214</v>
      </c>
      <c r="B416" s="55" t="s">
        <v>1173</v>
      </c>
      <c r="C416" s="253"/>
      <c r="D416" s="254"/>
      <c r="E416" s="55"/>
      <c r="F416" s="255">
        <f>F417+F422</f>
        <v>8405.93280190771</v>
      </c>
    </row>
    <row r="417" spans="1:6">
      <c r="A417" s="57">
        <v>1</v>
      </c>
      <c r="B417" s="57" t="s">
        <v>1288</v>
      </c>
      <c r="C417" s="59"/>
      <c r="D417" s="84"/>
      <c r="E417" s="57"/>
      <c r="F417" s="113">
        <f>SUM(F418:F421)</f>
        <v>8326.01226790771</v>
      </c>
    </row>
    <row r="418" spans="1:6">
      <c r="A418" s="57"/>
      <c r="B418" s="57"/>
      <c r="C418" s="57"/>
      <c r="D418" s="84"/>
      <c r="E418" s="84"/>
      <c r="F418" s="113"/>
    </row>
    <row r="419" spans="1:6">
      <c r="A419" s="57"/>
      <c r="B419" s="57" t="s">
        <v>1141</v>
      </c>
      <c r="C419" s="57" t="s">
        <v>69</v>
      </c>
      <c r="D419" s="84">
        <f>建筑工程单价分析表!D372</f>
        <v>156.64017</v>
      </c>
      <c r="E419" s="84">
        <f>E398*配合比!E6</f>
        <v>25.23059572</v>
      </c>
      <c r="F419" s="113">
        <f t="shared" ref="F419:F421" si="32">D419*E419</f>
        <v>3952.12480278207</v>
      </c>
    </row>
    <row r="420" spans="1:6">
      <c r="A420" s="57"/>
      <c r="B420" s="57" t="s">
        <v>1142</v>
      </c>
      <c r="C420" s="57" t="s">
        <v>1188</v>
      </c>
      <c r="D420" s="84">
        <f>新定额单价!D1312</f>
        <v>44.826214</v>
      </c>
      <c r="E420" s="84">
        <f>E398*配合比!G6</f>
        <v>57.73768</v>
      </c>
      <c r="F420" s="113">
        <f t="shared" si="32"/>
        <v>2588.16159954352</v>
      </c>
    </row>
    <row r="421" spans="1:6">
      <c r="A421" s="57"/>
      <c r="B421" s="57" t="s">
        <v>1110</v>
      </c>
      <c r="C421" s="57" t="s">
        <v>1188</v>
      </c>
      <c r="D421" s="84">
        <f>材料预算价!K8-材料预算价!L8</f>
        <v>20.60443</v>
      </c>
      <c r="E421" s="84">
        <f>E398*配合比!I6</f>
        <v>86.667084</v>
      </c>
      <c r="F421" s="113">
        <f t="shared" si="32"/>
        <v>1785.72586558212</v>
      </c>
    </row>
    <row r="422" spans="1:6">
      <c r="A422" s="57">
        <v>2</v>
      </c>
      <c r="B422" s="57" t="s">
        <v>1289</v>
      </c>
      <c r="C422" s="57"/>
      <c r="D422" s="84"/>
      <c r="E422" s="88"/>
      <c r="F422" s="113">
        <f>SUM(F423:F424)</f>
        <v>79.920534</v>
      </c>
    </row>
    <row r="423" spans="1:6">
      <c r="A423" s="57"/>
      <c r="B423" s="57" t="s">
        <v>1290</v>
      </c>
      <c r="C423" s="57" t="s">
        <v>184</v>
      </c>
      <c r="D423" s="84">
        <f>材料预算价!K13-材料预算价!L13</f>
        <v>6.225</v>
      </c>
      <c r="E423" s="88">
        <f>(E402*7.2+E403*5.8)</f>
        <v>12.83864</v>
      </c>
      <c r="F423" s="113">
        <f>D423*E423</f>
        <v>79.920534</v>
      </c>
    </row>
    <row r="424" spans="1:6">
      <c r="A424" s="57"/>
      <c r="B424" s="57" t="s">
        <v>1174</v>
      </c>
      <c r="C424" s="57" t="s">
        <v>184</v>
      </c>
      <c r="D424" s="84">
        <f>材料预算价!K12-材料预算价!L12</f>
        <v>4.86</v>
      </c>
      <c r="E424" s="88"/>
      <c r="F424" s="113">
        <f>D424*E424</f>
        <v>0</v>
      </c>
    </row>
    <row r="425" spans="1:6">
      <c r="A425" s="55" t="s">
        <v>327</v>
      </c>
      <c r="B425" s="57" t="s">
        <v>976</v>
      </c>
      <c r="C425" s="195">
        <f>建筑工程单价分析表!C378</f>
        <v>0.09</v>
      </c>
      <c r="D425" s="84"/>
      <c r="E425" s="84">
        <f>F416+F415+F414+F386</f>
        <v>47426.3230773942</v>
      </c>
      <c r="F425" s="84">
        <f>E425*C425</f>
        <v>4268.36907696548</v>
      </c>
    </row>
    <row r="426" spans="1:6">
      <c r="A426" s="55"/>
      <c r="B426" s="57" t="s">
        <v>984</v>
      </c>
      <c r="C426" s="195"/>
      <c r="D426" s="84"/>
      <c r="E426" s="84"/>
      <c r="F426" s="84">
        <f>(F386+F414+F415+F416+F425)*取费表!H4</f>
        <v>1550.84076463079</v>
      </c>
    </row>
    <row r="427" spans="1:6">
      <c r="A427" s="57"/>
      <c r="B427" s="57" t="s">
        <v>278</v>
      </c>
      <c r="C427" s="57"/>
      <c r="D427" s="84"/>
      <c r="E427" s="84"/>
      <c r="F427" s="84">
        <f>F425+E425+F426</f>
        <v>53245.5329189905</v>
      </c>
    </row>
    <row r="428" ht="18.75" spans="1:6">
      <c r="A428" s="175" t="s">
        <v>1753</v>
      </c>
      <c r="B428" s="176"/>
      <c r="C428" s="176"/>
      <c r="D428" s="176"/>
      <c r="E428" s="176"/>
      <c r="F428" s="176"/>
    </row>
    <row r="429" ht="15.75" spans="1:6">
      <c r="A429" s="242" t="s">
        <v>1811</v>
      </c>
      <c r="B429" s="243"/>
      <c r="C429" s="243"/>
      <c r="D429" s="243"/>
      <c r="E429" s="243"/>
      <c r="F429" s="243"/>
    </row>
    <row r="430" spans="1:6">
      <c r="A430" s="191" t="s">
        <v>1323</v>
      </c>
      <c r="B430" s="191"/>
      <c r="C430" s="168"/>
      <c r="D430" s="168"/>
      <c r="E430" s="191" t="s">
        <v>1159</v>
      </c>
      <c r="F430" s="191"/>
    </row>
    <row r="431" spans="1:6">
      <c r="A431" s="117" t="s">
        <v>1324</v>
      </c>
      <c r="B431" s="192"/>
      <c r="C431" s="192"/>
      <c r="D431" s="192"/>
      <c r="E431" s="192"/>
      <c r="F431" s="118"/>
    </row>
    <row r="432" spans="1:6">
      <c r="A432" s="57" t="s">
        <v>354</v>
      </c>
      <c r="B432" s="57" t="s">
        <v>956</v>
      </c>
      <c r="C432" s="57" t="s">
        <v>52</v>
      </c>
      <c r="D432" s="57" t="s">
        <v>855</v>
      </c>
      <c r="E432" s="57" t="s">
        <v>53</v>
      </c>
      <c r="F432" s="57" t="s">
        <v>306</v>
      </c>
    </row>
    <row r="433" spans="1:6">
      <c r="A433" s="57" t="s">
        <v>959</v>
      </c>
      <c r="B433" s="57" t="s">
        <v>960</v>
      </c>
      <c r="C433" s="57"/>
      <c r="D433" s="57"/>
      <c r="E433" s="248"/>
      <c r="F433" s="84">
        <f>F434+F459+F460</f>
        <v>35721.8184214936</v>
      </c>
    </row>
    <row r="434" spans="1:6">
      <c r="A434" s="57" t="s">
        <v>59</v>
      </c>
      <c r="B434" s="57" t="s">
        <v>957</v>
      </c>
      <c r="C434" s="57"/>
      <c r="D434" s="57"/>
      <c r="E434" s="248"/>
      <c r="F434" s="84">
        <f>F435+F438+F448+F456</f>
        <v>34085.7046006619</v>
      </c>
    </row>
    <row r="435" spans="1:6">
      <c r="A435" s="57">
        <v>1</v>
      </c>
      <c r="B435" s="57" t="s">
        <v>964</v>
      </c>
      <c r="C435" s="57" t="s">
        <v>965</v>
      </c>
      <c r="D435" s="84"/>
      <c r="E435" s="249">
        <f>SUM(E436:E437)</f>
        <v>1486.1</v>
      </c>
      <c r="F435" s="113">
        <f>SUM(F436:F437)</f>
        <v>10790.86</v>
      </c>
    </row>
    <row r="436" spans="1:6">
      <c r="A436" s="57"/>
      <c r="B436" s="57" t="s">
        <v>966</v>
      </c>
      <c r="C436" s="57" t="s">
        <v>965</v>
      </c>
      <c r="D436" s="113">
        <f t="shared" ref="D436:D444" si="33">D389</f>
        <v>8.1</v>
      </c>
      <c r="E436" s="250">
        <v>951.1</v>
      </c>
      <c r="F436" s="113">
        <f t="shared" ref="F436:F446" si="34">D436*E436</f>
        <v>7703.91</v>
      </c>
    </row>
    <row r="437" spans="1:6">
      <c r="A437" s="57"/>
      <c r="B437" s="57" t="s">
        <v>968</v>
      </c>
      <c r="C437" s="57" t="s">
        <v>965</v>
      </c>
      <c r="D437" s="113">
        <f t="shared" si="33"/>
        <v>5.77</v>
      </c>
      <c r="E437" s="250">
        <v>535</v>
      </c>
      <c r="F437" s="113">
        <f t="shared" si="34"/>
        <v>3086.95</v>
      </c>
    </row>
    <row r="438" spans="1:6">
      <c r="A438" s="57">
        <v>2</v>
      </c>
      <c r="B438" s="57" t="s">
        <v>1219</v>
      </c>
      <c r="C438" s="57"/>
      <c r="D438" s="84"/>
      <c r="E438" s="84"/>
      <c r="F438" s="84">
        <f>SUM(F439:F447)</f>
        <v>20546.1798155775</v>
      </c>
    </row>
    <row r="439" spans="1:6">
      <c r="A439" s="57"/>
      <c r="B439" s="244" t="s">
        <v>1272</v>
      </c>
      <c r="C439" s="244" t="s">
        <v>1188</v>
      </c>
      <c r="D439" s="84">
        <f t="shared" si="33"/>
        <v>2232.665025</v>
      </c>
      <c r="E439" s="84">
        <v>0.4</v>
      </c>
      <c r="F439" s="84">
        <f t="shared" si="34"/>
        <v>893.06601</v>
      </c>
    </row>
    <row r="440" spans="1:6">
      <c r="A440" s="57"/>
      <c r="B440" s="244" t="s">
        <v>1273</v>
      </c>
      <c r="C440" s="244" t="s">
        <v>184</v>
      </c>
      <c r="D440" s="84">
        <f t="shared" si="33"/>
        <v>4.44</v>
      </c>
      <c r="E440" s="84">
        <v>52.08</v>
      </c>
      <c r="F440" s="84">
        <f t="shared" si="34"/>
        <v>231.2352</v>
      </c>
    </row>
    <row r="441" spans="1:6">
      <c r="A441" s="57"/>
      <c r="B441" s="244" t="s">
        <v>1274</v>
      </c>
      <c r="C441" s="244" t="s">
        <v>184</v>
      </c>
      <c r="D441" s="84">
        <f t="shared" si="33"/>
        <v>4.5</v>
      </c>
      <c r="E441" s="84">
        <v>42.2</v>
      </c>
      <c r="F441" s="84">
        <f t="shared" si="34"/>
        <v>189.9</v>
      </c>
    </row>
    <row r="442" spans="1:6">
      <c r="A442" s="57"/>
      <c r="B442" s="244" t="s">
        <v>1275</v>
      </c>
      <c r="C442" s="244" t="s">
        <v>184</v>
      </c>
      <c r="D442" s="84">
        <f t="shared" si="33"/>
        <v>5.15</v>
      </c>
      <c r="E442" s="84">
        <v>22.32</v>
      </c>
      <c r="F442" s="84">
        <f t="shared" si="34"/>
        <v>114.948</v>
      </c>
    </row>
    <row r="443" spans="1:6">
      <c r="A443" s="57"/>
      <c r="B443" s="244" t="s">
        <v>1276</v>
      </c>
      <c r="C443" s="244" t="s">
        <v>184</v>
      </c>
      <c r="D443" s="84">
        <f t="shared" si="33"/>
        <v>4.5</v>
      </c>
      <c r="E443" s="84">
        <v>67.3</v>
      </c>
      <c r="F443" s="84">
        <f t="shared" si="34"/>
        <v>302.85</v>
      </c>
    </row>
    <row r="444" spans="1:6">
      <c r="A444" s="57"/>
      <c r="B444" s="244" t="s">
        <v>1278</v>
      </c>
      <c r="C444" s="244" t="s">
        <v>184</v>
      </c>
      <c r="D444" s="84">
        <f t="shared" si="33"/>
        <v>5.97</v>
      </c>
      <c r="E444" s="84">
        <v>1.5</v>
      </c>
      <c r="F444" s="84">
        <f t="shared" si="34"/>
        <v>8.955</v>
      </c>
    </row>
    <row r="445" spans="1:6">
      <c r="A445" s="57"/>
      <c r="B445" s="57" t="s">
        <v>1279</v>
      </c>
      <c r="C445" s="57" t="s">
        <v>1188</v>
      </c>
      <c r="D445" s="84">
        <f>配合比!M8</f>
        <v>176.4913185</v>
      </c>
      <c r="E445" s="84">
        <v>103</v>
      </c>
      <c r="F445" s="84">
        <f t="shared" si="34"/>
        <v>18178.6058055</v>
      </c>
    </row>
    <row r="446" spans="1:6">
      <c r="A446" s="57"/>
      <c r="B446" s="57" t="s">
        <v>1022</v>
      </c>
      <c r="C446" s="57" t="s">
        <v>1188</v>
      </c>
      <c r="D446" s="84">
        <f>材料预算价!K14</f>
        <v>4.37</v>
      </c>
      <c r="E446" s="84">
        <v>120</v>
      </c>
      <c r="F446" s="84">
        <f t="shared" si="34"/>
        <v>524.4</v>
      </c>
    </row>
    <row r="447" spans="1:6">
      <c r="A447" s="57"/>
      <c r="B447" s="57" t="s">
        <v>1163</v>
      </c>
      <c r="C447" s="59" t="s">
        <v>423</v>
      </c>
      <c r="D447" s="84">
        <f>F439+F440+F441+F442+F443+F444+F445++F446</f>
        <v>20443.9600155</v>
      </c>
      <c r="E447" s="84">
        <v>0.5</v>
      </c>
      <c r="F447" s="84">
        <f>D447*E447/100</f>
        <v>102.2198000775</v>
      </c>
    </row>
    <row r="448" spans="1:6">
      <c r="A448" s="57">
        <v>3</v>
      </c>
      <c r="B448" s="57" t="s">
        <v>1171</v>
      </c>
      <c r="C448" s="57"/>
      <c r="D448" s="84"/>
      <c r="E448" s="84"/>
      <c r="F448" s="84">
        <f>SUM(F449:F455)</f>
        <v>762.253364411667</v>
      </c>
    </row>
    <row r="449" spans="1:6">
      <c r="A449" s="57"/>
      <c r="B449" s="57" t="s">
        <v>1280</v>
      </c>
      <c r="C449" s="57" t="s">
        <v>988</v>
      </c>
      <c r="D449" s="84">
        <f t="shared" ref="D449:D454" si="35">D402</f>
        <v>49.389824491424</v>
      </c>
      <c r="E449" s="84">
        <v>1.5012</v>
      </c>
      <c r="F449" s="84">
        <f t="shared" ref="F449:F454" si="36">D449*E449</f>
        <v>74.1440045265257</v>
      </c>
    </row>
    <row r="450" spans="1:6">
      <c r="A450" s="57"/>
      <c r="B450" s="57" t="s">
        <v>1281</v>
      </c>
      <c r="C450" s="57" t="s">
        <v>988</v>
      </c>
      <c r="D450" s="84">
        <f t="shared" si="35"/>
        <v>62.3342780215397</v>
      </c>
      <c r="E450" s="84">
        <v>0.35</v>
      </c>
      <c r="F450" s="84">
        <f t="shared" si="36"/>
        <v>21.8169973075389</v>
      </c>
    </row>
    <row r="451" spans="1:6">
      <c r="A451" s="57"/>
      <c r="B451" s="57" t="s">
        <v>1282</v>
      </c>
      <c r="C451" s="57" t="s">
        <v>988</v>
      </c>
      <c r="D451" s="84">
        <f t="shared" si="35"/>
        <v>8.0471858795373</v>
      </c>
      <c r="E451" s="204">
        <v>3.3534</v>
      </c>
      <c r="F451" s="84">
        <f t="shared" si="36"/>
        <v>26.9854331284404</v>
      </c>
    </row>
    <row r="452" spans="1:6">
      <c r="A452" s="57"/>
      <c r="B452" s="57" t="s">
        <v>1283</v>
      </c>
      <c r="C452" s="57" t="s">
        <v>988</v>
      </c>
      <c r="D452" s="84">
        <f t="shared" si="35"/>
        <v>23.7459521340247</v>
      </c>
      <c r="E452" s="84">
        <v>18.54</v>
      </c>
      <c r="F452" s="84">
        <f t="shared" si="36"/>
        <v>440.249952564818</v>
      </c>
    </row>
    <row r="453" spans="1:6">
      <c r="A453" s="57"/>
      <c r="B453" s="57" t="s">
        <v>1297</v>
      </c>
      <c r="C453" s="57" t="s">
        <v>988</v>
      </c>
      <c r="D453" s="84">
        <f t="shared" si="35"/>
        <v>2.37852772237734</v>
      </c>
      <c r="E453" s="252">
        <v>40.05</v>
      </c>
      <c r="F453" s="84">
        <f t="shared" si="36"/>
        <v>95.2600352812125</v>
      </c>
    </row>
    <row r="454" spans="1:6">
      <c r="A454" s="57"/>
      <c r="B454" s="57" t="s">
        <v>1190</v>
      </c>
      <c r="C454" s="57" t="s">
        <v>988</v>
      </c>
      <c r="D454" s="84">
        <f t="shared" si="35"/>
        <v>0.813242919824491</v>
      </c>
      <c r="E454" s="84">
        <v>83</v>
      </c>
      <c r="F454" s="84">
        <f t="shared" si="36"/>
        <v>67.4991623454328</v>
      </c>
    </row>
    <row r="455" spans="1:6">
      <c r="A455" s="57"/>
      <c r="B455" s="57" t="s">
        <v>1223</v>
      </c>
      <c r="C455" s="59" t="s">
        <v>423</v>
      </c>
      <c r="D455" s="84">
        <f>SUM(F449:F454)</f>
        <v>725.955585153968</v>
      </c>
      <c r="E455" s="84">
        <v>5</v>
      </c>
      <c r="F455" s="84">
        <f>D455*E455/100</f>
        <v>36.2977792576984</v>
      </c>
    </row>
    <row r="456" spans="1:6">
      <c r="A456" s="55">
        <v>4</v>
      </c>
      <c r="B456" s="55" t="s">
        <v>1285</v>
      </c>
      <c r="C456" s="253"/>
      <c r="D456" s="254"/>
      <c r="E456" s="254"/>
      <c r="F456" s="254">
        <f>SUM(F457:F458)</f>
        <v>1986.41142067271</v>
      </c>
    </row>
    <row r="457" spans="1:6">
      <c r="A457" s="57"/>
      <c r="B457" s="245" t="s">
        <v>1286</v>
      </c>
      <c r="C457" s="245" t="s">
        <v>1188</v>
      </c>
      <c r="D457" s="246">
        <f>新定额单价!$F$2253/100</f>
        <v>5.03319379720782</v>
      </c>
      <c r="E457" s="246">
        <v>103</v>
      </c>
      <c r="F457" s="84">
        <f>D457*E457</f>
        <v>518.418961112406</v>
      </c>
    </row>
    <row r="458" spans="1:6">
      <c r="A458" s="57"/>
      <c r="B458" s="245" t="s">
        <v>1287</v>
      </c>
      <c r="C458" s="245" t="s">
        <v>1188</v>
      </c>
      <c r="D458" s="246">
        <f>新定额单价!$F$2271/100</f>
        <v>14.2523539763136</v>
      </c>
      <c r="E458" s="246">
        <v>103</v>
      </c>
      <c r="F458" s="84">
        <f>D458*E458</f>
        <v>1467.9924595603</v>
      </c>
    </row>
    <row r="459" spans="1:6">
      <c r="A459" s="57" t="s">
        <v>70</v>
      </c>
      <c r="B459" s="57" t="s">
        <v>977</v>
      </c>
      <c r="C459" s="194">
        <f>取费表!$C$7</f>
        <v>0.048</v>
      </c>
      <c r="D459" s="246"/>
      <c r="E459" s="246">
        <f>F434</f>
        <v>34085.7046006619</v>
      </c>
      <c r="F459" s="84">
        <f t="shared" ref="F459:F462" si="37">E459*C459</f>
        <v>1636.11382083177</v>
      </c>
    </row>
    <row r="460" spans="1:6">
      <c r="A460" s="57"/>
      <c r="B460" s="57"/>
      <c r="C460" s="194"/>
      <c r="D460" s="246"/>
      <c r="E460" s="246"/>
      <c r="F460" s="84"/>
    </row>
    <row r="461" spans="1:6">
      <c r="A461" s="57" t="s">
        <v>979</v>
      </c>
      <c r="B461" s="57" t="s">
        <v>973</v>
      </c>
      <c r="C461" s="194">
        <f>取费表!$E$7</f>
        <v>0.07</v>
      </c>
      <c r="D461" s="246"/>
      <c r="E461" s="246">
        <f>F433</f>
        <v>35721.8184214936</v>
      </c>
      <c r="F461" s="84">
        <f t="shared" si="37"/>
        <v>2500.52728950456</v>
      </c>
    </row>
    <row r="462" spans="1:6">
      <c r="A462" s="57" t="s">
        <v>162</v>
      </c>
      <c r="B462" s="57" t="s">
        <v>980</v>
      </c>
      <c r="C462" s="194">
        <f>取费表!$F$7</f>
        <v>0.07</v>
      </c>
      <c r="D462" s="246"/>
      <c r="E462" s="246">
        <f>F461+F433</f>
        <v>38222.3457109982</v>
      </c>
      <c r="F462" s="84">
        <f t="shared" si="37"/>
        <v>2675.56419976987</v>
      </c>
    </row>
    <row r="463" spans="1:6">
      <c r="A463" s="55" t="s">
        <v>214</v>
      </c>
      <c r="B463" s="55" t="s">
        <v>1173</v>
      </c>
      <c r="C463" s="253"/>
      <c r="D463" s="254"/>
      <c r="E463" s="55"/>
      <c r="F463" s="255">
        <f>F464+F469</f>
        <v>9360.33286193235</v>
      </c>
    </row>
    <row r="464" spans="1:6">
      <c r="A464" s="57">
        <v>1</v>
      </c>
      <c r="B464" s="57" t="s">
        <v>1288</v>
      </c>
      <c r="C464" s="59"/>
      <c r="D464" s="84"/>
      <c r="E464" s="57"/>
      <c r="F464" s="113">
        <f>SUM(F465:F468)</f>
        <v>9280.41232793235</v>
      </c>
    </row>
    <row r="465" spans="1:6">
      <c r="A465" s="57"/>
      <c r="B465" s="57"/>
      <c r="C465" s="57"/>
      <c r="D465" s="84"/>
      <c r="E465" s="84"/>
      <c r="F465" s="113"/>
    </row>
    <row r="466" spans="1:6">
      <c r="A466" s="57"/>
      <c r="B466" s="57" t="s">
        <v>1141</v>
      </c>
      <c r="C466" s="57" t="s">
        <v>69</v>
      </c>
      <c r="D466" s="84">
        <f>材料预算价!K5-材料预算价!L5</f>
        <v>156.64017</v>
      </c>
      <c r="E466" s="84">
        <f>E445*配合比!E8</f>
        <v>31.641291</v>
      </c>
      <c r="F466" s="113">
        <f t="shared" ref="F466:F468" si="38">D466*E466</f>
        <v>4956.29720125947</v>
      </c>
    </row>
    <row r="467" spans="1:6">
      <c r="A467" s="57"/>
      <c r="B467" s="57" t="s">
        <v>1142</v>
      </c>
      <c r="C467" s="57" t="s">
        <v>1188</v>
      </c>
      <c r="D467" s="84">
        <f>D420</f>
        <v>44.826214</v>
      </c>
      <c r="E467" s="84">
        <f>E445*配合比!G8</f>
        <v>56.62734</v>
      </c>
      <c r="F467" s="113">
        <f t="shared" si="38"/>
        <v>2538.38926109076</v>
      </c>
    </row>
    <row r="468" spans="1:6">
      <c r="A468" s="57"/>
      <c r="B468" s="57" t="s">
        <v>1110</v>
      </c>
      <c r="C468" s="57" t="s">
        <v>1188</v>
      </c>
      <c r="D468" s="84">
        <f>材料预算价!K8-材料预算价!L8</f>
        <v>20.60443</v>
      </c>
      <c r="E468" s="84">
        <f>E445*配合比!I8</f>
        <v>86.667084</v>
      </c>
      <c r="F468" s="113">
        <f t="shared" si="38"/>
        <v>1785.72586558212</v>
      </c>
    </row>
    <row r="469" spans="1:6">
      <c r="A469" s="57">
        <v>2</v>
      </c>
      <c r="B469" s="57" t="s">
        <v>1289</v>
      </c>
      <c r="C469" s="57"/>
      <c r="D469" s="84"/>
      <c r="E469" s="88"/>
      <c r="F469" s="113">
        <f>SUM(F470:F471)</f>
        <v>79.920534</v>
      </c>
    </row>
    <row r="470" spans="1:6">
      <c r="A470" s="57"/>
      <c r="B470" s="57" t="s">
        <v>1290</v>
      </c>
      <c r="C470" s="57" t="s">
        <v>184</v>
      </c>
      <c r="D470" s="84">
        <f>材料预算价!K13-材料预算价!L13</f>
        <v>6.225</v>
      </c>
      <c r="E470" s="88">
        <f>(E449*7.2+E450*5.8)</f>
        <v>12.83864</v>
      </c>
      <c r="F470" s="113">
        <f>D470*E470</f>
        <v>79.920534</v>
      </c>
    </row>
    <row r="471" spans="1:6">
      <c r="A471" s="57"/>
      <c r="B471" s="57" t="s">
        <v>1174</v>
      </c>
      <c r="C471" s="57" t="s">
        <v>184</v>
      </c>
      <c r="D471" s="84">
        <f>材料预算价!K12-材料预算价!L12</f>
        <v>4.86</v>
      </c>
      <c r="E471" s="88"/>
      <c r="F471" s="113">
        <f>D471*E471</f>
        <v>0</v>
      </c>
    </row>
    <row r="472" spans="1:6">
      <c r="A472" s="57" t="s">
        <v>327</v>
      </c>
      <c r="B472" s="57" t="s">
        <v>976</v>
      </c>
      <c r="C472" s="195">
        <f>C425</f>
        <v>0.09</v>
      </c>
      <c r="D472" s="84"/>
      <c r="E472" s="84">
        <f>F463+F462+F461+F433</f>
        <v>50258.2427727004</v>
      </c>
      <c r="F472" s="84">
        <f>E472*C472</f>
        <v>4523.24184954304</v>
      </c>
    </row>
    <row r="473" spans="1:6">
      <c r="A473" s="57"/>
      <c r="B473" s="57" t="s">
        <v>984</v>
      </c>
      <c r="C473" s="195"/>
      <c r="D473" s="84"/>
      <c r="E473" s="84"/>
      <c r="F473" s="84">
        <f>(F433+F461+F462+F463+F472)*取费表!H4</f>
        <v>1643.4445386673</v>
      </c>
    </row>
    <row r="474" spans="1:6">
      <c r="A474" s="57"/>
      <c r="B474" s="57" t="s">
        <v>278</v>
      </c>
      <c r="C474" s="57"/>
      <c r="D474" s="84"/>
      <c r="E474" s="84"/>
      <c r="F474" s="84">
        <f>F472+E472+F473</f>
        <v>56424.9291609108</v>
      </c>
    </row>
    <row r="475" ht="18.75" spans="1:6">
      <c r="A475" s="175" t="s">
        <v>1753</v>
      </c>
      <c r="B475" s="176"/>
      <c r="C475" s="176"/>
      <c r="D475" s="176"/>
      <c r="E475" s="176"/>
      <c r="F475" s="176"/>
    </row>
    <row r="476" ht="15.75" spans="1:6">
      <c r="A476" s="256" t="s">
        <v>1812</v>
      </c>
      <c r="B476" s="256"/>
      <c r="C476" s="256"/>
      <c r="D476" s="256"/>
      <c r="E476" s="256"/>
      <c r="F476" s="256"/>
    </row>
    <row r="477" spans="1:6">
      <c r="A477" s="190" t="s">
        <v>1377</v>
      </c>
      <c r="B477" s="191"/>
      <c r="C477" s="243"/>
      <c r="D477" s="243"/>
      <c r="E477" s="191" t="s">
        <v>1159</v>
      </c>
      <c r="F477" s="191"/>
    </row>
    <row r="478" spans="1:6">
      <c r="A478" s="197" t="s">
        <v>1218</v>
      </c>
      <c r="B478" s="192"/>
      <c r="C478" s="201"/>
      <c r="D478" s="201"/>
      <c r="E478" s="201"/>
      <c r="F478" s="202"/>
    </row>
    <row r="479" spans="1:6">
      <c r="A479" s="57" t="s">
        <v>354</v>
      </c>
      <c r="B479" s="57" t="s">
        <v>956</v>
      </c>
      <c r="C479" s="57" t="s">
        <v>52</v>
      </c>
      <c r="D479" s="57" t="s">
        <v>855</v>
      </c>
      <c r="E479" s="57" t="s">
        <v>53</v>
      </c>
      <c r="F479" s="57" t="s">
        <v>306</v>
      </c>
    </row>
    <row r="480" spans="1:6">
      <c r="A480" s="57" t="s">
        <v>959</v>
      </c>
      <c r="B480" s="57" t="s">
        <v>964</v>
      </c>
      <c r="C480" s="57" t="s">
        <v>965</v>
      </c>
      <c r="D480" s="257"/>
      <c r="E480" s="92">
        <f>SUM(E481:E482)</f>
        <v>2246.3</v>
      </c>
      <c r="F480" s="113">
        <f>SUM(F481:F482)</f>
        <v>16572.418</v>
      </c>
    </row>
    <row r="481" spans="1:6">
      <c r="A481" s="57"/>
      <c r="B481" s="57" t="s">
        <v>966</v>
      </c>
      <c r="C481" s="57" t="s">
        <v>965</v>
      </c>
      <c r="D481" s="113">
        <f>新定额单价!D2327</f>
        <v>8.1</v>
      </c>
      <c r="E481" s="92">
        <v>1549.9</v>
      </c>
      <c r="F481" s="113">
        <f t="shared" ref="F481:F487" si="39">D481*E481</f>
        <v>12554.19</v>
      </c>
    </row>
    <row r="482" spans="1:6">
      <c r="A482" s="57"/>
      <c r="B482" s="57" t="s">
        <v>968</v>
      </c>
      <c r="C482" s="57" t="s">
        <v>965</v>
      </c>
      <c r="D482" s="113">
        <f>新定额单价!D2328</f>
        <v>5.77</v>
      </c>
      <c r="E482" s="92">
        <v>696.4</v>
      </c>
      <c r="F482" s="113">
        <f t="shared" si="39"/>
        <v>4018.228</v>
      </c>
    </row>
    <row r="483" spans="1:6">
      <c r="A483" s="57" t="s">
        <v>1372</v>
      </c>
      <c r="B483" s="57" t="s">
        <v>1219</v>
      </c>
      <c r="C483" s="57"/>
      <c r="D483" s="84"/>
      <c r="E483" s="84"/>
      <c r="F483" s="84">
        <f>SUM(F484:F488)</f>
        <v>26248.69745832</v>
      </c>
    </row>
    <row r="484" spans="1:6">
      <c r="A484" s="57"/>
      <c r="B484" s="244" t="s">
        <v>1272</v>
      </c>
      <c r="C484" s="244" t="s">
        <v>1188</v>
      </c>
      <c r="D484" s="84">
        <f>新定额单价!D2330</f>
        <v>2232.665025</v>
      </c>
      <c r="E484" s="84">
        <v>2.76</v>
      </c>
      <c r="F484" s="246">
        <f t="shared" si="39"/>
        <v>6162.155469</v>
      </c>
    </row>
    <row r="485" spans="1:6">
      <c r="A485" s="57"/>
      <c r="B485" s="244" t="s">
        <v>1378</v>
      </c>
      <c r="C485" s="244" t="s">
        <v>184</v>
      </c>
      <c r="D485" s="84">
        <v>7.99</v>
      </c>
      <c r="E485" s="258">
        <v>10</v>
      </c>
      <c r="F485" s="246">
        <f t="shared" si="39"/>
        <v>79.9</v>
      </c>
    </row>
    <row r="486" spans="1:6">
      <c r="A486" s="57"/>
      <c r="B486" s="57" t="s">
        <v>1292</v>
      </c>
      <c r="C486" s="57" t="s">
        <v>1188</v>
      </c>
      <c r="D486" s="84">
        <f>配合比!M10</f>
        <v>183.3858985</v>
      </c>
      <c r="E486" s="258">
        <v>102</v>
      </c>
      <c r="F486" s="246">
        <f t="shared" si="39"/>
        <v>18705.361647</v>
      </c>
    </row>
    <row r="487" spans="1:6">
      <c r="A487" s="57"/>
      <c r="B487" s="57" t="s">
        <v>1022</v>
      </c>
      <c r="C487" s="57" t="s">
        <v>1188</v>
      </c>
      <c r="D487" s="113">
        <f>材料预算价!K14</f>
        <v>4.37</v>
      </c>
      <c r="E487" s="84">
        <v>180</v>
      </c>
      <c r="F487" s="246">
        <f t="shared" si="39"/>
        <v>786.6</v>
      </c>
    </row>
    <row r="488" spans="1:6">
      <c r="A488" s="57"/>
      <c r="B488" s="57" t="s">
        <v>1163</v>
      </c>
      <c r="C488" s="59" t="s">
        <v>423</v>
      </c>
      <c r="D488" s="252">
        <f>SUM(F484:F487)</f>
        <v>25734.017116</v>
      </c>
      <c r="E488" s="84">
        <v>2</v>
      </c>
      <c r="F488" s="246">
        <f>D488*E488/100</f>
        <v>514.68034232</v>
      </c>
    </row>
    <row r="489" spans="1:6">
      <c r="A489" s="57" t="s">
        <v>1373</v>
      </c>
      <c r="B489" s="57" t="s">
        <v>1171</v>
      </c>
      <c r="C489" s="57"/>
      <c r="D489" s="84"/>
      <c r="E489" s="84"/>
      <c r="F489" s="259">
        <f>SUM(F490:F494)</f>
        <v>2614.83615643119</v>
      </c>
    </row>
    <row r="490" spans="1:6">
      <c r="A490" s="57"/>
      <c r="B490" s="57" t="s">
        <v>1280</v>
      </c>
      <c r="C490" s="57" t="s">
        <v>988</v>
      </c>
      <c r="D490" s="84">
        <f>台时!H42</f>
        <v>49.389824491424</v>
      </c>
      <c r="E490" s="84">
        <v>1.5</v>
      </c>
      <c r="F490" s="84">
        <f t="shared" ref="F490:F493" si="40">D490*E490</f>
        <v>74.084736737136</v>
      </c>
    </row>
    <row r="491" spans="1:6">
      <c r="A491" s="57"/>
      <c r="B491" s="57" t="s">
        <v>1380</v>
      </c>
      <c r="C491" s="57" t="s">
        <v>988</v>
      </c>
      <c r="D491" s="84">
        <f>台时!D42</f>
        <v>23.7459521340247</v>
      </c>
      <c r="E491" s="84">
        <v>18.36</v>
      </c>
      <c r="F491" s="84">
        <f t="shared" si="40"/>
        <v>435.975681180694</v>
      </c>
    </row>
    <row r="492" spans="1:6">
      <c r="A492" s="57"/>
      <c r="B492" s="57" t="s">
        <v>1284</v>
      </c>
      <c r="C492" s="57" t="s">
        <v>988</v>
      </c>
      <c r="D492" s="84">
        <f>台时!F42</f>
        <v>1.80552692461109</v>
      </c>
      <c r="E492" s="84">
        <v>44</v>
      </c>
      <c r="F492" s="84">
        <f t="shared" si="40"/>
        <v>79.443184682888</v>
      </c>
    </row>
    <row r="493" spans="1:6">
      <c r="A493" s="57"/>
      <c r="B493" s="57" t="s">
        <v>1381</v>
      </c>
      <c r="C493" s="57" t="s">
        <v>988</v>
      </c>
      <c r="D493" s="84">
        <f>台时!F63</f>
        <v>95.156325887515</v>
      </c>
      <c r="E493" s="84">
        <v>17.7</v>
      </c>
      <c r="F493" s="84">
        <f t="shared" si="40"/>
        <v>1684.26696820902</v>
      </c>
    </row>
    <row r="494" spans="1:6">
      <c r="A494" s="57"/>
      <c r="B494" s="57" t="s">
        <v>1223</v>
      </c>
      <c r="C494" s="59" t="s">
        <v>423</v>
      </c>
      <c r="D494" s="252">
        <f>SUM(F490:F493)</f>
        <v>2273.77057080973</v>
      </c>
      <c r="E494" s="84">
        <v>15</v>
      </c>
      <c r="F494" s="84">
        <f>D494*E494/100</f>
        <v>341.06558562146</v>
      </c>
    </row>
    <row r="495" spans="1:6">
      <c r="A495" s="55" t="s">
        <v>214</v>
      </c>
      <c r="B495" s="55" t="s">
        <v>1285</v>
      </c>
      <c r="C495" s="253"/>
      <c r="D495" s="254"/>
      <c r="E495" s="254"/>
      <c r="F495" s="254">
        <f>SUM(F496:F497)</f>
        <v>1967.12587289918</v>
      </c>
    </row>
    <row r="496" spans="1:6">
      <c r="A496" s="57"/>
      <c r="B496" s="245" t="s">
        <v>1286</v>
      </c>
      <c r="C496" s="245" t="s">
        <v>1188</v>
      </c>
      <c r="D496" s="246">
        <f>新定额单价!$F$2253/100</f>
        <v>5.03319379720782</v>
      </c>
      <c r="E496" s="246">
        <v>102</v>
      </c>
      <c r="F496" s="84">
        <f>D496*E496</f>
        <v>513.385767315198</v>
      </c>
    </row>
    <row r="497" spans="1:6">
      <c r="A497" s="57"/>
      <c r="B497" s="245" t="s">
        <v>1287</v>
      </c>
      <c r="C497" s="245" t="s">
        <v>1188</v>
      </c>
      <c r="D497" s="246">
        <f>新定额单价!$F$2271/100</f>
        <v>14.2523539763136</v>
      </c>
      <c r="E497" s="246">
        <v>102</v>
      </c>
      <c r="F497" s="84">
        <f>D497*E497</f>
        <v>1453.74010558399</v>
      </c>
    </row>
    <row r="498" spans="1:6">
      <c r="A498" s="57"/>
      <c r="B498" s="57" t="s">
        <v>1382</v>
      </c>
      <c r="C498" s="57"/>
      <c r="D498" s="84"/>
      <c r="E498" s="84"/>
      <c r="F498" s="84">
        <f>F480+F483+F489+F495</f>
        <v>47403.0774876504</v>
      </c>
    </row>
    <row r="499" spans="1:6">
      <c r="A499" s="57"/>
      <c r="B499" s="57"/>
      <c r="C499" s="57"/>
      <c r="D499" s="84"/>
      <c r="E499" s="84"/>
      <c r="F499" s="84"/>
    </row>
    <row r="500" spans="1:6">
      <c r="A500" s="57"/>
      <c r="B500" s="57"/>
      <c r="C500" s="57"/>
      <c r="D500" s="84"/>
      <c r="E500" s="84"/>
      <c r="F500" s="84"/>
    </row>
    <row r="501" spans="1:6">
      <c r="A501" s="57"/>
      <c r="B501" s="57"/>
      <c r="C501" s="57"/>
      <c r="D501" s="84"/>
      <c r="E501" s="84"/>
      <c r="F501" s="84"/>
    </row>
    <row r="502" spans="1:6">
      <c r="A502" s="57"/>
      <c r="B502" s="57"/>
      <c r="C502" s="57"/>
      <c r="D502" s="84"/>
      <c r="E502" s="84"/>
      <c r="F502" s="84"/>
    </row>
    <row r="503" spans="1:6">
      <c r="A503" s="57"/>
      <c r="B503" s="57"/>
      <c r="C503" s="57"/>
      <c r="D503" s="84"/>
      <c r="E503" s="84"/>
      <c r="F503" s="84"/>
    </row>
    <row r="504" spans="1:6">
      <c r="A504" s="57"/>
      <c r="B504" s="57"/>
      <c r="C504" s="57"/>
      <c r="D504" s="84"/>
      <c r="E504" s="84"/>
      <c r="F504" s="84"/>
    </row>
    <row r="505" spans="1:6">
      <c r="A505" s="57"/>
      <c r="B505" s="57"/>
      <c r="C505" s="57"/>
      <c r="D505" s="84"/>
      <c r="E505" s="84"/>
      <c r="F505" s="84"/>
    </row>
    <row r="506" spans="1:6">
      <c r="A506" s="57"/>
      <c r="B506" s="57"/>
      <c r="C506" s="57"/>
      <c r="D506" s="84"/>
      <c r="E506" s="84"/>
      <c r="F506" s="84"/>
    </row>
    <row r="507" spans="1:6">
      <c r="A507" s="57"/>
      <c r="B507" s="57"/>
      <c r="C507" s="57"/>
      <c r="D507" s="84"/>
      <c r="E507" s="84"/>
      <c r="F507" s="84"/>
    </row>
    <row r="508" spans="1:6">
      <c r="A508" s="57"/>
      <c r="B508" s="57"/>
      <c r="C508" s="57"/>
      <c r="D508" s="84"/>
      <c r="E508" s="84"/>
      <c r="F508" s="84"/>
    </row>
    <row r="509" spans="1:6">
      <c r="A509" s="57"/>
      <c r="B509" s="57"/>
      <c r="C509" s="57"/>
      <c r="D509" s="84"/>
      <c r="E509" s="84"/>
      <c r="F509" s="84"/>
    </row>
    <row r="510" spans="1:6">
      <c r="A510" s="57"/>
      <c r="B510" s="57"/>
      <c r="C510" s="57"/>
      <c r="D510" s="84"/>
      <c r="E510" s="84"/>
      <c r="F510" s="84"/>
    </row>
    <row r="511" spans="1:6">
      <c r="A511" s="57"/>
      <c r="B511" s="57"/>
      <c r="C511" s="57"/>
      <c r="D511" s="84"/>
      <c r="E511" s="84"/>
      <c r="F511" s="84"/>
    </row>
    <row r="512" spans="1:6">
      <c r="A512" s="57"/>
      <c r="B512" s="57"/>
      <c r="C512" s="57"/>
      <c r="D512" s="84"/>
      <c r="E512" s="84"/>
      <c r="F512" s="84"/>
    </row>
    <row r="513" spans="1:6">
      <c r="A513" s="57"/>
      <c r="B513" s="57"/>
      <c r="C513" s="57"/>
      <c r="D513" s="84"/>
      <c r="E513" s="84"/>
      <c r="F513" s="84"/>
    </row>
    <row r="514" spans="1:6">
      <c r="A514" s="57"/>
      <c r="B514" s="57"/>
      <c r="C514" s="57"/>
      <c r="D514" s="84"/>
      <c r="E514" s="84"/>
      <c r="F514" s="84"/>
    </row>
    <row r="515" spans="1:6">
      <c r="A515" s="57"/>
      <c r="B515" s="57"/>
      <c r="C515" s="57"/>
      <c r="D515" s="84"/>
      <c r="E515" s="84"/>
      <c r="F515" s="84"/>
    </row>
    <row r="516" spans="1:6">
      <c r="A516" s="57"/>
      <c r="B516" s="57"/>
      <c r="C516" s="57"/>
      <c r="D516" s="84"/>
      <c r="E516" s="84"/>
      <c r="F516" s="84"/>
    </row>
    <row r="517" spans="1:6">
      <c r="A517" s="57"/>
      <c r="B517" s="57"/>
      <c r="C517" s="57"/>
      <c r="D517" s="84"/>
      <c r="E517" s="84"/>
      <c r="F517" s="84"/>
    </row>
    <row r="518" spans="1:6">
      <c r="A518" s="57"/>
      <c r="B518" s="57"/>
      <c r="C518" s="57"/>
      <c r="D518" s="84"/>
      <c r="E518" s="84"/>
      <c r="F518" s="84"/>
    </row>
    <row r="519" spans="1:6">
      <c r="A519" s="57"/>
      <c r="B519" s="57"/>
      <c r="C519" s="57"/>
      <c r="D519" s="84"/>
      <c r="E519" s="84"/>
      <c r="F519" s="84"/>
    </row>
    <row r="520" spans="1:6">
      <c r="A520" s="57"/>
      <c r="B520" s="57"/>
      <c r="C520" s="57"/>
      <c r="D520" s="84"/>
      <c r="E520" s="84"/>
      <c r="F520" s="84"/>
    </row>
    <row r="521" spans="1:6">
      <c r="A521" s="57"/>
      <c r="B521" s="57"/>
      <c r="C521" s="57"/>
      <c r="D521" s="84"/>
      <c r="E521" s="84"/>
      <c r="F521" s="84"/>
    </row>
    <row r="522" ht="18.75" spans="1:6">
      <c r="A522" s="175" t="s">
        <v>1753</v>
      </c>
      <c r="B522" s="176"/>
      <c r="C522" s="176"/>
      <c r="D522" s="176"/>
      <c r="E522" s="176"/>
      <c r="F522" s="176"/>
    </row>
    <row r="523" ht="15.75" spans="1:6">
      <c r="A523" s="256" t="s">
        <v>1813</v>
      </c>
      <c r="B523" s="256"/>
      <c r="C523" s="256"/>
      <c r="D523" s="256"/>
      <c r="E523" s="256"/>
      <c r="F523" s="256"/>
    </row>
    <row r="524" spans="1:6">
      <c r="A524" s="191" t="s">
        <v>1384</v>
      </c>
      <c r="B524" s="191"/>
      <c r="C524" s="168"/>
      <c r="D524" s="168"/>
      <c r="E524" s="191" t="s">
        <v>1159</v>
      </c>
      <c r="F524" s="191"/>
    </row>
    <row r="525" spans="1:6">
      <c r="A525" s="117" t="s">
        <v>1218</v>
      </c>
      <c r="B525" s="192"/>
      <c r="C525" s="192"/>
      <c r="D525" s="192"/>
      <c r="E525" s="192"/>
      <c r="F525" s="118"/>
    </row>
    <row r="526" spans="1:6">
      <c r="A526" s="57" t="s">
        <v>354</v>
      </c>
      <c r="B526" s="57" t="s">
        <v>956</v>
      </c>
      <c r="C526" s="57" t="s">
        <v>52</v>
      </c>
      <c r="D526" s="57" t="s">
        <v>855</v>
      </c>
      <c r="E526" s="57" t="s">
        <v>53</v>
      </c>
      <c r="F526" s="57" t="s">
        <v>306</v>
      </c>
    </row>
    <row r="527" spans="1:6">
      <c r="A527" s="57" t="s">
        <v>959</v>
      </c>
      <c r="B527" s="57" t="s">
        <v>960</v>
      </c>
      <c r="C527" s="57"/>
      <c r="D527" s="57"/>
      <c r="E527" s="57"/>
      <c r="F527" s="84">
        <f>F528+F546+F547</f>
        <v>62141.647339561</v>
      </c>
    </row>
    <row r="528" spans="1:6">
      <c r="A528" s="57" t="s">
        <v>59</v>
      </c>
      <c r="B528" s="57" t="s">
        <v>957</v>
      </c>
      <c r="C528" s="57"/>
      <c r="D528" s="57"/>
      <c r="E528" s="57"/>
      <c r="F528" s="84">
        <f>F529+F532+F539+F544</f>
        <v>59295.4650186651</v>
      </c>
    </row>
    <row r="529" spans="1:6">
      <c r="A529" s="57">
        <v>1</v>
      </c>
      <c r="B529" s="57" t="s">
        <v>964</v>
      </c>
      <c r="C529" s="57" t="s">
        <v>965</v>
      </c>
      <c r="D529" s="84"/>
      <c r="E529" s="92">
        <f>SUM(E530:E531)</f>
        <v>574.6</v>
      </c>
      <c r="F529" s="113">
        <f>SUM(F530:F531)</f>
        <v>4654.26</v>
      </c>
    </row>
    <row r="530" spans="1:6">
      <c r="A530" s="57"/>
      <c r="B530" s="57" t="s">
        <v>966</v>
      </c>
      <c r="C530" s="57" t="s">
        <v>965</v>
      </c>
      <c r="D530" s="113">
        <f t="shared" ref="D530:D533" si="41">D481</f>
        <v>8.1</v>
      </c>
      <c r="E530" s="92">
        <v>574.6</v>
      </c>
      <c r="F530" s="113">
        <f t="shared" ref="F530:F537" si="42">D530*E530</f>
        <v>4654.26</v>
      </c>
    </row>
    <row r="531" spans="1:6">
      <c r="A531" s="57"/>
      <c r="B531" s="57" t="s">
        <v>968</v>
      </c>
      <c r="C531" s="57" t="s">
        <v>965</v>
      </c>
      <c r="D531" s="113">
        <f t="shared" si="41"/>
        <v>5.77</v>
      </c>
      <c r="E531" s="92">
        <v>0</v>
      </c>
      <c r="F531" s="113">
        <f t="shared" si="42"/>
        <v>0</v>
      </c>
    </row>
    <row r="532" spans="1:6">
      <c r="A532" s="57">
        <v>2</v>
      </c>
      <c r="B532" s="57" t="s">
        <v>1219</v>
      </c>
      <c r="C532" s="57"/>
      <c r="D532" s="84"/>
      <c r="E532" s="84"/>
      <c r="F532" s="252">
        <f>SUM(F533:F538)</f>
        <v>52173.4844841986</v>
      </c>
    </row>
    <row r="533" spans="1:6">
      <c r="A533" s="57"/>
      <c r="B533" s="244" t="s">
        <v>1272</v>
      </c>
      <c r="C533" s="244" t="s">
        <v>1188</v>
      </c>
      <c r="D533" s="84">
        <f t="shared" si="41"/>
        <v>2232.665025</v>
      </c>
      <c r="E533" s="84">
        <v>0.19</v>
      </c>
      <c r="F533" s="84">
        <f t="shared" si="42"/>
        <v>424.20635475</v>
      </c>
    </row>
    <row r="534" spans="1:6">
      <c r="A534" s="57"/>
      <c r="B534" s="244" t="s">
        <v>1385</v>
      </c>
      <c r="C534" s="244" t="s">
        <v>1188</v>
      </c>
      <c r="D534" s="84">
        <f>D533</f>
        <v>2232.665025</v>
      </c>
      <c r="E534" s="84">
        <v>0.62</v>
      </c>
      <c r="F534" s="84">
        <f t="shared" si="42"/>
        <v>1384.2523155</v>
      </c>
    </row>
    <row r="535" spans="1:6">
      <c r="A535" s="57"/>
      <c r="B535" s="57" t="s">
        <v>1255</v>
      </c>
      <c r="C535" s="244" t="s">
        <v>1188</v>
      </c>
      <c r="D535" s="84">
        <f>配合比!M13</f>
        <v>125.92729</v>
      </c>
      <c r="E535" s="84">
        <v>1.8</v>
      </c>
      <c r="F535" s="84">
        <f t="shared" si="42"/>
        <v>226.669122</v>
      </c>
    </row>
    <row r="536" spans="1:6">
      <c r="A536" s="57"/>
      <c r="B536" s="57" t="s">
        <v>1386</v>
      </c>
      <c r="C536" s="244" t="s">
        <v>1188</v>
      </c>
      <c r="D536" s="84">
        <f>F498/100</f>
        <v>474.030774876504</v>
      </c>
      <c r="E536" s="84">
        <v>100</v>
      </c>
      <c r="F536" s="84">
        <f t="shared" si="42"/>
        <v>47403.0774876504</v>
      </c>
    </row>
    <row r="537" spans="1:6">
      <c r="A537" s="57"/>
      <c r="B537" s="57" t="s">
        <v>1292</v>
      </c>
      <c r="C537" s="244" t="s">
        <v>1188</v>
      </c>
      <c r="D537" s="84">
        <f>配合比!M10</f>
        <v>183.3858985</v>
      </c>
      <c r="E537" s="84">
        <v>13.5</v>
      </c>
      <c r="F537" s="84">
        <f t="shared" si="42"/>
        <v>2475.70962975</v>
      </c>
    </row>
    <row r="538" spans="1:6">
      <c r="A538" s="57"/>
      <c r="B538" s="57" t="s">
        <v>1163</v>
      </c>
      <c r="C538" s="260" t="s">
        <v>423</v>
      </c>
      <c r="D538" s="252">
        <f>SUM(F533:F537)</f>
        <v>51913.9149096504</v>
      </c>
      <c r="E538" s="84">
        <v>0.5</v>
      </c>
      <c r="F538" s="84">
        <f>D538*E538/100</f>
        <v>259.569574548252</v>
      </c>
    </row>
    <row r="539" spans="1:6">
      <c r="A539" s="57">
        <v>3</v>
      </c>
      <c r="B539" s="57" t="s">
        <v>1171</v>
      </c>
      <c r="C539" s="57"/>
      <c r="D539" s="84"/>
      <c r="E539" s="84"/>
      <c r="F539" s="252">
        <f>SUM(F540:F543)</f>
        <v>2399.77241820413</v>
      </c>
    </row>
    <row r="540" spans="1:6">
      <c r="A540" s="57"/>
      <c r="B540" s="57" t="s">
        <v>1387</v>
      </c>
      <c r="C540" s="57" t="s">
        <v>988</v>
      </c>
      <c r="D540" s="84">
        <f>台时!F84</f>
        <v>62.3342780215397</v>
      </c>
      <c r="E540" s="84">
        <v>37</v>
      </c>
      <c r="F540" s="84">
        <f t="shared" ref="F540:F542" si="43">D540*E540</f>
        <v>2306.36828679697</v>
      </c>
    </row>
    <row r="541" spans="1:6">
      <c r="A541" s="57"/>
      <c r="B541" s="57" t="s">
        <v>1380</v>
      </c>
      <c r="C541" s="57" t="s">
        <v>988</v>
      </c>
      <c r="D541" s="84">
        <f>台时!D42</f>
        <v>23.7459521340247</v>
      </c>
      <c r="E541" s="84">
        <v>2.5029</v>
      </c>
      <c r="F541" s="84">
        <f t="shared" si="43"/>
        <v>59.4337435962504</v>
      </c>
    </row>
    <row r="542" spans="1:6">
      <c r="A542" s="57"/>
      <c r="B542" s="57" t="s">
        <v>1190</v>
      </c>
      <c r="C542" s="57" t="s">
        <v>988</v>
      </c>
      <c r="D542" s="113">
        <f>台时!C42</f>
        <v>0.813242919824491</v>
      </c>
      <c r="E542" s="204">
        <v>12.555</v>
      </c>
      <c r="F542" s="84">
        <f t="shared" si="43"/>
        <v>10.2102648583965</v>
      </c>
    </row>
    <row r="543" spans="1:6">
      <c r="A543" s="57"/>
      <c r="B543" s="57" t="s">
        <v>1223</v>
      </c>
      <c r="C543" s="59" t="s">
        <v>423</v>
      </c>
      <c r="D543" s="252">
        <f>SUM(F540:F542)</f>
        <v>2376.01229525162</v>
      </c>
      <c r="E543" s="84">
        <v>1</v>
      </c>
      <c r="F543" s="84">
        <f>D543*E543/100</f>
        <v>23.7601229525162</v>
      </c>
    </row>
    <row r="544" spans="1:6">
      <c r="A544" s="57">
        <v>4</v>
      </c>
      <c r="B544" s="57" t="s">
        <v>1285</v>
      </c>
      <c r="C544" s="253"/>
      <c r="D544" s="252"/>
      <c r="E544" s="84"/>
      <c r="F544" s="84">
        <f>F545</f>
        <v>67.9481162623056</v>
      </c>
    </row>
    <row r="545" spans="1:6">
      <c r="A545" s="57"/>
      <c r="B545" s="245" t="s">
        <v>1286</v>
      </c>
      <c r="C545" s="245" t="s">
        <v>1188</v>
      </c>
      <c r="D545" s="252">
        <f>D496</f>
        <v>5.03319379720782</v>
      </c>
      <c r="E545" s="84">
        <v>13.5</v>
      </c>
      <c r="F545" s="84">
        <f>D545*E545</f>
        <v>67.9481162623056</v>
      </c>
    </row>
    <row r="546" spans="1:6">
      <c r="A546" s="57" t="s">
        <v>70</v>
      </c>
      <c r="B546" s="57" t="s">
        <v>977</v>
      </c>
      <c r="C546" s="194">
        <f>取费表!$C$7</f>
        <v>0.048</v>
      </c>
      <c r="D546" s="252"/>
      <c r="E546" s="84">
        <f>F528</f>
        <v>59295.4650186651</v>
      </c>
      <c r="F546" s="84">
        <f t="shared" ref="F546:F549" si="44">E546*C546</f>
        <v>2846.18232089592</v>
      </c>
    </row>
    <row r="547" spans="1:6">
      <c r="A547" s="57"/>
      <c r="B547" s="57"/>
      <c r="C547" s="194"/>
      <c r="D547" s="252"/>
      <c r="E547" s="84"/>
      <c r="F547" s="84"/>
    </row>
    <row r="548" spans="1:6">
      <c r="A548" s="57" t="s">
        <v>979</v>
      </c>
      <c r="B548" s="57" t="s">
        <v>973</v>
      </c>
      <c r="C548" s="194">
        <f>取费表!$E$7</f>
        <v>0.07</v>
      </c>
      <c r="D548" s="252"/>
      <c r="E548" s="84">
        <f>F527</f>
        <v>62141.647339561</v>
      </c>
      <c r="F548" s="84">
        <f t="shared" si="44"/>
        <v>4349.91531376927</v>
      </c>
    </row>
    <row r="549" spans="1:6">
      <c r="A549" s="57" t="s">
        <v>162</v>
      </c>
      <c r="B549" s="57" t="s">
        <v>980</v>
      </c>
      <c r="C549" s="194">
        <f>取费表!$F$7</f>
        <v>0.07</v>
      </c>
      <c r="D549" s="252"/>
      <c r="E549" s="84">
        <f>F548+F527</f>
        <v>66491.5626533303</v>
      </c>
      <c r="F549" s="84">
        <f t="shared" si="44"/>
        <v>4654.40938573312</v>
      </c>
    </row>
    <row r="550" spans="1:6">
      <c r="A550" s="55" t="s">
        <v>214</v>
      </c>
      <c r="B550" s="55" t="s">
        <v>1173</v>
      </c>
      <c r="C550" s="253"/>
      <c r="D550" s="254"/>
      <c r="E550" s="55"/>
      <c r="F550" s="255">
        <f>F551+F556</f>
        <v>10921.2999535658</v>
      </c>
    </row>
    <row r="551" spans="1:6">
      <c r="A551" s="57">
        <v>1</v>
      </c>
      <c r="B551" s="57" t="s">
        <v>1288</v>
      </c>
      <c r="C551" s="59"/>
      <c r="D551" s="84"/>
      <c r="E551" s="57"/>
      <c r="F551" s="113">
        <f>SUM(F552:F555)</f>
        <v>9518.18495356575</v>
      </c>
    </row>
    <row r="552" spans="1:6">
      <c r="A552" s="57"/>
      <c r="B552" s="57"/>
      <c r="C552" s="57"/>
      <c r="D552" s="84"/>
      <c r="E552" s="84"/>
      <c r="F552" s="113"/>
    </row>
    <row r="553" spans="1:6">
      <c r="A553" s="57"/>
      <c r="B553" s="57" t="s">
        <v>1141</v>
      </c>
      <c r="C553" s="57" t="s">
        <v>69</v>
      </c>
      <c r="D553" s="84">
        <f>材料预算价!K5-材料预算价!L5</f>
        <v>156.64017</v>
      </c>
      <c r="E553" s="84">
        <f>E537*配合比!E10+E536*0.01*E486*配合比!E6</f>
        <v>29.57770398</v>
      </c>
      <c r="F553" s="113">
        <f t="shared" ref="F553:F555" si="45">D553*E553</f>
        <v>4633.05657963688</v>
      </c>
    </row>
    <row r="554" spans="1:6">
      <c r="A554" s="57"/>
      <c r="B554" s="57" t="s">
        <v>1142</v>
      </c>
      <c r="C554" s="57" t="s">
        <v>1188</v>
      </c>
      <c r="D554" s="84">
        <f>新定额单价!D2351</f>
        <v>44.826214</v>
      </c>
      <c r="E554" s="84">
        <f>E537*配合比!G10+E536*0.01*E486*配合比!G6</f>
        <v>64.30809</v>
      </c>
      <c r="F554" s="113">
        <f t="shared" si="45"/>
        <v>2882.68820427126</v>
      </c>
    </row>
    <row r="555" spans="1:6">
      <c r="A555" s="57"/>
      <c r="B555" s="57" t="s">
        <v>1110</v>
      </c>
      <c r="C555" s="57" t="s">
        <v>1188</v>
      </c>
      <c r="D555" s="84">
        <f>材料预算价!K8-材料预算价!L8</f>
        <v>20.60443</v>
      </c>
      <c r="E555" s="84">
        <f>E537*配合比!I10+E536*0.01*E486*配合比!I6</f>
        <v>97.184934</v>
      </c>
      <c r="F555" s="113">
        <f t="shared" si="45"/>
        <v>2002.44016965762</v>
      </c>
    </row>
    <row r="556" spans="1:6">
      <c r="A556" s="57">
        <v>2</v>
      </c>
      <c r="B556" s="57" t="s">
        <v>1289</v>
      </c>
      <c r="C556" s="57"/>
      <c r="D556" s="84"/>
      <c r="E556" s="88"/>
      <c r="F556" s="113">
        <f>SUM(F557:F558)</f>
        <v>1403.115</v>
      </c>
    </row>
    <row r="557" spans="1:6">
      <c r="A557" s="57"/>
      <c r="B557" s="57" t="s">
        <v>1290</v>
      </c>
      <c r="C557" s="57" t="s">
        <v>184</v>
      </c>
      <c r="D557" s="84">
        <f>材料预算价!K13-材料预算价!L13</f>
        <v>6.225</v>
      </c>
      <c r="E557" s="88">
        <f>(E490*7.2+E540*5.8)</f>
        <v>225.4</v>
      </c>
      <c r="F557" s="113">
        <f>D557*E557</f>
        <v>1403.115</v>
      </c>
    </row>
    <row r="558" spans="1:6">
      <c r="A558" s="57"/>
      <c r="B558" s="57" t="s">
        <v>1174</v>
      </c>
      <c r="C558" s="59" t="s">
        <v>184</v>
      </c>
      <c r="D558" s="84">
        <f>材料预算价!K12-材料预算价!L12</f>
        <v>4.86</v>
      </c>
      <c r="E558" s="88">
        <v>0</v>
      </c>
      <c r="F558" s="113">
        <f>D558*E558</f>
        <v>0</v>
      </c>
    </row>
    <row r="559" spans="1:6">
      <c r="A559" s="57" t="s">
        <v>327</v>
      </c>
      <c r="B559" s="57" t="s">
        <v>976</v>
      </c>
      <c r="C559" s="195">
        <f>新定额单价!C2356</f>
        <v>0.09</v>
      </c>
      <c r="D559" s="84"/>
      <c r="E559" s="84">
        <f>E549+F549+F550</f>
        <v>82067.2719926291</v>
      </c>
      <c r="F559" s="84">
        <f>E559*C559</f>
        <v>7386.05447933662</v>
      </c>
    </row>
    <row r="560" spans="1:6">
      <c r="A560" s="57"/>
      <c r="B560" s="57" t="s">
        <v>984</v>
      </c>
      <c r="C560" s="195"/>
      <c r="D560" s="84"/>
      <c r="E560" s="84"/>
      <c r="F560" s="84">
        <f>(F527+F548+F549+F550+F559)*取费表!H4</f>
        <v>2683.59979415897</v>
      </c>
    </row>
    <row r="561" spans="1:6">
      <c r="A561" s="57"/>
      <c r="B561" s="57" t="s">
        <v>278</v>
      </c>
      <c r="C561" s="57"/>
      <c r="D561" s="84"/>
      <c r="E561" s="84"/>
      <c r="F561" s="84">
        <f>F559+E559+F560</f>
        <v>92136.9262661247</v>
      </c>
    </row>
    <row r="562" spans="1:6">
      <c r="A562" s="79"/>
      <c r="B562" s="79"/>
      <c r="C562" s="79"/>
      <c r="D562" s="79"/>
      <c r="E562" s="79"/>
      <c r="F562" s="79"/>
    </row>
    <row r="563" spans="1:6">
      <c r="A563" s="79"/>
      <c r="B563" s="79"/>
      <c r="C563" s="79"/>
      <c r="D563" s="79"/>
      <c r="E563" s="79"/>
      <c r="F563" s="79"/>
    </row>
    <row r="564" spans="1:6">
      <c r="A564" s="79"/>
      <c r="B564" s="79"/>
      <c r="C564" s="79"/>
      <c r="D564" s="79"/>
      <c r="E564" s="79"/>
      <c r="F564" s="79"/>
    </row>
    <row r="565" spans="1:6">
      <c r="A565" s="79"/>
      <c r="B565" s="79"/>
      <c r="C565" s="79"/>
      <c r="D565" s="79"/>
      <c r="E565" s="79"/>
      <c r="F565" s="79"/>
    </row>
    <row r="566" spans="1:6">
      <c r="A566" s="79"/>
      <c r="B566" s="79"/>
      <c r="C566" s="79"/>
      <c r="D566" s="79"/>
      <c r="E566" s="79"/>
      <c r="F566" s="79"/>
    </row>
    <row r="567" spans="1:6">
      <c r="A567" s="79"/>
      <c r="B567" s="79"/>
      <c r="C567" s="79"/>
      <c r="D567" s="79"/>
      <c r="E567" s="79"/>
      <c r="F567" s="79"/>
    </row>
    <row r="568" spans="1:6">
      <c r="A568" s="79"/>
      <c r="B568" s="79"/>
      <c r="C568" s="79"/>
      <c r="D568" s="79"/>
      <c r="E568" s="79"/>
      <c r="F568" s="79"/>
    </row>
    <row r="569" ht="18.75" spans="1:6">
      <c r="A569" s="175" t="s">
        <v>1753</v>
      </c>
      <c r="B569" s="176"/>
      <c r="C569" s="176"/>
      <c r="D569" s="176"/>
      <c r="E569" s="176"/>
      <c r="F569" s="176"/>
    </row>
    <row r="570" ht="15.75" spans="1:6">
      <c r="A570" s="256" t="s">
        <v>1814</v>
      </c>
      <c r="B570" s="256"/>
      <c r="C570" s="256"/>
      <c r="D570" s="256"/>
      <c r="E570" s="256"/>
      <c r="F570" s="256"/>
    </row>
    <row r="571" ht="19" customHeight="1" spans="1:6">
      <c r="A571" s="190" t="s">
        <v>1815</v>
      </c>
      <c r="B571" s="191"/>
      <c r="C571" s="243"/>
      <c r="D571" s="243"/>
      <c r="E571" s="191" t="s">
        <v>1816</v>
      </c>
      <c r="F571" s="191"/>
    </row>
    <row r="572" ht="19" customHeight="1" spans="1:6">
      <c r="A572" s="197" t="s">
        <v>1218</v>
      </c>
      <c r="B572" s="192"/>
      <c r="C572" s="192"/>
      <c r="D572" s="192"/>
      <c r="E572" s="192"/>
      <c r="F572" s="118"/>
    </row>
    <row r="573" ht="19" customHeight="1" spans="1:6">
      <c r="A573" s="57" t="s">
        <v>354</v>
      </c>
      <c r="B573" s="57" t="s">
        <v>956</v>
      </c>
      <c r="C573" s="57" t="s">
        <v>52</v>
      </c>
      <c r="D573" s="57" t="s">
        <v>855</v>
      </c>
      <c r="E573" s="57" t="s">
        <v>53</v>
      </c>
      <c r="F573" s="57" t="s">
        <v>306</v>
      </c>
    </row>
    <row r="574" ht="19" customHeight="1" spans="1:6">
      <c r="A574" s="57" t="s">
        <v>959</v>
      </c>
      <c r="B574" s="57" t="s">
        <v>960</v>
      </c>
      <c r="C574" s="57"/>
      <c r="D574" s="57"/>
      <c r="E574" s="57"/>
      <c r="F574" s="84">
        <f>F575+F595+F596</f>
        <v>3937.03655784691</v>
      </c>
    </row>
    <row r="575" ht="19" customHeight="1" spans="1:6">
      <c r="A575" s="57" t="s">
        <v>59</v>
      </c>
      <c r="B575" s="57" t="s">
        <v>957</v>
      </c>
      <c r="C575" s="57"/>
      <c r="D575" s="57"/>
      <c r="E575" s="57"/>
      <c r="F575" s="84">
        <f>F576+F579+F585</f>
        <v>3756.71427275469</v>
      </c>
    </row>
    <row r="576" ht="19" customHeight="1" spans="1:6">
      <c r="A576" s="57">
        <v>1</v>
      </c>
      <c r="B576" s="57" t="s">
        <v>964</v>
      </c>
      <c r="C576" s="57" t="s">
        <v>965</v>
      </c>
      <c r="D576" s="257"/>
      <c r="E576" s="92">
        <f>SUM(E577:E578)</f>
        <v>108.5</v>
      </c>
      <c r="F576" s="113">
        <f>SUM(F577:F578)</f>
        <v>814.076</v>
      </c>
    </row>
    <row r="577" ht="19" customHeight="1" spans="1:6">
      <c r="A577" s="57"/>
      <c r="B577" s="57" t="s">
        <v>966</v>
      </c>
      <c r="C577" s="57" t="s">
        <v>965</v>
      </c>
      <c r="D577" s="113">
        <f>材料预算价!K20</f>
        <v>8.1</v>
      </c>
      <c r="E577" s="92">
        <v>80.7</v>
      </c>
      <c r="F577" s="113">
        <f t="shared" ref="F577:F583" si="46">D577*E577</f>
        <v>653.67</v>
      </c>
    </row>
    <row r="578" ht="19" customHeight="1" spans="1:6">
      <c r="A578" s="57"/>
      <c r="B578" s="57" t="s">
        <v>968</v>
      </c>
      <c r="C578" s="57" t="s">
        <v>965</v>
      </c>
      <c r="D578" s="113">
        <f>材料预算价!K19</f>
        <v>5.77</v>
      </c>
      <c r="E578" s="92">
        <v>27.8</v>
      </c>
      <c r="F578" s="113">
        <f t="shared" si="46"/>
        <v>160.406</v>
      </c>
    </row>
    <row r="579" ht="19" customHeight="1" spans="1:6">
      <c r="A579" s="57">
        <v>2</v>
      </c>
      <c r="B579" s="57" t="s">
        <v>1219</v>
      </c>
      <c r="C579" s="57"/>
      <c r="D579" s="84"/>
      <c r="E579" s="84"/>
      <c r="F579" s="252">
        <f>SUM(F580:F584)</f>
        <v>2701.046434</v>
      </c>
    </row>
    <row r="580" ht="19" customHeight="1" spans="1:6">
      <c r="A580" s="261"/>
      <c r="B580" s="57" t="s">
        <v>1101</v>
      </c>
      <c r="C580" s="57" t="s">
        <v>69</v>
      </c>
      <c r="D580" s="113">
        <f>材料预算价!L4</f>
        <v>2560</v>
      </c>
      <c r="E580" s="57">
        <v>1.02</v>
      </c>
      <c r="F580" s="113">
        <f t="shared" si="46"/>
        <v>2611.2</v>
      </c>
    </row>
    <row r="581" ht="19" customHeight="1" spans="1:6">
      <c r="A581" s="261"/>
      <c r="B581" s="57" t="s">
        <v>1427</v>
      </c>
      <c r="C581" s="57" t="s">
        <v>184</v>
      </c>
      <c r="D581" s="84">
        <v>5</v>
      </c>
      <c r="E581" s="57">
        <v>4</v>
      </c>
      <c r="F581" s="57">
        <f t="shared" si="46"/>
        <v>20</v>
      </c>
    </row>
    <row r="582" ht="19" customHeight="1" spans="1:6">
      <c r="A582" s="261"/>
      <c r="B582" s="57" t="s">
        <v>1276</v>
      </c>
      <c r="C582" s="57" t="s">
        <v>184</v>
      </c>
      <c r="D582" s="57">
        <v>4.5</v>
      </c>
      <c r="E582" s="57">
        <v>0</v>
      </c>
      <c r="F582" s="57">
        <f t="shared" si="46"/>
        <v>0</v>
      </c>
    </row>
    <row r="583" ht="19" customHeight="1" spans="1:6">
      <c r="A583" s="261"/>
      <c r="B583" s="57" t="s">
        <v>1278</v>
      </c>
      <c r="C583" s="57" t="s">
        <v>184</v>
      </c>
      <c r="D583" s="84">
        <v>5.97</v>
      </c>
      <c r="E583" s="57">
        <v>7.22</v>
      </c>
      <c r="F583" s="113">
        <f t="shared" si="46"/>
        <v>43.1034</v>
      </c>
    </row>
    <row r="584" ht="19" customHeight="1" spans="1:6">
      <c r="A584" s="261"/>
      <c r="B584" s="57" t="s">
        <v>1163</v>
      </c>
      <c r="C584" s="59" t="s">
        <v>423</v>
      </c>
      <c r="D584" s="203">
        <f>SUM(F580:F583)</f>
        <v>2674.3034</v>
      </c>
      <c r="E584" s="113">
        <v>1</v>
      </c>
      <c r="F584" s="113">
        <f>D584*E584/100</f>
        <v>26.743034</v>
      </c>
    </row>
    <row r="585" ht="19" customHeight="1" spans="1:6">
      <c r="A585" s="57">
        <v>3</v>
      </c>
      <c r="B585" s="57" t="s">
        <v>1171</v>
      </c>
      <c r="C585" s="57"/>
      <c r="D585" s="113"/>
      <c r="E585" s="113"/>
      <c r="F585" s="203">
        <f>SUM(F586:F594)</f>
        <v>241.591838754687</v>
      </c>
    </row>
    <row r="586" ht="19" customHeight="1" spans="1:6">
      <c r="A586" s="57"/>
      <c r="B586" s="57" t="s">
        <v>1817</v>
      </c>
      <c r="C586" s="57" t="s">
        <v>988</v>
      </c>
      <c r="D586" s="113">
        <f>台时!H168</f>
        <v>18.501194256083</v>
      </c>
      <c r="E586" s="113">
        <v>0.6</v>
      </c>
      <c r="F586" s="113">
        <f t="shared" ref="F586:F593" si="47">D586*E586</f>
        <v>11.1007165536498</v>
      </c>
    </row>
    <row r="587" ht="19" customHeight="1" spans="1:6">
      <c r="A587" s="57"/>
      <c r="B587" s="168" t="s">
        <v>1818</v>
      </c>
      <c r="C587" s="168" t="s">
        <v>988</v>
      </c>
      <c r="D587" s="113">
        <f>台时!G42</f>
        <v>40.7860167530913</v>
      </c>
      <c r="E587" s="113">
        <v>1.5</v>
      </c>
      <c r="F587" s="113">
        <f t="shared" si="47"/>
        <v>61.179025129637</v>
      </c>
    </row>
    <row r="588" ht="19" customHeight="1" spans="1:6">
      <c r="A588" s="57"/>
      <c r="B588" s="57" t="s">
        <v>1819</v>
      </c>
      <c r="C588" s="57" t="s">
        <v>988</v>
      </c>
      <c r="D588" s="113">
        <f>台时!G168</f>
        <v>22.1768942959713</v>
      </c>
      <c r="E588" s="113">
        <v>0.4</v>
      </c>
      <c r="F588" s="113">
        <f t="shared" si="47"/>
        <v>8.87075771838852</v>
      </c>
    </row>
    <row r="589" ht="19" customHeight="1" spans="1:6">
      <c r="A589" s="57"/>
      <c r="B589" s="57" t="s">
        <v>1820</v>
      </c>
      <c r="C589" s="57" t="s">
        <v>988</v>
      </c>
      <c r="D589" s="113">
        <f>台时!F168</f>
        <v>15.6211447945752</v>
      </c>
      <c r="E589" s="113">
        <v>1.05</v>
      </c>
      <c r="F589" s="113">
        <f t="shared" si="47"/>
        <v>16.402202034304</v>
      </c>
    </row>
    <row r="590" ht="19" customHeight="1" spans="1:6">
      <c r="A590" s="57"/>
      <c r="B590" s="57" t="s">
        <v>1821</v>
      </c>
      <c r="C590" s="57" t="s">
        <v>988</v>
      </c>
      <c r="D590" s="113">
        <f>台时!E84</f>
        <v>8.0471858795373</v>
      </c>
      <c r="E590" s="113">
        <v>10</v>
      </c>
      <c r="F590" s="113">
        <f t="shared" si="47"/>
        <v>80.471858795373</v>
      </c>
    </row>
    <row r="591" ht="19" customHeight="1" spans="1:6">
      <c r="A591" s="57"/>
      <c r="B591" s="57" t="s">
        <v>1822</v>
      </c>
      <c r="C591" s="57" t="s">
        <v>988</v>
      </c>
      <c r="D591" s="113">
        <f>台时!E168</f>
        <v>70.8341890706023</v>
      </c>
      <c r="E591" s="113">
        <v>0.4</v>
      </c>
      <c r="F591" s="113">
        <f t="shared" si="47"/>
        <v>28.3336756282409</v>
      </c>
    </row>
    <row r="592" ht="19" customHeight="1" spans="1:6">
      <c r="A592" s="57"/>
      <c r="B592" s="57" t="s">
        <v>1823</v>
      </c>
      <c r="C592" s="57" t="s">
        <v>988</v>
      </c>
      <c r="D592" s="84">
        <f>台时!H42</f>
        <v>49.389824491424</v>
      </c>
      <c r="E592" s="113">
        <v>0.45</v>
      </c>
      <c r="F592" s="113">
        <f t="shared" si="47"/>
        <v>22.2254210211408</v>
      </c>
    </row>
    <row r="593" ht="19" customHeight="1" spans="1:6">
      <c r="A593" s="57"/>
      <c r="B593" s="57" t="s">
        <v>1824</v>
      </c>
      <c r="C593" s="57" t="s">
        <v>988</v>
      </c>
      <c r="D593" s="113">
        <f>台时!C189</f>
        <v>82.7108699641005</v>
      </c>
      <c r="E593" s="113">
        <v>0.1</v>
      </c>
      <c r="F593" s="113">
        <f t="shared" si="47"/>
        <v>8.27108699641005</v>
      </c>
    </row>
    <row r="594" ht="19" customHeight="1" spans="1:6">
      <c r="A594" s="57"/>
      <c r="B594" s="57" t="s">
        <v>1263</v>
      </c>
      <c r="C594" s="59" t="s">
        <v>423</v>
      </c>
      <c r="D594" s="203">
        <f>SUM(F586:F593)</f>
        <v>236.854743877144</v>
      </c>
      <c r="E594" s="113">
        <v>2</v>
      </c>
      <c r="F594" s="113">
        <f>D594*E594/100</f>
        <v>4.73709487754288</v>
      </c>
    </row>
    <row r="595" ht="19" customHeight="1" spans="1:6">
      <c r="A595" s="57" t="s">
        <v>70</v>
      </c>
      <c r="B595" s="57" t="s">
        <v>977</v>
      </c>
      <c r="C595" s="194">
        <f>取费表!$C$8</f>
        <v>0.048</v>
      </c>
      <c r="D595" s="203"/>
      <c r="E595" s="113">
        <f>F575</f>
        <v>3756.71427275469</v>
      </c>
      <c r="F595" s="113">
        <f t="shared" ref="F595:F598" si="48">E595*C595</f>
        <v>180.322285092225</v>
      </c>
    </row>
    <row r="596" ht="19" customHeight="1" spans="1:6">
      <c r="A596" s="57"/>
      <c r="B596" s="57"/>
      <c r="C596" s="194"/>
      <c r="D596" s="203"/>
      <c r="E596" s="113"/>
      <c r="F596" s="113"/>
    </row>
    <row r="597" ht="19" customHeight="1" spans="1:6">
      <c r="A597" s="57" t="s">
        <v>979</v>
      </c>
      <c r="B597" s="57" t="s">
        <v>973</v>
      </c>
      <c r="C597" s="194">
        <f>取费表!$E$8</f>
        <v>0.05</v>
      </c>
      <c r="D597" s="203"/>
      <c r="E597" s="113">
        <f>F574</f>
        <v>3937.03655784691</v>
      </c>
      <c r="F597" s="113">
        <f t="shared" si="48"/>
        <v>196.851827892346</v>
      </c>
    </row>
    <row r="598" ht="19" customHeight="1" spans="1:6">
      <c r="A598" s="57" t="s">
        <v>162</v>
      </c>
      <c r="B598" s="57" t="s">
        <v>980</v>
      </c>
      <c r="C598" s="194">
        <f>取费表!$F$8</f>
        <v>0.07</v>
      </c>
      <c r="D598" s="203"/>
      <c r="E598" s="113">
        <f>F597+F574</f>
        <v>4133.88838573926</v>
      </c>
      <c r="F598" s="113">
        <f t="shared" si="48"/>
        <v>289.372187001748</v>
      </c>
    </row>
    <row r="599" ht="19" customHeight="1" spans="1:6">
      <c r="A599" s="55" t="s">
        <v>214</v>
      </c>
      <c r="B599" s="55" t="s">
        <v>1173</v>
      </c>
      <c r="C599" s="253"/>
      <c r="D599" s="254"/>
      <c r="E599" s="55"/>
      <c r="F599" s="255">
        <f>F600+F602</f>
        <v>1117.840188</v>
      </c>
    </row>
    <row r="600" ht="19" customHeight="1" spans="1:6">
      <c r="A600" s="57">
        <v>1</v>
      </c>
      <c r="B600" s="57" t="s">
        <v>1288</v>
      </c>
      <c r="C600" s="59"/>
      <c r="D600" s="84"/>
      <c r="E600" s="57"/>
      <c r="F600" s="113">
        <f>SUM(F601:F601)</f>
        <v>1092.276588</v>
      </c>
    </row>
    <row r="601" ht="19" customHeight="1" spans="1:6">
      <c r="A601" s="57"/>
      <c r="B601" s="57" t="s">
        <v>1101</v>
      </c>
      <c r="C601" s="57" t="s">
        <v>69</v>
      </c>
      <c r="D601" s="84">
        <f>材料预算价!K4-材料预算价!L4</f>
        <v>1070.8594</v>
      </c>
      <c r="E601" s="88">
        <f>E580</f>
        <v>1.02</v>
      </c>
      <c r="F601" s="113">
        <f t="shared" ref="F601:F604" si="49">D601*E601</f>
        <v>1092.276588</v>
      </c>
    </row>
    <row r="602" ht="19" customHeight="1" spans="1:6">
      <c r="A602" s="57">
        <v>2</v>
      </c>
      <c r="B602" s="57" t="s">
        <v>1289</v>
      </c>
      <c r="C602" s="57"/>
      <c r="D602" s="84"/>
      <c r="E602" s="88"/>
      <c r="F602" s="113">
        <f>SUM(F603:F604)</f>
        <v>25.5636</v>
      </c>
    </row>
    <row r="603" ht="19" customHeight="1" spans="1:6">
      <c r="A603" s="57"/>
      <c r="B603" s="57" t="s">
        <v>1290</v>
      </c>
      <c r="C603" s="57" t="s">
        <v>184</v>
      </c>
      <c r="D603" s="84">
        <f>材料预算价!K13-材料预算价!L13</f>
        <v>6.225</v>
      </c>
      <c r="E603" s="88">
        <f>(E592*7.2)</f>
        <v>3.24</v>
      </c>
      <c r="F603" s="113">
        <f t="shared" si="49"/>
        <v>20.169</v>
      </c>
    </row>
    <row r="604" ht="19" customHeight="1" spans="1:6">
      <c r="A604" s="57"/>
      <c r="B604" s="57" t="s">
        <v>1174</v>
      </c>
      <c r="C604" s="59" t="s">
        <v>184</v>
      </c>
      <c r="D604" s="84">
        <f>材料预算价!K12-材料预算价!L12</f>
        <v>4.86</v>
      </c>
      <c r="E604" s="88">
        <f>(E593*11.1)</f>
        <v>1.11</v>
      </c>
      <c r="F604" s="113">
        <f t="shared" si="49"/>
        <v>5.3946</v>
      </c>
    </row>
    <row r="605" ht="19" customHeight="1" spans="1:6">
      <c r="A605" s="57" t="s">
        <v>327</v>
      </c>
      <c r="B605" s="57" t="s">
        <v>976</v>
      </c>
      <c r="C605" s="195">
        <f>新定额单价!C2515</f>
        <v>0.09</v>
      </c>
      <c r="D605" s="84"/>
      <c r="E605" s="84">
        <f>F599+F598+F597+F574</f>
        <v>5541.100760741</v>
      </c>
      <c r="F605" s="84">
        <f>E605*C605</f>
        <v>498.69906846669</v>
      </c>
    </row>
    <row r="606" ht="19" customHeight="1" spans="1:6">
      <c r="A606" s="57"/>
      <c r="B606" s="57" t="s">
        <v>984</v>
      </c>
      <c r="C606" s="195"/>
      <c r="D606" s="84"/>
      <c r="E606" s="84"/>
      <c r="F606" s="84">
        <f>(F574+F597+F598+F599+F605)*取费表!H8</f>
        <v>181.193994876231</v>
      </c>
    </row>
    <row r="607" ht="19" customHeight="1" spans="1:6">
      <c r="A607" s="57"/>
      <c r="B607" s="57" t="s">
        <v>278</v>
      </c>
      <c r="C607" s="57"/>
      <c r="D607" s="84"/>
      <c r="E607" s="84"/>
      <c r="F607" s="84">
        <f>F605+E605+F606</f>
        <v>6220.99382408393</v>
      </c>
    </row>
    <row r="608" ht="28" customHeight="1" spans="1:6">
      <c r="A608" s="175" t="s">
        <v>1753</v>
      </c>
      <c r="B608" s="176"/>
      <c r="C608" s="176"/>
      <c r="D608" s="176"/>
      <c r="E608" s="176"/>
      <c r="F608" s="176"/>
    </row>
    <row r="609" ht="19" customHeight="1" spans="1:6">
      <c r="A609" s="262" t="s">
        <v>1825</v>
      </c>
      <c r="B609" s="263"/>
      <c r="C609" s="263"/>
      <c r="D609" s="263"/>
      <c r="E609" s="263"/>
      <c r="F609" s="263"/>
    </row>
    <row r="610" ht="19" customHeight="1" spans="1:6">
      <c r="A610" s="200" t="s">
        <v>1826</v>
      </c>
      <c r="B610" s="200"/>
      <c r="C610" s="213"/>
      <c r="D610" s="213"/>
      <c r="E610" s="200" t="s">
        <v>1827</v>
      </c>
      <c r="F610" s="200"/>
    </row>
    <row r="611" ht="19" customHeight="1" spans="1:6">
      <c r="A611" s="219" t="s">
        <v>1433</v>
      </c>
      <c r="B611" s="220"/>
      <c r="C611" s="220"/>
      <c r="D611" s="220"/>
      <c r="E611" s="220"/>
      <c r="F611" s="221"/>
    </row>
    <row r="612" ht="19" customHeight="1" spans="1:6">
      <c r="A612" s="206" t="s">
        <v>354</v>
      </c>
      <c r="B612" s="206" t="s">
        <v>956</v>
      </c>
      <c r="C612" s="206" t="s">
        <v>52</v>
      </c>
      <c r="D612" s="206" t="s">
        <v>855</v>
      </c>
      <c r="E612" s="206" t="s">
        <v>53</v>
      </c>
      <c r="F612" s="206" t="s">
        <v>306</v>
      </c>
    </row>
    <row r="613" ht="19" customHeight="1" spans="1:6">
      <c r="A613" s="206" t="s">
        <v>959</v>
      </c>
      <c r="B613" s="206" t="s">
        <v>960</v>
      </c>
      <c r="C613" s="206"/>
      <c r="D613" s="206"/>
      <c r="E613" s="206"/>
      <c r="F613" s="207">
        <f>F614+F630+F631</f>
        <v>39467.1370264582</v>
      </c>
    </row>
    <row r="614" ht="19" customHeight="1" spans="1:6">
      <c r="A614" s="206" t="s">
        <v>59</v>
      </c>
      <c r="B614" s="206" t="s">
        <v>957</v>
      </c>
      <c r="C614" s="206"/>
      <c r="D614" s="206"/>
      <c r="E614" s="206"/>
      <c r="F614" s="207">
        <f>F615+F618+F626</f>
        <v>37659.4818954754</v>
      </c>
    </row>
    <row r="615" ht="19" customHeight="1" spans="1:6">
      <c r="A615" s="206">
        <v>1</v>
      </c>
      <c r="B615" s="206" t="s">
        <v>964</v>
      </c>
      <c r="C615" s="206" t="s">
        <v>965</v>
      </c>
      <c r="D615" s="207"/>
      <c r="E615" s="208">
        <f>SUM(E616:E617)</f>
        <v>3021.93</v>
      </c>
      <c r="F615" s="208">
        <f>SUM(F616:F617)</f>
        <v>20952.4828</v>
      </c>
    </row>
    <row r="616" ht="19" customHeight="1" spans="1:6">
      <c r="A616" s="206"/>
      <c r="B616" s="206" t="s">
        <v>966</v>
      </c>
      <c r="C616" s="206" t="s">
        <v>965</v>
      </c>
      <c r="D616" s="208">
        <f>新定额单价!D2681</f>
        <v>8.1</v>
      </c>
      <c r="E616" s="208">
        <v>1508.99</v>
      </c>
      <c r="F616" s="208">
        <f t="shared" ref="F616:F624" si="50">D616*E616</f>
        <v>12222.819</v>
      </c>
    </row>
    <row r="617" ht="19" customHeight="1" spans="1:6">
      <c r="A617" s="206"/>
      <c r="B617" s="206" t="s">
        <v>968</v>
      </c>
      <c r="C617" s="206" t="s">
        <v>965</v>
      </c>
      <c r="D617" s="208">
        <f>新定额单价!D2682</f>
        <v>5.77</v>
      </c>
      <c r="E617" s="208">
        <v>1512.94</v>
      </c>
      <c r="F617" s="208">
        <f t="shared" si="50"/>
        <v>8729.6638</v>
      </c>
    </row>
    <row r="618" ht="19" customHeight="1" spans="1:6">
      <c r="A618" s="206">
        <v>2</v>
      </c>
      <c r="B618" s="206" t="s">
        <v>1219</v>
      </c>
      <c r="C618" s="206"/>
      <c r="D618" s="207"/>
      <c r="E618" s="207"/>
      <c r="F618" s="207">
        <f>SUM(F619:F625)</f>
        <v>4119.9240597</v>
      </c>
    </row>
    <row r="619" ht="19" customHeight="1" spans="1:6">
      <c r="A619" s="206"/>
      <c r="B619" s="206" t="s">
        <v>1456</v>
      </c>
      <c r="C619" s="206" t="s">
        <v>1422</v>
      </c>
      <c r="D619" s="208"/>
      <c r="E619" s="264">
        <v>1010</v>
      </c>
      <c r="F619" s="207">
        <f t="shared" si="50"/>
        <v>0</v>
      </c>
    </row>
    <row r="620" ht="19" customHeight="1" spans="1:6">
      <c r="A620" s="206"/>
      <c r="B620" s="206" t="s">
        <v>1424</v>
      </c>
      <c r="C620" s="206" t="s">
        <v>267</v>
      </c>
      <c r="D620" s="206">
        <v>68.38</v>
      </c>
      <c r="E620" s="264">
        <v>21</v>
      </c>
      <c r="F620" s="207">
        <f t="shared" si="50"/>
        <v>1435.98</v>
      </c>
    </row>
    <row r="621" ht="19" customHeight="1" spans="1:6">
      <c r="A621" s="206"/>
      <c r="B621" s="206" t="s">
        <v>1425</v>
      </c>
      <c r="C621" s="206" t="s">
        <v>1426</v>
      </c>
      <c r="D621" s="212">
        <f>配合比!M15</f>
        <v>144.68621</v>
      </c>
      <c r="E621" s="206">
        <v>1</v>
      </c>
      <c r="F621" s="207">
        <f t="shared" si="50"/>
        <v>144.68621</v>
      </c>
    </row>
    <row r="622" ht="19" customHeight="1" spans="1:6">
      <c r="A622" s="206"/>
      <c r="B622" s="206" t="s">
        <v>1274</v>
      </c>
      <c r="C622" s="206" t="s">
        <v>184</v>
      </c>
      <c r="D622" s="207">
        <f>新定额单价!D1474</f>
        <v>4.5</v>
      </c>
      <c r="E622" s="264">
        <v>8</v>
      </c>
      <c r="F622" s="207">
        <f t="shared" si="50"/>
        <v>36</v>
      </c>
    </row>
    <row r="623" ht="19" customHeight="1" spans="1:6">
      <c r="A623" s="206"/>
      <c r="B623" s="206" t="s">
        <v>1427</v>
      </c>
      <c r="C623" s="206" t="s">
        <v>184</v>
      </c>
      <c r="D623" s="207">
        <f>7.03</f>
        <v>7.03</v>
      </c>
      <c r="E623" s="264">
        <v>27</v>
      </c>
      <c r="F623" s="207">
        <f t="shared" si="50"/>
        <v>189.81</v>
      </c>
    </row>
    <row r="624" ht="19" customHeight="1" spans="1:6">
      <c r="A624" s="206"/>
      <c r="B624" s="206" t="s">
        <v>1272</v>
      </c>
      <c r="C624" s="206" t="s">
        <v>1426</v>
      </c>
      <c r="D624" s="207">
        <f>材料预算价!K10</f>
        <v>2232.665025</v>
      </c>
      <c r="E624" s="264">
        <v>1</v>
      </c>
      <c r="F624" s="207">
        <f t="shared" si="50"/>
        <v>2232.665025</v>
      </c>
    </row>
    <row r="625" ht="19" customHeight="1" spans="1:6">
      <c r="A625" s="206"/>
      <c r="B625" s="206" t="s">
        <v>1248</v>
      </c>
      <c r="C625" s="264" t="s">
        <v>423</v>
      </c>
      <c r="D625" s="207">
        <f>SUM(F619:F624)</f>
        <v>4039.141235</v>
      </c>
      <c r="E625" s="264">
        <v>2</v>
      </c>
      <c r="F625" s="207">
        <f>D625*E625/100</f>
        <v>80.7828247</v>
      </c>
    </row>
    <row r="626" ht="19" customHeight="1" spans="1:6">
      <c r="A626" s="206">
        <v>3</v>
      </c>
      <c r="B626" s="206" t="s">
        <v>1171</v>
      </c>
      <c r="C626" s="206"/>
      <c r="D626" s="207"/>
      <c r="E626" s="207"/>
      <c r="F626" s="207">
        <f>SUM(F627:F629)</f>
        <v>12587.0750357754</v>
      </c>
    </row>
    <row r="627" ht="19" customHeight="1" spans="1:6">
      <c r="A627" s="206"/>
      <c r="B627" s="206" t="s">
        <v>1828</v>
      </c>
      <c r="C627" s="206" t="s">
        <v>988</v>
      </c>
      <c r="D627" s="207">
        <f>台时!C189</f>
        <v>82.7108699641005</v>
      </c>
      <c r="E627" s="207">
        <v>143.5</v>
      </c>
      <c r="F627" s="207">
        <f>D627*E627</f>
        <v>11869.0098398484</v>
      </c>
    </row>
    <row r="628" ht="19" customHeight="1" spans="1:6">
      <c r="A628" s="206"/>
      <c r="B628" s="206" t="s">
        <v>1829</v>
      </c>
      <c r="C628" s="206" t="s">
        <v>988</v>
      </c>
      <c r="D628" s="207">
        <f>台时!C63</f>
        <v>74.4593087355405</v>
      </c>
      <c r="E628" s="207">
        <v>7.97</v>
      </c>
      <c r="F628" s="207">
        <f>D628*E628</f>
        <v>593.440690622258</v>
      </c>
    </row>
    <row r="629" ht="19" customHeight="1" spans="1:6">
      <c r="A629" s="206"/>
      <c r="B629" s="206" t="s">
        <v>1223</v>
      </c>
      <c r="C629" s="264" t="s">
        <v>423</v>
      </c>
      <c r="D629" s="207">
        <f>SUM(F627:F628)</f>
        <v>12462.4505304707</v>
      </c>
      <c r="E629" s="207">
        <v>1</v>
      </c>
      <c r="F629" s="207">
        <f>D629*E629/100</f>
        <v>124.624505304707</v>
      </c>
    </row>
    <row r="630" ht="19" customHeight="1" spans="1:6">
      <c r="A630" s="206" t="s">
        <v>70</v>
      </c>
      <c r="B630" s="206" t="s">
        <v>977</v>
      </c>
      <c r="C630" s="265">
        <f>取费表!$C$12</f>
        <v>0.048</v>
      </c>
      <c r="D630" s="207"/>
      <c r="E630" s="207">
        <f>F614</f>
        <v>37659.4818954754</v>
      </c>
      <c r="F630" s="207">
        <f t="shared" ref="F630:F633" si="51">E630*C630</f>
        <v>1807.65513098282</v>
      </c>
    </row>
    <row r="631" ht="19" customHeight="1" spans="1:6">
      <c r="A631" s="206"/>
      <c r="B631" s="206"/>
      <c r="C631" s="265"/>
      <c r="D631" s="207"/>
      <c r="E631" s="207"/>
      <c r="F631" s="207"/>
    </row>
    <row r="632" ht="19" customHeight="1" spans="1:6">
      <c r="A632" s="206" t="s">
        <v>979</v>
      </c>
      <c r="B632" s="206" t="s">
        <v>973</v>
      </c>
      <c r="C632" s="265">
        <f>取费表!$E$12</f>
        <v>0.0725</v>
      </c>
      <c r="D632" s="207"/>
      <c r="E632" s="207">
        <f>F613</f>
        <v>39467.1370264582</v>
      </c>
      <c r="F632" s="207">
        <f t="shared" si="51"/>
        <v>2861.36743441822</v>
      </c>
    </row>
    <row r="633" ht="19" customHeight="1" spans="1:6">
      <c r="A633" s="206" t="s">
        <v>162</v>
      </c>
      <c r="B633" s="206" t="s">
        <v>980</v>
      </c>
      <c r="C633" s="265">
        <f>取费表!$F$12</f>
        <v>0.05</v>
      </c>
      <c r="D633" s="207"/>
      <c r="E633" s="207">
        <f>F632+F613</f>
        <v>42328.5044608764</v>
      </c>
      <c r="F633" s="207">
        <f t="shared" si="51"/>
        <v>2116.42522304382</v>
      </c>
    </row>
    <row r="634" ht="19" customHeight="1" spans="1:6">
      <c r="A634" s="206"/>
      <c r="B634" s="206" t="s">
        <v>1430</v>
      </c>
      <c r="C634" s="266"/>
      <c r="D634" s="207"/>
      <c r="E634" s="207"/>
      <c r="F634" s="207">
        <f>F635+F636</f>
        <v>381374.13339</v>
      </c>
    </row>
    <row r="635" ht="19" customHeight="1" spans="1:6">
      <c r="A635" s="206"/>
      <c r="B635" s="206" t="s">
        <v>1456</v>
      </c>
      <c r="C635" s="206" t="s">
        <v>1422</v>
      </c>
      <c r="D635" s="207">
        <v>319.47</v>
      </c>
      <c r="E635" s="207">
        <f>E619</f>
        <v>1010</v>
      </c>
      <c r="F635" s="207">
        <f>D635*E636</f>
        <v>375659.34201</v>
      </c>
    </row>
    <row r="636" ht="19" customHeight="1" spans="1:6">
      <c r="A636" s="206"/>
      <c r="B636" s="206" t="s">
        <v>1116</v>
      </c>
      <c r="C636" s="206" t="s">
        <v>184</v>
      </c>
      <c r="D636" s="207">
        <f>材料预算价!K12-材料预算价!L12</f>
        <v>4.86</v>
      </c>
      <c r="E636" s="207">
        <f>E627*台时!C182+台时!C56*E628</f>
        <v>1175.883</v>
      </c>
      <c r="F636" s="207">
        <f>D636*E636</f>
        <v>5714.79138</v>
      </c>
    </row>
    <row r="637" ht="19" customHeight="1" spans="1:6">
      <c r="A637" s="206" t="s">
        <v>214</v>
      </c>
      <c r="B637" s="206" t="s">
        <v>976</v>
      </c>
      <c r="C637" s="267">
        <f>新定额单价!C2693</f>
        <v>0.09</v>
      </c>
      <c r="D637" s="207"/>
      <c r="E637" s="207">
        <f>E633+F633+F634</f>
        <v>425819.06307392</v>
      </c>
      <c r="F637" s="207">
        <f>E637*C637</f>
        <v>38323.7156766528</v>
      </c>
    </row>
    <row r="638" ht="19" customHeight="1" spans="1:6">
      <c r="A638" s="206"/>
      <c r="B638" s="206" t="s">
        <v>984</v>
      </c>
      <c r="C638" s="267"/>
      <c r="D638" s="207"/>
      <c r="E638" s="207"/>
      <c r="F638" s="207">
        <f>(E637+F637)*取费表!H12</f>
        <v>13924.2833625172</v>
      </c>
    </row>
    <row r="639" ht="19" customHeight="1" spans="1:6">
      <c r="A639" s="206"/>
      <c r="B639" s="206" t="s">
        <v>278</v>
      </c>
      <c r="C639" s="206"/>
      <c r="D639" s="207"/>
      <c r="E639" s="207"/>
      <c r="F639" s="207">
        <f>E637+F637+F638</f>
        <v>478067.06211309</v>
      </c>
    </row>
    <row r="640" ht="19" customHeight="1" spans="1:6">
      <c r="A640" s="206"/>
      <c r="B640" s="206"/>
      <c r="C640" s="206"/>
      <c r="D640" s="207"/>
      <c r="E640" s="207"/>
      <c r="F640" s="207"/>
    </row>
    <row r="641" ht="19" customHeight="1" spans="1:6">
      <c r="A641" s="206"/>
      <c r="B641" s="206"/>
      <c r="C641" s="206"/>
      <c r="D641" s="207"/>
      <c r="E641" s="207"/>
      <c r="F641" s="207"/>
    </row>
    <row r="642" ht="19" customHeight="1" spans="1:6">
      <c r="A642" s="206"/>
      <c r="B642" s="206"/>
      <c r="C642" s="206"/>
      <c r="D642" s="207"/>
      <c r="E642" s="207"/>
      <c r="F642" s="207"/>
    </row>
    <row r="643" ht="19" customHeight="1" spans="1:6">
      <c r="A643" s="206"/>
      <c r="B643" s="206"/>
      <c r="C643" s="206"/>
      <c r="D643" s="207"/>
      <c r="E643" s="207"/>
      <c r="F643" s="207"/>
    </row>
    <row r="644" ht="19" customHeight="1" spans="1:6">
      <c r="A644" s="206"/>
      <c r="B644" s="206"/>
      <c r="C644" s="206"/>
      <c r="D644" s="207"/>
      <c r="E644" s="207"/>
      <c r="F644" s="207"/>
    </row>
    <row r="645" ht="19" customHeight="1" spans="1:6">
      <c r="A645" s="206"/>
      <c r="B645" s="206"/>
      <c r="C645" s="206"/>
      <c r="D645" s="207"/>
      <c r="E645" s="207"/>
      <c r="F645" s="207"/>
    </row>
    <row r="646" ht="18.75" spans="1:6">
      <c r="A646" s="175" t="s">
        <v>1753</v>
      </c>
      <c r="B646" s="176"/>
      <c r="C646" s="176"/>
      <c r="D646" s="176"/>
      <c r="E646" s="176"/>
      <c r="F646" s="176"/>
    </row>
    <row r="647" ht="20" customHeight="1" spans="1:6">
      <c r="A647" s="242" t="s">
        <v>1830</v>
      </c>
      <c r="B647" s="243"/>
      <c r="C647" s="243"/>
      <c r="D647" s="243"/>
      <c r="E647" s="243"/>
      <c r="F647" s="243"/>
    </row>
    <row r="648" ht="20" customHeight="1" spans="1:6">
      <c r="A648" s="190" t="s">
        <v>1831</v>
      </c>
      <c r="B648" s="191"/>
      <c r="C648" s="243"/>
      <c r="D648" s="243"/>
      <c r="E648" s="191" t="s">
        <v>1832</v>
      </c>
      <c r="F648" s="191"/>
    </row>
    <row r="649" ht="20" customHeight="1" spans="1:6">
      <c r="A649" s="117" t="s">
        <v>1218</v>
      </c>
      <c r="B649" s="192" t="s">
        <v>1833</v>
      </c>
      <c r="C649" s="192"/>
      <c r="D649" s="192"/>
      <c r="E649" s="192"/>
      <c r="F649" s="118"/>
    </row>
    <row r="650" ht="20" customHeight="1" spans="1:6">
      <c r="A650" s="57" t="s">
        <v>354</v>
      </c>
      <c r="B650" s="57" t="s">
        <v>956</v>
      </c>
      <c r="C650" s="57" t="s">
        <v>52</v>
      </c>
      <c r="D650" s="57" t="s">
        <v>855</v>
      </c>
      <c r="E650" s="57" t="s">
        <v>53</v>
      </c>
      <c r="F650" s="57" t="s">
        <v>306</v>
      </c>
    </row>
    <row r="651" ht="20" customHeight="1" spans="1:6">
      <c r="A651" s="57" t="s">
        <v>959</v>
      </c>
      <c r="B651" s="57" t="s">
        <v>960</v>
      </c>
      <c r="C651" s="57"/>
      <c r="D651" s="57"/>
      <c r="E651" s="57"/>
      <c r="F651" s="84">
        <f>F652+F668+F669</f>
        <v>82720.9640972053</v>
      </c>
    </row>
    <row r="652" ht="20" customHeight="1" spans="1:6">
      <c r="A652" s="57" t="s">
        <v>59</v>
      </c>
      <c r="B652" s="57" t="s">
        <v>957</v>
      </c>
      <c r="C652" s="57"/>
      <c r="D652" s="57"/>
      <c r="E652" s="57"/>
      <c r="F652" s="84">
        <f>F653+F656+F664</f>
        <v>78932.217650005</v>
      </c>
    </row>
    <row r="653" ht="20" customHeight="1" spans="1:6">
      <c r="A653" s="57">
        <v>1</v>
      </c>
      <c r="B653" s="57" t="s">
        <v>964</v>
      </c>
      <c r="C653" s="57" t="s">
        <v>965</v>
      </c>
      <c r="D653" s="84"/>
      <c r="E653" s="113">
        <f>SUM(E654:E655)</f>
        <v>5257.42</v>
      </c>
      <c r="F653" s="113">
        <f>SUM(F654:F655)</f>
        <v>36389.8184</v>
      </c>
    </row>
    <row r="654" ht="20" customHeight="1" spans="1:6">
      <c r="A654" s="57"/>
      <c r="B654" s="57" t="s">
        <v>966</v>
      </c>
      <c r="C654" s="57" t="s">
        <v>965</v>
      </c>
      <c r="D654" s="113">
        <f>新定额单价!D2822</f>
        <v>8.1</v>
      </c>
      <c r="E654" s="113">
        <v>2598.5</v>
      </c>
      <c r="F654" s="113">
        <f t="shared" ref="F654:F662" si="52">D654*E654</f>
        <v>21047.85</v>
      </c>
    </row>
    <row r="655" ht="20" customHeight="1" spans="1:6">
      <c r="A655" s="57"/>
      <c r="B655" s="57" t="s">
        <v>968</v>
      </c>
      <c r="C655" s="57" t="s">
        <v>965</v>
      </c>
      <c r="D655" s="113">
        <f>新定额单价!D2823</f>
        <v>5.77</v>
      </c>
      <c r="E655" s="113">
        <v>2658.92</v>
      </c>
      <c r="F655" s="113">
        <f t="shared" si="52"/>
        <v>15341.9684</v>
      </c>
    </row>
    <row r="656" ht="20" customHeight="1" spans="1:6">
      <c r="A656" s="57">
        <v>2</v>
      </c>
      <c r="B656" s="57" t="s">
        <v>1219</v>
      </c>
      <c r="C656" s="57"/>
      <c r="D656" s="84"/>
      <c r="E656" s="84"/>
      <c r="F656" s="84">
        <f>SUM(F657:F663)</f>
        <v>0</v>
      </c>
    </row>
    <row r="657" ht="20" customHeight="1" spans="1:6">
      <c r="A657" s="57"/>
      <c r="B657" s="57" t="s">
        <v>1834</v>
      </c>
      <c r="C657" s="57" t="s">
        <v>1422</v>
      </c>
      <c r="D657" s="84"/>
      <c r="E657" s="59">
        <v>1010</v>
      </c>
      <c r="F657" s="84">
        <f t="shared" si="52"/>
        <v>0</v>
      </c>
    </row>
    <row r="658" ht="20" customHeight="1" spans="1:6">
      <c r="A658" s="57"/>
      <c r="B658" s="57" t="s">
        <v>1424</v>
      </c>
      <c r="C658" s="57" t="s">
        <v>267</v>
      </c>
      <c r="D658" s="57">
        <v>153.85</v>
      </c>
      <c r="E658" s="59"/>
      <c r="F658" s="84">
        <f t="shared" si="52"/>
        <v>0</v>
      </c>
    </row>
    <row r="659" ht="20" customHeight="1" spans="1:6">
      <c r="A659" s="57"/>
      <c r="B659" s="57" t="s">
        <v>1425</v>
      </c>
      <c r="C659" s="57" t="s">
        <v>1426</v>
      </c>
      <c r="D659" s="88">
        <f>新定额单价!D2827</f>
        <v>144.68621</v>
      </c>
      <c r="E659" s="57"/>
      <c r="F659" s="84">
        <f t="shared" si="52"/>
        <v>0</v>
      </c>
    </row>
    <row r="660" ht="20" customHeight="1" spans="1:6">
      <c r="A660" s="57"/>
      <c r="B660" s="57" t="s">
        <v>1274</v>
      </c>
      <c r="C660" s="57" t="s">
        <v>184</v>
      </c>
      <c r="D660" s="88">
        <f>新定额单价!D2828</f>
        <v>4.5</v>
      </c>
      <c r="E660" s="59"/>
      <c r="F660" s="84">
        <f t="shared" si="52"/>
        <v>0</v>
      </c>
    </row>
    <row r="661" ht="20" customHeight="1" spans="1:6">
      <c r="A661" s="57"/>
      <c r="B661" s="57" t="s">
        <v>1427</v>
      </c>
      <c r="C661" s="57" t="s">
        <v>184</v>
      </c>
      <c r="D661" s="88">
        <f>新定额单价!D2829</f>
        <v>7.03</v>
      </c>
      <c r="E661" s="59"/>
      <c r="F661" s="84">
        <f t="shared" si="52"/>
        <v>0</v>
      </c>
    </row>
    <row r="662" ht="20" customHeight="1" spans="1:6">
      <c r="A662" s="57"/>
      <c r="B662" s="57" t="s">
        <v>1272</v>
      </c>
      <c r="C662" s="57" t="s">
        <v>1426</v>
      </c>
      <c r="D662" s="88">
        <f>新定额单价!D2830</f>
        <v>2232.665025</v>
      </c>
      <c r="E662" s="268"/>
      <c r="F662" s="84">
        <f t="shared" si="52"/>
        <v>0</v>
      </c>
    </row>
    <row r="663" ht="20" customHeight="1" spans="1:6">
      <c r="A663" s="57"/>
      <c r="B663" s="57" t="s">
        <v>1248</v>
      </c>
      <c r="C663" s="59" t="s">
        <v>423</v>
      </c>
      <c r="D663" s="84">
        <f>SUM(F657:F662)</f>
        <v>0</v>
      </c>
      <c r="E663" s="59">
        <v>2</v>
      </c>
      <c r="F663" s="84">
        <f>D663*E663/100</f>
        <v>0</v>
      </c>
    </row>
    <row r="664" ht="20" customHeight="1" spans="1:6">
      <c r="A664" s="57">
        <v>3</v>
      </c>
      <c r="B664" s="57" t="s">
        <v>1171</v>
      </c>
      <c r="C664" s="57"/>
      <c r="D664" s="84"/>
      <c r="E664" s="84"/>
      <c r="F664" s="84">
        <f>SUM(F665:F667)</f>
        <v>42542.399250005</v>
      </c>
    </row>
    <row r="665" ht="20" customHeight="1" spans="1:6">
      <c r="A665" s="57"/>
      <c r="B665" s="57" t="s">
        <v>1835</v>
      </c>
      <c r="C665" s="57" t="s">
        <v>988</v>
      </c>
      <c r="D665" s="84">
        <f>台时!D189</f>
        <v>160.831999202234</v>
      </c>
      <c r="E665" s="84">
        <v>247.09</v>
      </c>
      <c r="F665" s="84">
        <f>D665*E665</f>
        <v>39739.97868288</v>
      </c>
    </row>
    <row r="666" ht="20" customHeight="1" spans="1:6">
      <c r="A666" s="57"/>
      <c r="B666" s="57" t="s">
        <v>1836</v>
      </c>
      <c r="C666" s="57" t="s">
        <v>988</v>
      </c>
      <c r="D666" s="84">
        <f>建筑工程单价分析表!D628</f>
        <v>74.4593087355405</v>
      </c>
      <c r="E666" s="84">
        <v>31.98</v>
      </c>
      <c r="F666" s="84">
        <f>D666*E666</f>
        <v>2381.20869336259</v>
      </c>
    </row>
    <row r="667" ht="20" customHeight="1" spans="1:6">
      <c r="A667" s="57"/>
      <c r="B667" s="57" t="s">
        <v>1223</v>
      </c>
      <c r="C667" s="59" t="s">
        <v>423</v>
      </c>
      <c r="D667" s="84">
        <f>SUM(F665:F666)</f>
        <v>42121.1873762426</v>
      </c>
      <c r="E667" s="84">
        <v>1</v>
      </c>
      <c r="F667" s="84">
        <f>D667*E667/100</f>
        <v>421.211873762426</v>
      </c>
    </row>
    <row r="668" ht="20" customHeight="1" spans="1:6">
      <c r="A668" s="57" t="s">
        <v>70</v>
      </c>
      <c r="B668" s="57" t="s">
        <v>977</v>
      </c>
      <c r="C668" s="194">
        <f>取费表!$C$12</f>
        <v>0.048</v>
      </c>
      <c r="D668" s="84"/>
      <c r="E668" s="84">
        <f>F652</f>
        <v>78932.217650005</v>
      </c>
      <c r="F668" s="84">
        <f t="shared" ref="F668:F671" si="53">E668*C668</f>
        <v>3788.74644720024</v>
      </c>
    </row>
    <row r="669" ht="20" customHeight="1" spans="1:6">
      <c r="A669" s="57"/>
      <c r="B669" s="57"/>
      <c r="C669" s="194"/>
      <c r="D669" s="84"/>
      <c r="E669" s="84"/>
      <c r="F669" s="84"/>
    </row>
    <row r="670" ht="20" customHeight="1" spans="1:6">
      <c r="A670" s="57" t="s">
        <v>979</v>
      </c>
      <c r="B670" s="57" t="s">
        <v>973</v>
      </c>
      <c r="C670" s="194">
        <f>取费表!$E$12</f>
        <v>0.0725</v>
      </c>
      <c r="D670" s="84"/>
      <c r="E670" s="84">
        <f>F651</f>
        <v>82720.9640972053</v>
      </c>
      <c r="F670" s="84">
        <f t="shared" si="53"/>
        <v>5997.26989704738</v>
      </c>
    </row>
    <row r="671" ht="20" customHeight="1" spans="1:6">
      <c r="A671" s="57" t="s">
        <v>162</v>
      </c>
      <c r="B671" s="57" t="s">
        <v>980</v>
      </c>
      <c r="C671" s="194">
        <f>取费表!$F$12</f>
        <v>0.05</v>
      </c>
      <c r="D671" s="84"/>
      <c r="E671" s="84">
        <f>F670+F651</f>
        <v>88718.2339942526</v>
      </c>
      <c r="F671" s="84">
        <f t="shared" si="53"/>
        <v>4435.91169971263</v>
      </c>
    </row>
    <row r="672" ht="20" customHeight="1" spans="1:6">
      <c r="A672" s="57"/>
      <c r="B672" s="57" t="s">
        <v>1430</v>
      </c>
      <c r="C672" s="269"/>
      <c r="D672" s="84"/>
      <c r="E672" s="84"/>
      <c r="F672" s="84">
        <f>F673+F674</f>
        <v>1582218.29468</v>
      </c>
    </row>
    <row r="673" ht="20" customHeight="1" spans="1:6">
      <c r="A673" s="57"/>
      <c r="B673" s="57" t="s">
        <v>1837</v>
      </c>
      <c r="C673" s="57" t="s">
        <v>1422</v>
      </c>
      <c r="D673" s="84">
        <v>1550.44</v>
      </c>
      <c r="E673" s="59">
        <f>E657</f>
        <v>1010</v>
      </c>
      <c r="F673" s="84">
        <f>D673*E673</f>
        <v>1565944.4</v>
      </c>
    </row>
    <row r="674" ht="20" customHeight="1" spans="1:6">
      <c r="A674" s="57"/>
      <c r="B674" s="57" t="s">
        <v>1116</v>
      </c>
      <c r="C674" s="57" t="s">
        <v>184</v>
      </c>
      <c r="D674" s="84">
        <f>材料预算价!K12-材料预算价!L12</f>
        <v>4.86</v>
      </c>
      <c r="E674" s="268">
        <f>E665*台时!D182+E666*台时!C56</f>
        <v>3348.538</v>
      </c>
      <c r="F674" s="84">
        <f>D674*E674</f>
        <v>16273.89468</v>
      </c>
    </row>
    <row r="675" ht="20" customHeight="1" spans="1:6">
      <c r="A675" s="57" t="s">
        <v>214</v>
      </c>
      <c r="B675" s="57" t="s">
        <v>976</v>
      </c>
      <c r="C675" s="195">
        <f>新定额单价!C2843</f>
        <v>0.09</v>
      </c>
      <c r="D675" s="84"/>
      <c r="E675" s="84">
        <f>E671+F671+F672</f>
        <v>1675372.44037397</v>
      </c>
      <c r="F675" s="84">
        <f>E675*C675</f>
        <v>150783.519633657</v>
      </c>
    </row>
    <row r="676" ht="20" customHeight="1" spans="1:6">
      <c r="A676" s="57"/>
      <c r="B676" s="57" t="s">
        <v>984</v>
      </c>
      <c r="C676" s="195"/>
      <c r="D676" s="84"/>
      <c r="E676" s="84"/>
      <c r="F676" s="84">
        <f>(E675+F675)*取费表!H12</f>
        <v>54784.6788002287</v>
      </c>
    </row>
    <row r="677" ht="20" customHeight="1" spans="1:6">
      <c r="A677" s="57"/>
      <c r="B677" s="57" t="s">
        <v>278</v>
      </c>
      <c r="C677" s="57"/>
      <c r="D677" s="84"/>
      <c r="E677" s="84"/>
      <c r="F677" s="84">
        <f>E675+F675+F676</f>
        <v>1880940.63880785</v>
      </c>
    </row>
    <row r="678" ht="20" customHeight="1" spans="1:6">
      <c r="A678" s="57"/>
      <c r="B678" s="57"/>
      <c r="C678" s="57"/>
      <c r="D678" s="84"/>
      <c r="E678" s="84"/>
      <c r="F678" s="84"/>
    </row>
    <row r="679" ht="20" customHeight="1" spans="1:6">
      <c r="A679" s="57"/>
      <c r="B679" s="57"/>
      <c r="C679" s="57"/>
      <c r="D679" s="84"/>
      <c r="E679" s="84"/>
      <c r="F679" s="84"/>
    </row>
    <row r="680" ht="20" customHeight="1" spans="1:6">
      <c r="A680" s="57"/>
      <c r="B680" s="57"/>
      <c r="C680" s="57"/>
      <c r="D680" s="84"/>
      <c r="E680" s="84"/>
      <c r="F680" s="84"/>
    </row>
    <row r="681" ht="20" customHeight="1" spans="1:6">
      <c r="A681" s="57"/>
      <c r="B681" s="57"/>
      <c r="C681" s="57"/>
      <c r="D681" s="84"/>
      <c r="E681" s="84"/>
      <c r="F681" s="84"/>
    </row>
    <row r="682" ht="20" customHeight="1" spans="1:6">
      <c r="A682" s="57"/>
      <c r="B682" s="57"/>
      <c r="C682" s="57"/>
      <c r="D682" s="84"/>
      <c r="E682" s="84"/>
      <c r="F682" s="84"/>
    </row>
    <row r="683" ht="25" customHeight="1" spans="1:6">
      <c r="A683" s="175" t="s">
        <v>1753</v>
      </c>
      <c r="B683" s="176"/>
      <c r="C683" s="176"/>
      <c r="D683" s="176"/>
      <c r="E683" s="176"/>
      <c r="F683" s="176"/>
    </row>
    <row r="684" ht="20" customHeight="1" spans="1:6">
      <c r="A684" s="270" t="s">
        <v>1838</v>
      </c>
      <c r="B684" s="270"/>
      <c r="C684" s="270"/>
      <c r="D684" s="270"/>
      <c r="E684" s="270"/>
      <c r="F684" s="270"/>
    </row>
    <row r="685" ht="20" customHeight="1" spans="1:6">
      <c r="A685" s="271" t="s">
        <v>1839</v>
      </c>
      <c r="B685" s="271"/>
      <c r="C685" s="272"/>
      <c r="D685" s="272"/>
      <c r="E685" s="272" t="s">
        <v>1840</v>
      </c>
      <c r="F685" s="272"/>
    </row>
    <row r="686" ht="20" customHeight="1" spans="1:6">
      <c r="A686" s="273"/>
      <c r="B686" s="181">
        <v>10015</v>
      </c>
      <c r="C686" s="274"/>
      <c r="D686" s="274"/>
      <c r="E686" s="274"/>
      <c r="F686" s="274"/>
    </row>
    <row r="687" ht="20" customHeight="1" spans="1:6">
      <c r="A687" s="57" t="s">
        <v>354</v>
      </c>
      <c r="B687" s="57" t="s">
        <v>956</v>
      </c>
      <c r="C687" s="57" t="s">
        <v>52</v>
      </c>
      <c r="D687" s="57" t="s">
        <v>855</v>
      </c>
      <c r="E687" s="57" t="s">
        <v>53</v>
      </c>
      <c r="F687" s="57" t="s">
        <v>306</v>
      </c>
    </row>
    <row r="688" ht="20" customHeight="1" spans="1:6">
      <c r="A688" s="57" t="s">
        <v>959</v>
      </c>
      <c r="B688" s="57" t="s">
        <v>960</v>
      </c>
      <c r="C688" s="57"/>
      <c r="D688" s="57"/>
      <c r="E688" s="57"/>
      <c r="F688" s="84">
        <f>F689+F701+F702</f>
        <v>14207.1120167195</v>
      </c>
    </row>
    <row r="689" ht="20" customHeight="1" spans="1:6">
      <c r="A689" s="57" t="s">
        <v>59</v>
      </c>
      <c r="B689" s="57" t="s">
        <v>957</v>
      </c>
      <c r="C689" s="57"/>
      <c r="D689" s="57"/>
      <c r="E689" s="57"/>
      <c r="F689" s="84">
        <f>F690+F693+F698</f>
        <v>13556.4045961064</v>
      </c>
    </row>
    <row r="690" ht="20" customHeight="1" spans="1:6">
      <c r="A690" s="57">
        <v>1</v>
      </c>
      <c r="B690" s="57" t="s">
        <v>964</v>
      </c>
      <c r="C690" s="57" t="s">
        <v>965</v>
      </c>
      <c r="D690" s="257"/>
      <c r="E690" s="113">
        <f>SUM(E691:E692)</f>
        <v>501</v>
      </c>
      <c r="F690" s="113">
        <f>SUM(F691:F692)</f>
        <v>3356.77</v>
      </c>
    </row>
    <row r="691" ht="20" customHeight="1" spans="1:6">
      <c r="A691" s="57"/>
      <c r="B691" s="57" t="s">
        <v>966</v>
      </c>
      <c r="C691" s="57" t="s">
        <v>965</v>
      </c>
      <c r="D691" s="113">
        <f>建筑工程单价分析表!D961</f>
        <v>8.1</v>
      </c>
      <c r="E691" s="252">
        <f>133+13.4*5</f>
        <v>200</v>
      </c>
      <c r="F691" s="113">
        <f t="shared" ref="F691:F694" si="54">D691*E691</f>
        <v>1620</v>
      </c>
    </row>
    <row r="692" ht="20" customHeight="1" spans="1:6">
      <c r="A692" s="57"/>
      <c r="B692" s="57" t="s">
        <v>968</v>
      </c>
      <c r="C692" s="57" t="s">
        <v>965</v>
      </c>
      <c r="D692" s="113">
        <f>建筑工程单价分析表!D962</f>
        <v>5.77</v>
      </c>
      <c r="E692" s="252">
        <f>200+20.2*5</f>
        <v>301</v>
      </c>
      <c r="F692" s="113">
        <f t="shared" si="54"/>
        <v>1736.77</v>
      </c>
    </row>
    <row r="693" ht="20" customHeight="1" spans="1:6">
      <c r="A693" s="57">
        <v>2</v>
      </c>
      <c r="B693" s="57" t="s">
        <v>1219</v>
      </c>
      <c r="C693" s="57"/>
      <c r="D693" s="84"/>
      <c r="E693" s="84"/>
      <c r="F693" s="84">
        <f>SUM(F694:F697)</f>
        <v>9711.9920484</v>
      </c>
    </row>
    <row r="694" ht="20" customHeight="1" spans="1:6">
      <c r="A694" s="57"/>
      <c r="B694" s="57" t="s">
        <v>1120</v>
      </c>
      <c r="C694" s="57" t="s">
        <v>1188</v>
      </c>
      <c r="D694" s="84">
        <f>材料预算价!K15</f>
        <v>52.80696</v>
      </c>
      <c r="E694" s="84">
        <f>122+12.2*5</f>
        <v>183</v>
      </c>
      <c r="F694" s="84">
        <f t="shared" si="54"/>
        <v>9663.67368</v>
      </c>
    </row>
    <row r="695" ht="20" customHeight="1" spans="1:6">
      <c r="A695" s="57"/>
      <c r="B695" s="57"/>
      <c r="C695" s="57"/>
      <c r="D695" s="84"/>
      <c r="E695" s="84"/>
      <c r="F695" s="84"/>
    </row>
    <row r="696" ht="20" customHeight="1" spans="1:6">
      <c r="A696" s="57"/>
      <c r="B696" s="57"/>
      <c r="C696" s="57"/>
      <c r="D696" s="84"/>
      <c r="E696" s="84"/>
      <c r="F696" s="84"/>
    </row>
    <row r="697" ht="20" customHeight="1" spans="1:6">
      <c r="A697" s="57"/>
      <c r="B697" s="57" t="s">
        <v>1163</v>
      </c>
      <c r="C697" s="59" t="s">
        <v>423</v>
      </c>
      <c r="D697" s="84">
        <f>F694+F695</f>
        <v>9663.67368</v>
      </c>
      <c r="E697" s="84">
        <v>0.5</v>
      </c>
      <c r="F697" s="84">
        <f>D697*E697/100</f>
        <v>48.3183684</v>
      </c>
    </row>
    <row r="698" ht="20" customHeight="1" spans="1:6">
      <c r="A698" s="57">
        <v>3</v>
      </c>
      <c r="B698" s="57" t="s">
        <v>1171</v>
      </c>
      <c r="C698" s="57"/>
      <c r="D698" s="84"/>
      <c r="E698" s="84"/>
      <c r="F698" s="84">
        <f>SUM(F699:F700)</f>
        <v>487.642547706422</v>
      </c>
    </row>
    <row r="699" ht="20" customHeight="1" spans="1:6">
      <c r="A699" s="57"/>
      <c r="B699" s="57" t="s">
        <v>1841</v>
      </c>
      <c r="C699" s="57" t="s">
        <v>988</v>
      </c>
      <c r="D699" s="84">
        <f>建筑工程单价分析表!D969</f>
        <v>63.5282110091743</v>
      </c>
      <c r="E699" s="84">
        <v>7.6</v>
      </c>
      <c r="F699" s="84">
        <f>D699*E699</f>
        <v>482.814403669725</v>
      </c>
    </row>
    <row r="700" ht="20" customHeight="1" spans="1:6">
      <c r="A700" s="57"/>
      <c r="B700" s="57" t="s">
        <v>1223</v>
      </c>
      <c r="C700" s="59" t="s">
        <v>423</v>
      </c>
      <c r="D700" s="84">
        <f>F699</f>
        <v>482.814403669725</v>
      </c>
      <c r="E700" s="84">
        <v>1</v>
      </c>
      <c r="F700" s="84">
        <f>D700*E700/100</f>
        <v>4.82814403669725</v>
      </c>
    </row>
    <row r="701" ht="20" customHeight="1" spans="1:6">
      <c r="A701" s="57" t="s">
        <v>70</v>
      </c>
      <c r="B701" s="57" t="s">
        <v>977</v>
      </c>
      <c r="C701" s="194">
        <f>取费表!$C$12</f>
        <v>0.048</v>
      </c>
      <c r="D701" s="84"/>
      <c r="E701" s="84">
        <f>F689</f>
        <v>13556.4045961064</v>
      </c>
      <c r="F701" s="84">
        <f t="shared" ref="F701:F704" si="55">E701*C701</f>
        <v>650.707420613108</v>
      </c>
    </row>
    <row r="702" ht="20" customHeight="1" spans="1:6">
      <c r="A702" s="57"/>
      <c r="B702" s="57"/>
      <c r="C702" s="194"/>
      <c r="D702" s="84"/>
      <c r="E702" s="84"/>
      <c r="F702" s="84"/>
    </row>
    <row r="703" ht="20" customHeight="1" spans="1:6">
      <c r="A703" s="57" t="s">
        <v>979</v>
      </c>
      <c r="B703" s="57" t="s">
        <v>973</v>
      </c>
      <c r="C703" s="194">
        <f>取费表!$E$12</f>
        <v>0.0725</v>
      </c>
      <c r="D703" s="84"/>
      <c r="E703" s="84">
        <f>F688</f>
        <v>14207.1120167195</v>
      </c>
      <c r="F703" s="84">
        <f t="shared" si="55"/>
        <v>1030.01562121217</v>
      </c>
    </row>
    <row r="704" ht="20" customHeight="1" spans="1:6">
      <c r="A704" s="57" t="s">
        <v>162</v>
      </c>
      <c r="B704" s="57" t="s">
        <v>980</v>
      </c>
      <c r="C704" s="194">
        <f>取费表!$F$12</f>
        <v>0.05</v>
      </c>
      <c r="D704" s="84"/>
      <c r="E704" s="84">
        <f>F703+F688</f>
        <v>15237.1276379317</v>
      </c>
      <c r="F704" s="84">
        <f t="shared" si="55"/>
        <v>761.856381896585</v>
      </c>
    </row>
    <row r="705" ht="20" customHeight="1" spans="1:6">
      <c r="A705" s="55" t="s">
        <v>214</v>
      </c>
      <c r="B705" s="55" t="s">
        <v>1173</v>
      </c>
      <c r="C705" s="253"/>
      <c r="D705" s="254"/>
      <c r="E705" s="55"/>
      <c r="F705" s="255">
        <f>F706</f>
        <v>240.084</v>
      </c>
    </row>
    <row r="706" ht="20" customHeight="1" spans="1:6">
      <c r="A706" s="57">
        <v>2</v>
      </c>
      <c r="B706" s="57" t="s">
        <v>1289</v>
      </c>
      <c r="C706" s="57"/>
      <c r="D706" s="84"/>
      <c r="E706" s="88"/>
      <c r="F706" s="113">
        <f>SUM(F707:F710)</f>
        <v>240.084</v>
      </c>
    </row>
    <row r="707" ht="20" customHeight="1" spans="1:6">
      <c r="A707" s="57"/>
      <c r="B707" s="57"/>
      <c r="C707" s="57"/>
      <c r="D707" s="84"/>
      <c r="E707" s="88"/>
      <c r="F707" s="113"/>
    </row>
    <row r="708" ht="20" customHeight="1" spans="1:6">
      <c r="A708" s="57"/>
      <c r="B708" s="57"/>
      <c r="C708" s="57"/>
      <c r="D708" s="84"/>
      <c r="E708" s="88"/>
      <c r="F708" s="113"/>
    </row>
    <row r="709" ht="20" customHeight="1" spans="1:6">
      <c r="A709" s="57"/>
      <c r="B709" s="57" t="s">
        <v>1290</v>
      </c>
      <c r="C709" s="57" t="s">
        <v>184</v>
      </c>
      <c r="D709" s="84">
        <f>建筑工程单价分析表!D979</f>
        <v>6.225</v>
      </c>
      <c r="E709" s="88">
        <v>0</v>
      </c>
      <c r="F709" s="113">
        <f>D709*E709</f>
        <v>0</v>
      </c>
    </row>
    <row r="710" ht="20" customHeight="1" spans="1:6">
      <c r="A710" s="57"/>
      <c r="B710" s="57" t="s">
        <v>1174</v>
      </c>
      <c r="C710" s="59" t="s">
        <v>184</v>
      </c>
      <c r="D710" s="84">
        <f>建筑工程单价分析表!D980</f>
        <v>4.86</v>
      </c>
      <c r="E710" s="88">
        <f>(E699*6.5)</f>
        <v>49.4</v>
      </c>
      <c r="F710" s="113">
        <f>D710*E710</f>
        <v>240.084</v>
      </c>
    </row>
    <row r="711" ht="20" customHeight="1" spans="1:6">
      <c r="A711" s="57" t="s">
        <v>327</v>
      </c>
      <c r="B711" s="57" t="s">
        <v>976</v>
      </c>
      <c r="C711" s="195">
        <f>建筑工程单价分析表!C981</f>
        <v>0.09</v>
      </c>
      <c r="D711" s="275"/>
      <c r="E711" s="84">
        <f>F705+F704+F703+F688</f>
        <v>16239.0680198283</v>
      </c>
      <c r="F711" s="84">
        <f>E711*C711</f>
        <v>1461.51612178455</v>
      </c>
    </row>
    <row r="712" ht="20" customHeight="1" spans="1:6">
      <c r="A712" s="57"/>
      <c r="B712" s="57" t="s">
        <v>984</v>
      </c>
      <c r="C712" s="195"/>
      <c r="D712" s="275"/>
      <c r="E712" s="84"/>
      <c r="F712" s="84">
        <f>(F688+F703+F704+F705+F711)*取费表!H12</f>
        <v>531.017524248385</v>
      </c>
    </row>
    <row r="713" ht="20" customHeight="1" spans="1:6">
      <c r="A713" s="57"/>
      <c r="B713" s="57" t="s">
        <v>278</v>
      </c>
      <c r="C713" s="58"/>
      <c r="D713" s="275"/>
      <c r="E713" s="275"/>
      <c r="F713" s="84">
        <f>F711+E711+F712</f>
        <v>18231.6016658612</v>
      </c>
    </row>
    <row r="714" ht="20" customHeight="1" spans="1:6">
      <c r="A714" s="57"/>
      <c r="B714" s="57"/>
      <c r="C714" s="58"/>
      <c r="D714" s="275"/>
      <c r="E714" s="275"/>
      <c r="F714" s="84"/>
    </row>
    <row r="715" ht="20" customHeight="1" spans="1:6">
      <c r="A715" s="57"/>
      <c r="B715" s="57"/>
      <c r="C715" s="58"/>
      <c r="D715" s="275"/>
      <c r="E715" s="275"/>
      <c r="F715" s="84"/>
    </row>
    <row r="716" ht="20" customHeight="1" spans="1:6">
      <c r="A716" s="57"/>
      <c r="B716" s="57"/>
      <c r="C716" s="58"/>
      <c r="D716" s="275"/>
      <c r="E716" s="275"/>
      <c r="F716" s="84"/>
    </row>
    <row r="717" ht="20" customHeight="1" spans="1:6">
      <c r="A717" s="57"/>
      <c r="B717" s="57"/>
      <c r="C717" s="58"/>
      <c r="D717" s="275"/>
      <c r="E717" s="275"/>
      <c r="F717" s="84"/>
    </row>
    <row r="718" ht="20" customHeight="1" spans="1:6">
      <c r="A718" s="57"/>
      <c r="B718" s="57"/>
      <c r="C718" s="58"/>
      <c r="D718" s="275"/>
      <c r="E718" s="275"/>
      <c r="F718" s="84"/>
    </row>
    <row r="719" ht="17" customHeight="1" spans="1:6">
      <c r="A719" s="57"/>
      <c r="B719" s="57"/>
      <c r="C719" s="58"/>
      <c r="D719" s="275"/>
      <c r="E719" s="275"/>
      <c r="F719" s="84"/>
    </row>
    <row r="720" ht="23" customHeight="1" spans="1:6">
      <c r="A720" s="175" t="s">
        <v>1753</v>
      </c>
      <c r="B720" s="176"/>
      <c r="C720" s="176"/>
      <c r="D720" s="176"/>
      <c r="E720" s="176"/>
      <c r="F720" s="176"/>
    </row>
    <row r="721" ht="20" customHeight="1" spans="1:6">
      <c r="A721" s="276" t="s">
        <v>1842</v>
      </c>
      <c r="B721" s="276"/>
      <c r="C721" s="276"/>
      <c r="D721" s="276"/>
      <c r="E721" s="276"/>
      <c r="F721" s="276"/>
    </row>
    <row r="722" ht="20" customHeight="1" spans="1:6">
      <c r="A722" s="199" t="s">
        <v>1843</v>
      </c>
      <c r="B722" s="200"/>
      <c r="C722" s="263"/>
      <c r="D722" s="263"/>
      <c r="E722" s="200" t="s">
        <v>1479</v>
      </c>
      <c r="F722" s="200"/>
    </row>
    <row r="723" ht="20" customHeight="1" spans="1:6">
      <c r="A723" s="277" t="s">
        <v>1844</v>
      </c>
      <c r="B723" s="220"/>
      <c r="C723" s="278"/>
      <c r="D723" s="278"/>
      <c r="E723" s="278"/>
      <c r="F723" s="279"/>
    </row>
    <row r="724" ht="20" customHeight="1" spans="1:6">
      <c r="A724" s="206" t="s">
        <v>354</v>
      </c>
      <c r="B724" s="206" t="s">
        <v>956</v>
      </c>
      <c r="C724" s="206" t="s">
        <v>52</v>
      </c>
      <c r="D724" s="206" t="s">
        <v>855</v>
      </c>
      <c r="E724" s="206" t="s">
        <v>53</v>
      </c>
      <c r="F724" s="206" t="s">
        <v>306</v>
      </c>
    </row>
    <row r="725" ht="20" customHeight="1" spans="1:6">
      <c r="A725" s="206" t="s">
        <v>959</v>
      </c>
      <c r="B725" s="206" t="s">
        <v>960</v>
      </c>
      <c r="C725" s="206"/>
      <c r="D725" s="206"/>
      <c r="E725" s="206"/>
      <c r="F725" s="207">
        <f>F726+F738+F739</f>
        <v>12012.5425803527</v>
      </c>
    </row>
    <row r="726" ht="20" customHeight="1" spans="1:6">
      <c r="A726" s="206" t="s">
        <v>59</v>
      </c>
      <c r="B726" s="206" t="s">
        <v>957</v>
      </c>
      <c r="C726" s="206"/>
      <c r="D726" s="206"/>
      <c r="E726" s="206"/>
      <c r="F726" s="207">
        <f>F727+F730+F735</f>
        <v>11462.3497904128</v>
      </c>
    </row>
    <row r="727" ht="20" customHeight="1" spans="1:6">
      <c r="A727" s="206">
        <v>1</v>
      </c>
      <c r="B727" s="206" t="s">
        <v>964</v>
      </c>
      <c r="C727" s="206" t="s">
        <v>965</v>
      </c>
      <c r="D727" s="280"/>
      <c r="E727" s="208">
        <f>SUM(E728:E729)</f>
        <v>136.3</v>
      </c>
      <c r="F727" s="208">
        <f>SUM(F728:F729)</f>
        <v>912.97</v>
      </c>
    </row>
    <row r="728" ht="20" customHeight="1" spans="1:6">
      <c r="A728" s="206"/>
      <c r="B728" s="206" t="s">
        <v>966</v>
      </c>
      <c r="C728" s="206" t="s">
        <v>965</v>
      </c>
      <c r="D728" s="208">
        <f>建筑工程单价分析表!D691</f>
        <v>8.1</v>
      </c>
      <c r="E728" s="210">
        <f>137.3-8.3*10</f>
        <v>54.3</v>
      </c>
      <c r="F728" s="208">
        <f t="shared" ref="F728:F733" si="56">D728*E728</f>
        <v>439.83</v>
      </c>
    </row>
    <row r="729" ht="20" customHeight="1" spans="1:6">
      <c r="A729" s="206"/>
      <c r="B729" s="206" t="s">
        <v>968</v>
      </c>
      <c r="C729" s="206" t="s">
        <v>965</v>
      </c>
      <c r="D729" s="208">
        <f>建筑工程单价分析表!D692</f>
        <v>5.77</v>
      </c>
      <c r="E729" s="210">
        <f>206-12.4*10</f>
        <v>82</v>
      </c>
      <c r="F729" s="208">
        <f t="shared" si="56"/>
        <v>473.14</v>
      </c>
    </row>
    <row r="730" ht="20" customHeight="1" spans="1:6">
      <c r="A730" s="206">
        <v>2</v>
      </c>
      <c r="B730" s="206" t="s">
        <v>1219</v>
      </c>
      <c r="C730" s="206"/>
      <c r="D730" s="207"/>
      <c r="E730" s="207"/>
      <c r="F730" s="207">
        <f>SUM(F731:F734)</f>
        <v>10220.85</v>
      </c>
    </row>
    <row r="731" ht="20" customHeight="1" spans="1:6">
      <c r="A731" s="206"/>
      <c r="B731" s="206" t="s">
        <v>1142</v>
      </c>
      <c r="C731" s="206" t="s">
        <v>1188</v>
      </c>
      <c r="D731" s="207">
        <v>70</v>
      </c>
      <c r="E731" s="207">
        <f>99-4.95*10</f>
        <v>49.5</v>
      </c>
      <c r="F731" s="207">
        <f t="shared" si="56"/>
        <v>3465</v>
      </c>
    </row>
    <row r="732" ht="20" customHeight="1" spans="1:6">
      <c r="A732" s="206"/>
      <c r="B732" s="206" t="s">
        <v>1496</v>
      </c>
      <c r="C732" s="206" t="s">
        <v>1188</v>
      </c>
      <c r="D732" s="207">
        <v>70</v>
      </c>
      <c r="E732" s="207">
        <f>188-10*9.4</f>
        <v>94</v>
      </c>
      <c r="F732" s="207">
        <f t="shared" si="56"/>
        <v>6580</v>
      </c>
    </row>
    <row r="733" ht="20" customHeight="1" spans="1:6">
      <c r="A733" s="206"/>
      <c r="B733" s="206" t="s">
        <v>1845</v>
      </c>
      <c r="C733" s="206" t="s">
        <v>1188</v>
      </c>
      <c r="D733" s="207">
        <v>5</v>
      </c>
      <c r="E733" s="207">
        <f>50-2.5*10</f>
        <v>25</v>
      </c>
      <c r="F733" s="207">
        <f t="shared" si="56"/>
        <v>125</v>
      </c>
    </row>
    <row r="734" ht="20" customHeight="1" spans="1:6">
      <c r="A734" s="206"/>
      <c r="B734" s="206" t="s">
        <v>1163</v>
      </c>
      <c r="C734" s="264" t="s">
        <v>423</v>
      </c>
      <c r="D734" s="207">
        <f>F731+F732+F733</f>
        <v>10170</v>
      </c>
      <c r="E734" s="207">
        <v>0.5</v>
      </c>
      <c r="F734" s="207">
        <f>D734*E734/100</f>
        <v>50.85</v>
      </c>
    </row>
    <row r="735" ht="20" customHeight="1" spans="1:6">
      <c r="A735" s="206">
        <v>3</v>
      </c>
      <c r="B735" s="206" t="s">
        <v>1171</v>
      </c>
      <c r="C735" s="206"/>
      <c r="D735" s="207"/>
      <c r="E735" s="207"/>
      <c r="F735" s="207">
        <f>SUM(F736:F737)</f>
        <v>328.529790412844</v>
      </c>
    </row>
    <row r="736" ht="20" customHeight="1" spans="1:6">
      <c r="A736" s="206"/>
      <c r="B736" s="206" t="s">
        <v>1841</v>
      </c>
      <c r="C736" s="206" t="s">
        <v>988</v>
      </c>
      <c r="D736" s="207">
        <f>建筑工程单价分析表!D699</f>
        <v>63.5282110091743</v>
      </c>
      <c r="E736" s="207">
        <f>6.57-0.15*10</f>
        <v>5.07</v>
      </c>
      <c r="F736" s="207">
        <f>D736*E736</f>
        <v>322.088029816514</v>
      </c>
    </row>
    <row r="737" ht="20" customHeight="1" spans="1:6">
      <c r="A737" s="206"/>
      <c r="B737" s="206" t="s">
        <v>1223</v>
      </c>
      <c r="C737" s="264" t="s">
        <v>423</v>
      </c>
      <c r="D737" s="207">
        <f>F736</f>
        <v>322.088029816514</v>
      </c>
      <c r="E737" s="207">
        <v>2</v>
      </c>
      <c r="F737" s="207">
        <f>D737*E737/100</f>
        <v>6.44176059633027</v>
      </c>
    </row>
    <row r="738" ht="20" customHeight="1" spans="1:6">
      <c r="A738" s="206" t="s">
        <v>70</v>
      </c>
      <c r="B738" s="206" t="s">
        <v>977</v>
      </c>
      <c r="C738" s="265">
        <f>取费表!$C$12</f>
        <v>0.048</v>
      </c>
      <c r="D738" s="207"/>
      <c r="E738" s="207">
        <f>F726</f>
        <v>11462.3497904128</v>
      </c>
      <c r="F738" s="207">
        <f t="shared" ref="F738:F741" si="57">E738*C738</f>
        <v>550.192789939817</v>
      </c>
    </row>
    <row r="739" ht="20" customHeight="1" spans="1:6">
      <c r="A739" s="206"/>
      <c r="B739" s="206"/>
      <c r="C739" s="265"/>
      <c r="D739" s="207"/>
      <c r="E739" s="207"/>
      <c r="F739" s="207"/>
    </row>
    <row r="740" ht="20" customHeight="1" spans="1:6">
      <c r="A740" s="206" t="s">
        <v>979</v>
      </c>
      <c r="B740" s="206" t="s">
        <v>973</v>
      </c>
      <c r="C740" s="265">
        <f>取费表!$E$12</f>
        <v>0.0725</v>
      </c>
      <c r="D740" s="207"/>
      <c r="E740" s="207">
        <f>F725</f>
        <v>12012.5425803527</v>
      </c>
      <c r="F740" s="207">
        <f t="shared" si="57"/>
        <v>870.909337075568</v>
      </c>
    </row>
    <row r="741" ht="20" customHeight="1" spans="1:6">
      <c r="A741" s="206" t="s">
        <v>162</v>
      </c>
      <c r="B741" s="206" t="s">
        <v>980</v>
      </c>
      <c r="C741" s="265">
        <f>取费表!$F$12</f>
        <v>0.05</v>
      </c>
      <c r="D741" s="207"/>
      <c r="E741" s="207">
        <f>F740+F725</f>
        <v>12883.4519174282</v>
      </c>
      <c r="F741" s="207">
        <f t="shared" si="57"/>
        <v>644.172595871411</v>
      </c>
    </row>
    <row r="742" ht="20" customHeight="1" spans="1:6">
      <c r="A742" s="281" t="s">
        <v>214</v>
      </c>
      <c r="B742" s="281" t="s">
        <v>1173</v>
      </c>
      <c r="C742" s="282"/>
      <c r="D742" s="283"/>
      <c r="E742" s="281"/>
      <c r="F742" s="284">
        <f>F743</f>
        <v>4315.875313</v>
      </c>
    </row>
    <row r="743" ht="20" customHeight="1" spans="1:6">
      <c r="A743" s="206">
        <v>2</v>
      </c>
      <c r="B743" s="206" t="s">
        <v>1289</v>
      </c>
      <c r="C743" s="206"/>
      <c r="D743" s="207"/>
      <c r="E743" s="212"/>
      <c r="F743" s="208">
        <f>SUM(F744:F747)</f>
        <v>4315.875313</v>
      </c>
    </row>
    <row r="744" ht="20" customHeight="1" spans="1:6">
      <c r="A744" s="206"/>
      <c r="B744" s="206" t="s">
        <v>1142</v>
      </c>
      <c r="C744" s="206" t="s">
        <v>1188</v>
      </c>
      <c r="D744" s="207">
        <f>材料预算价!K7-材料预算价!L7</f>
        <v>44.826214</v>
      </c>
      <c r="E744" s="207">
        <f>E731</f>
        <v>49.5</v>
      </c>
      <c r="F744" s="207">
        <f t="shared" ref="F744:F747" si="58">D744*E744</f>
        <v>2218.897593</v>
      </c>
    </row>
    <row r="745" ht="20" customHeight="1" spans="1:6">
      <c r="A745" s="206"/>
      <c r="B745" s="206" t="s">
        <v>1496</v>
      </c>
      <c r="C745" s="206" t="s">
        <v>1188</v>
      </c>
      <c r="D745" s="207">
        <f>材料预算价!K8-材料预算价!L7</f>
        <v>20.60443</v>
      </c>
      <c r="E745" s="207">
        <f>E732</f>
        <v>94</v>
      </c>
      <c r="F745" s="207">
        <f t="shared" si="58"/>
        <v>1936.81642</v>
      </c>
    </row>
    <row r="746" ht="20" customHeight="1" spans="1:6">
      <c r="A746" s="206"/>
      <c r="B746" s="206" t="s">
        <v>1290</v>
      </c>
      <c r="C746" s="206" t="s">
        <v>184</v>
      </c>
      <c r="D746" s="207">
        <f>建筑工程单价分析表!D709</f>
        <v>6.225</v>
      </c>
      <c r="E746" s="212">
        <v>0</v>
      </c>
      <c r="F746" s="208">
        <f t="shared" si="58"/>
        <v>0</v>
      </c>
    </row>
    <row r="747" ht="20" customHeight="1" spans="1:6">
      <c r="A747" s="206"/>
      <c r="B747" s="206" t="s">
        <v>1174</v>
      </c>
      <c r="C747" s="264" t="s">
        <v>184</v>
      </c>
      <c r="D747" s="207">
        <f>建筑工程单价分析表!D710</f>
        <v>4.86</v>
      </c>
      <c r="E747" s="212">
        <f>(E736*6.5)</f>
        <v>32.955</v>
      </c>
      <c r="F747" s="208">
        <f t="shared" si="58"/>
        <v>160.1613</v>
      </c>
    </row>
    <row r="748" ht="20" customHeight="1" spans="1:6">
      <c r="A748" s="206" t="s">
        <v>327</v>
      </c>
      <c r="B748" s="206" t="s">
        <v>976</v>
      </c>
      <c r="C748" s="267">
        <f>建筑工程单价分析表!C711</f>
        <v>0.09</v>
      </c>
      <c r="D748" s="285"/>
      <c r="E748" s="207">
        <f>F742+F741+F740+F725</f>
        <v>17843.4998262996</v>
      </c>
      <c r="F748" s="207">
        <f>E748*C748</f>
        <v>1605.91498436697</v>
      </c>
    </row>
    <row r="749" ht="20" customHeight="1" spans="1:6">
      <c r="A749" s="206"/>
      <c r="B749" s="206" t="s">
        <v>984</v>
      </c>
      <c r="C749" s="267"/>
      <c r="D749" s="285"/>
      <c r="E749" s="207"/>
      <c r="F749" s="207">
        <f>(F725+F740+F741+F742+F748)*取费表!H12</f>
        <v>583.482444319998</v>
      </c>
    </row>
    <row r="750" ht="20" customHeight="1" spans="1:6">
      <c r="A750" s="206"/>
      <c r="B750" s="206" t="s">
        <v>278</v>
      </c>
      <c r="C750" s="222"/>
      <c r="D750" s="285"/>
      <c r="E750" s="285"/>
      <c r="F750" s="207">
        <f>F748+E748+F749</f>
        <v>20032.8972549866</v>
      </c>
    </row>
    <row r="751" ht="20" customHeight="1" spans="1:6">
      <c r="A751" s="206"/>
      <c r="B751" s="206"/>
      <c r="C751" s="222"/>
      <c r="D751" s="285"/>
      <c r="E751" s="285"/>
      <c r="F751" s="207"/>
    </row>
    <row r="752" ht="20" customHeight="1" spans="1:6">
      <c r="A752" s="206"/>
      <c r="B752" s="206"/>
      <c r="C752" s="222"/>
      <c r="D752" s="285"/>
      <c r="E752" s="285"/>
      <c r="F752" s="207"/>
    </row>
    <row r="753" ht="20" customHeight="1" spans="1:6">
      <c r="A753" s="206"/>
      <c r="B753" s="206"/>
      <c r="C753" s="222"/>
      <c r="D753" s="285"/>
      <c r="E753" s="285"/>
      <c r="F753" s="207"/>
    </row>
    <row r="754" ht="20" customHeight="1" spans="1:6">
      <c r="A754" s="206"/>
      <c r="B754" s="206"/>
      <c r="C754" s="222"/>
      <c r="D754" s="285"/>
      <c r="E754" s="285"/>
      <c r="F754" s="207"/>
    </row>
    <row r="755" ht="20" customHeight="1" spans="1:6">
      <c r="A755" s="206"/>
      <c r="B755" s="206"/>
      <c r="C755" s="222"/>
      <c r="D755" s="285"/>
      <c r="E755" s="285"/>
      <c r="F755" s="207"/>
    </row>
    <row r="756" ht="20" customHeight="1" spans="1:6">
      <c r="A756" s="206"/>
      <c r="B756" s="206"/>
      <c r="C756" s="222"/>
      <c r="D756" s="285"/>
      <c r="E756" s="285"/>
      <c r="F756" s="207"/>
    </row>
    <row r="757" ht="20" customHeight="1" spans="1:6">
      <c r="A757" s="175" t="s">
        <v>1753</v>
      </c>
      <c r="B757" s="176"/>
      <c r="C757" s="176"/>
      <c r="D757" s="176"/>
      <c r="E757" s="176"/>
      <c r="F757" s="176"/>
    </row>
    <row r="758" spans="1:6">
      <c r="A758" s="256" t="s">
        <v>1846</v>
      </c>
      <c r="B758" s="256"/>
      <c r="C758" s="256"/>
      <c r="D758" s="256"/>
      <c r="E758" s="256"/>
      <c r="F758" s="256"/>
    </row>
    <row r="759" spans="1:6">
      <c r="A759" s="190" t="s">
        <v>1847</v>
      </c>
      <c r="B759" s="191"/>
      <c r="C759" s="168"/>
      <c r="D759" s="168"/>
      <c r="E759" s="191" t="s">
        <v>1159</v>
      </c>
      <c r="F759" s="191"/>
    </row>
    <row r="760" spans="1:6">
      <c r="A760" s="117" t="s">
        <v>1218</v>
      </c>
      <c r="B760" s="192"/>
      <c r="C760" s="192"/>
      <c r="D760" s="192"/>
      <c r="E760" s="192"/>
      <c r="F760" s="118"/>
    </row>
    <row r="761" spans="1:6">
      <c r="A761" s="57" t="s">
        <v>354</v>
      </c>
      <c r="B761" s="57" t="s">
        <v>956</v>
      </c>
      <c r="C761" s="57" t="s">
        <v>52</v>
      </c>
      <c r="D761" s="57" t="s">
        <v>855</v>
      </c>
      <c r="E761" s="57" t="s">
        <v>53</v>
      </c>
      <c r="F761" s="57" t="s">
        <v>306</v>
      </c>
    </row>
    <row r="762" spans="1:6">
      <c r="A762" s="57" t="s">
        <v>959</v>
      </c>
      <c r="B762" s="57" t="s">
        <v>960</v>
      </c>
      <c r="C762" s="57"/>
      <c r="D762" s="57"/>
      <c r="E762" s="57"/>
      <c r="F762" s="84">
        <f>F763+F771+F772</f>
        <v>1158.83168269326</v>
      </c>
    </row>
    <row r="763" spans="1:6">
      <c r="A763" s="57" t="s">
        <v>59</v>
      </c>
      <c r="B763" s="57" t="s">
        <v>957</v>
      </c>
      <c r="C763" s="57"/>
      <c r="D763" s="57"/>
      <c r="E763" s="57"/>
      <c r="F763" s="84">
        <f>F764+F767+F769</f>
        <v>1105.75542241723</v>
      </c>
    </row>
    <row r="764" spans="1:6">
      <c r="A764" s="57">
        <v>1</v>
      </c>
      <c r="B764" s="57" t="s">
        <v>964</v>
      </c>
      <c r="C764" s="57" t="s">
        <v>965</v>
      </c>
      <c r="D764" s="113"/>
      <c r="E764" s="92">
        <f>SUM(E765:E766)</f>
        <v>108</v>
      </c>
      <c r="F764" s="113">
        <f>SUM(F765:F766)</f>
        <v>623.16</v>
      </c>
    </row>
    <row r="765" spans="1:6">
      <c r="A765" s="57"/>
      <c r="B765" s="57" t="s">
        <v>966</v>
      </c>
      <c r="C765" s="57" t="s">
        <v>965</v>
      </c>
      <c r="D765" s="113">
        <f>新定额单价!D3365</f>
        <v>8.1</v>
      </c>
      <c r="E765" s="92"/>
      <c r="F765" s="113">
        <f t="shared" ref="F765:F770" si="59">D765*E765</f>
        <v>0</v>
      </c>
    </row>
    <row r="766" spans="1:6">
      <c r="A766" s="57"/>
      <c r="B766" s="57" t="s">
        <v>968</v>
      </c>
      <c r="C766" s="57" t="s">
        <v>965</v>
      </c>
      <c r="D766" s="113">
        <f>新定额单价!D3366</f>
        <v>5.77</v>
      </c>
      <c r="E766" s="92">
        <v>108</v>
      </c>
      <c r="F766" s="113">
        <f t="shared" si="59"/>
        <v>623.16</v>
      </c>
    </row>
    <row r="767" spans="1:6">
      <c r="A767" s="57">
        <v>2</v>
      </c>
      <c r="B767" s="57" t="s">
        <v>967</v>
      </c>
      <c r="C767" s="59"/>
      <c r="D767" s="88"/>
      <c r="E767" s="88"/>
      <c r="F767" s="88">
        <f>SUM(F768:F768)</f>
        <v>18.6948</v>
      </c>
    </row>
    <row r="768" spans="1:6">
      <c r="A768" s="57"/>
      <c r="B768" s="57" t="s">
        <v>1163</v>
      </c>
      <c r="C768" s="195">
        <v>0.03</v>
      </c>
      <c r="D768" s="84"/>
      <c r="E768" s="88">
        <f>F764+F769</f>
        <v>1087.06062241723</v>
      </c>
      <c r="F768" s="113">
        <f>F764*C768</f>
        <v>18.6948</v>
      </c>
    </row>
    <row r="769" spans="1:6">
      <c r="A769" s="57">
        <v>3</v>
      </c>
      <c r="B769" s="57" t="s">
        <v>1171</v>
      </c>
      <c r="C769" s="59"/>
      <c r="D769" s="84"/>
      <c r="E769" s="84"/>
      <c r="F769" s="84">
        <f>F770</f>
        <v>463.900622417232</v>
      </c>
    </row>
    <row r="770" spans="1:6">
      <c r="A770" s="57"/>
      <c r="B770" s="57" t="s">
        <v>1848</v>
      </c>
      <c r="C770" s="57" t="s">
        <v>988</v>
      </c>
      <c r="D770" s="84">
        <f>台时!C21</f>
        <v>118.94887754288</v>
      </c>
      <c r="E770" s="84">
        <v>3.9</v>
      </c>
      <c r="F770" s="84">
        <f t="shared" si="59"/>
        <v>463.900622417232</v>
      </c>
    </row>
    <row r="771" spans="1:6">
      <c r="A771" s="57" t="s">
        <v>70</v>
      </c>
      <c r="B771" s="57" t="s">
        <v>977</v>
      </c>
      <c r="C771" s="194">
        <f>取费表!C12</f>
        <v>0.048</v>
      </c>
      <c r="D771" s="84"/>
      <c r="E771" s="84">
        <f>F763</f>
        <v>1105.75542241723</v>
      </c>
      <c r="F771" s="84">
        <f t="shared" ref="F771:F774" si="60">E771*C771</f>
        <v>53.0762602760271</v>
      </c>
    </row>
    <row r="772" spans="1:6">
      <c r="A772" s="57"/>
      <c r="B772" s="57"/>
      <c r="C772" s="194"/>
      <c r="D772" s="84"/>
      <c r="E772" s="84"/>
      <c r="F772" s="84"/>
    </row>
    <row r="773" spans="1:6">
      <c r="A773" s="57" t="s">
        <v>979</v>
      </c>
      <c r="B773" s="57" t="s">
        <v>973</v>
      </c>
      <c r="C773" s="194">
        <f>取费表!E12</f>
        <v>0.0725</v>
      </c>
      <c r="D773" s="84"/>
      <c r="E773" s="84">
        <f>F762</f>
        <v>1158.83168269326</v>
      </c>
      <c r="F773" s="84">
        <f t="shared" si="60"/>
        <v>84.0152969952613</v>
      </c>
    </row>
    <row r="774" spans="1:6">
      <c r="A774" s="57" t="s">
        <v>162</v>
      </c>
      <c r="B774" s="57" t="s">
        <v>980</v>
      </c>
      <c r="C774" s="194">
        <f>取费表!F12</f>
        <v>0.05</v>
      </c>
      <c r="D774" s="113"/>
      <c r="E774" s="84">
        <f>F773+F762</f>
        <v>1242.84697968852</v>
      </c>
      <c r="F774" s="84">
        <f t="shared" si="60"/>
        <v>62.142348984426</v>
      </c>
    </row>
    <row r="775" spans="1:6">
      <c r="A775" s="57"/>
      <c r="B775" s="57" t="s">
        <v>1116</v>
      </c>
      <c r="C775" s="194" t="s">
        <v>184</v>
      </c>
      <c r="D775" s="113">
        <f>材料预算价!K12-材料预算价!L12</f>
        <v>4.86</v>
      </c>
      <c r="E775" s="84">
        <f>E770*台时!C14</f>
        <v>55.38</v>
      </c>
      <c r="F775" s="84">
        <f>D775*E775</f>
        <v>269.1468</v>
      </c>
    </row>
    <row r="776" spans="1:6">
      <c r="A776" s="57" t="s">
        <v>214</v>
      </c>
      <c r="B776" s="57" t="s">
        <v>976</v>
      </c>
      <c r="C776" s="195">
        <f>取费表!G12</f>
        <v>0.09</v>
      </c>
      <c r="D776" s="88"/>
      <c r="E776" s="84">
        <f>F774+F773+F762+F775</f>
        <v>1574.13612867295</v>
      </c>
      <c r="F776" s="84">
        <f>E776*C776</f>
        <v>141.672251580565</v>
      </c>
    </row>
    <row r="777" spans="1:6">
      <c r="A777" s="57"/>
      <c r="B777" s="57" t="s">
        <v>984</v>
      </c>
      <c r="C777" s="195"/>
      <c r="D777" s="88"/>
      <c r="E777" s="84"/>
      <c r="F777" s="84">
        <f>(F762+F773+F774+F776+F775)*取费表!H4</f>
        <v>51.4742514076053</v>
      </c>
    </row>
    <row r="778" spans="1:6">
      <c r="A778" s="57"/>
      <c r="B778" s="57" t="s">
        <v>278</v>
      </c>
      <c r="C778" s="57"/>
      <c r="D778" s="88"/>
      <c r="E778" s="88"/>
      <c r="F778" s="88">
        <f>F776+E776+F777</f>
        <v>1767.28263166112</v>
      </c>
    </row>
    <row r="779" ht="18" customHeight="1" spans="1:6">
      <c r="A779" s="175" t="s">
        <v>1753</v>
      </c>
      <c r="B779" s="176"/>
      <c r="C779" s="176"/>
      <c r="D779" s="176"/>
      <c r="E779" s="176"/>
      <c r="F779" s="176"/>
    </row>
    <row r="780" ht="18" customHeight="1" spans="1:6">
      <c r="A780" s="256" t="s">
        <v>1849</v>
      </c>
      <c r="B780" s="256"/>
      <c r="C780" s="256"/>
      <c r="D780" s="256"/>
      <c r="E780" s="256"/>
      <c r="F780" s="256"/>
    </row>
    <row r="781" ht="18" customHeight="1" spans="1:6">
      <c r="A781" s="190" t="s">
        <v>1850</v>
      </c>
      <c r="B781" s="191"/>
      <c r="C781" s="168"/>
      <c r="D781" s="168"/>
      <c r="E781" s="191" t="s">
        <v>1159</v>
      </c>
      <c r="F781" s="191"/>
    </row>
    <row r="782" ht="18" customHeight="1" spans="1:6">
      <c r="A782" s="117" t="s">
        <v>1218</v>
      </c>
      <c r="B782" s="192"/>
      <c r="C782" s="192"/>
      <c r="D782" s="192"/>
      <c r="E782" s="192"/>
      <c r="F782" s="118"/>
    </row>
    <row r="783" ht="18" customHeight="1" spans="1:6">
      <c r="A783" s="57" t="s">
        <v>354</v>
      </c>
      <c r="B783" s="57" t="s">
        <v>956</v>
      </c>
      <c r="C783" s="57" t="s">
        <v>52</v>
      </c>
      <c r="D783" s="57" t="s">
        <v>855</v>
      </c>
      <c r="E783" s="57" t="s">
        <v>53</v>
      </c>
      <c r="F783" s="57" t="s">
        <v>306</v>
      </c>
    </row>
    <row r="784" ht="18" customHeight="1" spans="1:6">
      <c r="A784" s="57" t="s">
        <v>959</v>
      </c>
      <c r="B784" s="57" t="s">
        <v>960</v>
      </c>
      <c r="C784" s="57"/>
      <c r="D784" s="57"/>
      <c r="E784" s="57"/>
      <c r="F784" s="84">
        <f>F785+F793+F794</f>
        <v>2917.53045835615</v>
      </c>
    </row>
    <row r="785" ht="18" customHeight="1" spans="1:6">
      <c r="A785" s="57" t="s">
        <v>59</v>
      </c>
      <c r="B785" s="57" t="s">
        <v>957</v>
      </c>
      <c r="C785" s="57"/>
      <c r="D785" s="57"/>
      <c r="E785" s="57"/>
      <c r="F785" s="84">
        <f>F786+F789+F790</f>
        <v>2783.90310911847</v>
      </c>
    </row>
    <row r="786" ht="18" customHeight="1" spans="1:6">
      <c r="A786" s="57">
        <v>1</v>
      </c>
      <c r="B786" s="57" t="s">
        <v>964</v>
      </c>
      <c r="C786" s="57" t="s">
        <v>965</v>
      </c>
      <c r="D786" s="113"/>
      <c r="E786" s="92">
        <f>SUM(E787:E788)</f>
        <v>307.5</v>
      </c>
      <c r="F786" s="113">
        <f>SUM(F787:F788)</f>
        <v>1774.275</v>
      </c>
    </row>
    <row r="787" ht="18" customHeight="1" spans="1:6">
      <c r="A787" s="57"/>
      <c r="B787" s="57" t="s">
        <v>966</v>
      </c>
      <c r="C787" s="57" t="s">
        <v>965</v>
      </c>
      <c r="D787" s="113">
        <f>新定额单价!D3454</f>
        <v>8.1</v>
      </c>
      <c r="E787" s="92"/>
      <c r="F787" s="113">
        <f t="shared" ref="F787:F792" si="61">D787*E787</f>
        <v>0</v>
      </c>
    </row>
    <row r="788" ht="18" customHeight="1" spans="1:6">
      <c r="A788" s="57"/>
      <c r="B788" s="57" t="s">
        <v>968</v>
      </c>
      <c r="C788" s="57" t="s">
        <v>965</v>
      </c>
      <c r="D788" s="113">
        <f>新定额单价!D3455</f>
        <v>5.77</v>
      </c>
      <c r="E788" s="92">
        <v>307.5</v>
      </c>
      <c r="F788" s="113">
        <f t="shared" si="61"/>
        <v>1774.275</v>
      </c>
    </row>
    <row r="789" ht="18" customHeight="1" spans="1:6">
      <c r="A789" s="57">
        <v>2</v>
      </c>
      <c r="B789" s="57" t="s">
        <v>967</v>
      </c>
      <c r="C789" s="59"/>
      <c r="D789" s="88"/>
      <c r="E789" s="88"/>
      <c r="F789" s="88"/>
    </row>
    <row r="790" ht="18" customHeight="1" spans="1:6">
      <c r="A790" s="57">
        <v>3</v>
      </c>
      <c r="B790" s="57" t="s">
        <v>1171</v>
      </c>
      <c r="C790" s="59"/>
      <c r="D790" s="84"/>
      <c r="E790" s="84"/>
      <c r="F790" s="84">
        <f>F791+F792</f>
        <v>1009.62810911847</v>
      </c>
    </row>
    <row r="791" ht="18" customHeight="1" spans="1:6">
      <c r="A791" s="57"/>
      <c r="B791" s="57" t="s">
        <v>1851</v>
      </c>
      <c r="C791" s="57" t="s">
        <v>988</v>
      </c>
      <c r="D791" s="84">
        <f>新定额单价!D3458</f>
        <v>118.94887754288</v>
      </c>
      <c r="E791" s="84">
        <v>3.48</v>
      </c>
      <c r="F791" s="84">
        <f t="shared" si="61"/>
        <v>413.942093849222</v>
      </c>
    </row>
    <row r="792" ht="18" customHeight="1" spans="1:6">
      <c r="A792" s="57"/>
      <c r="B792" s="57" t="s">
        <v>1221</v>
      </c>
      <c r="C792" s="57" t="s">
        <v>988</v>
      </c>
      <c r="D792" s="84">
        <f>台时!E21</f>
        <v>89.4423446350219</v>
      </c>
      <c r="E792" s="84">
        <v>6.66</v>
      </c>
      <c r="F792" s="84">
        <f t="shared" si="61"/>
        <v>595.686015269246</v>
      </c>
    </row>
    <row r="793" ht="18" customHeight="1" spans="1:6">
      <c r="A793" s="57" t="s">
        <v>70</v>
      </c>
      <c r="B793" s="57" t="s">
        <v>977</v>
      </c>
      <c r="C793" s="194">
        <f>取费表!C12</f>
        <v>0.048</v>
      </c>
      <c r="D793" s="84"/>
      <c r="E793" s="84">
        <f>F785</f>
        <v>2783.90310911847</v>
      </c>
      <c r="F793" s="84">
        <f t="shared" ref="F793:F796" si="62">E793*C793</f>
        <v>133.627349237686</v>
      </c>
    </row>
    <row r="794" ht="18" customHeight="1" spans="1:6">
      <c r="A794" s="57"/>
      <c r="B794" s="57"/>
      <c r="C794" s="194"/>
      <c r="D794" s="84"/>
      <c r="E794" s="84"/>
      <c r="F794" s="84"/>
    </row>
    <row r="795" ht="18" customHeight="1" spans="1:6">
      <c r="A795" s="57" t="s">
        <v>979</v>
      </c>
      <c r="B795" s="57" t="s">
        <v>973</v>
      </c>
      <c r="C795" s="194">
        <f>取费表!E12</f>
        <v>0.0725</v>
      </c>
      <c r="D795" s="84"/>
      <c r="E795" s="84">
        <f>F784</f>
        <v>2917.53045835615</v>
      </c>
      <c r="F795" s="84">
        <f t="shared" si="62"/>
        <v>211.520958230821</v>
      </c>
    </row>
    <row r="796" ht="18" customHeight="1" spans="1:6">
      <c r="A796" s="57" t="s">
        <v>162</v>
      </c>
      <c r="B796" s="57" t="s">
        <v>980</v>
      </c>
      <c r="C796" s="194">
        <f>取费表!F12</f>
        <v>0.05</v>
      </c>
      <c r="D796" s="113"/>
      <c r="E796" s="84">
        <f>F795+F784</f>
        <v>3129.05141658698</v>
      </c>
      <c r="F796" s="84">
        <f t="shared" si="62"/>
        <v>156.452570829349</v>
      </c>
    </row>
    <row r="797" ht="18" customHeight="1" spans="1:6">
      <c r="A797" s="57"/>
      <c r="B797" s="57" t="s">
        <v>1500</v>
      </c>
      <c r="C797" s="194" t="s">
        <v>184</v>
      </c>
      <c r="D797" s="113">
        <f>材料预算价!K12-材料预算价!L12</f>
        <v>4.86</v>
      </c>
      <c r="E797" s="84">
        <f>E791*台时!C14+E792*台时!E14</f>
        <v>120.012</v>
      </c>
      <c r="F797" s="84">
        <f>D797*E797</f>
        <v>583.25832</v>
      </c>
    </row>
    <row r="798" ht="18" customHeight="1" spans="1:6">
      <c r="A798" s="57" t="s">
        <v>214</v>
      </c>
      <c r="B798" s="57" t="s">
        <v>976</v>
      </c>
      <c r="C798" s="195">
        <f>取费表!G12</f>
        <v>0.09</v>
      </c>
      <c r="D798" s="88"/>
      <c r="E798" s="84">
        <f>F796+F795+F784+F797</f>
        <v>3868.76230741632</v>
      </c>
      <c r="F798" s="84">
        <f>E798*C798</f>
        <v>348.188607667469</v>
      </c>
    </row>
    <row r="799" ht="18" customHeight="1" spans="1:6">
      <c r="A799" s="57"/>
      <c r="B799" s="57" t="s">
        <v>984</v>
      </c>
      <c r="C799" s="195"/>
      <c r="D799" s="88"/>
      <c r="E799" s="84"/>
      <c r="F799" s="84">
        <f>(F784+F795+F796+F797+F798)*取费表!H4</f>
        <v>126.508527452514</v>
      </c>
    </row>
    <row r="800" ht="18" customHeight="1" spans="1:6">
      <c r="A800" s="57"/>
      <c r="B800" s="57" t="s">
        <v>278</v>
      </c>
      <c r="C800" s="57"/>
      <c r="D800" s="88"/>
      <c r="E800" s="88"/>
      <c r="F800" s="88">
        <f>E798+F798+F799</f>
        <v>4343.45944253631</v>
      </c>
    </row>
    <row r="801" ht="21" customHeight="1" spans="1:6">
      <c r="A801" s="175" t="s">
        <v>1753</v>
      </c>
      <c r="B801" s="176"/>
      <c r="C801" s="176"/>
      <c r="D801" s="176"/>
      <c r="E801" s="176"/>
      <c r="F801" s="176"/>
    </row>
    <row r="802" ht="21" customHeight="1" spans="1:6">
      <c r="A802" s="242" t="s">
        <v>1852</v>
      </c>
      <c r="B802" s="243"/>
      <c r="C802" s="243"/>
      <c r="D802" s="243"/>
      <c r="E802" s="243"/>
      <c r="F802" s="243"/>
    </row>
    <row r="803" ht="21" customHeight="1" spans="1:6">
      <c r="A803" s="190" t="s">
        <v>1520</v>
      </c>
      <c r="B803" s="190"/>
      <c r="C803" s="168"/>
      <c r="D803" s="168"/>
      <c r="E803" s="191" t="s">
        <v>1159</v>
      </c>
      <c r="F803" s="191"/>
    </row>
    <row r="804" ht="21" customHeight="1" spans="1:6">
      <c r="A804" s="197" t="s">
        <v>1218</v>
      </c>
      <c r="B804" s="201"/>
      <c r="C804" s="192"/>
      <c r="D804" s="192"/>
      <c r="E804" s="192"/>
      <c r="F804" s="118"/>
    </row>
    <row r="805" ht="21" customHeight="1" spans="1:6">
      <c r="A805" s="57" t="s">
        <v>354</v>
      </c>
      <c r="B805" s="57" t="s">
        <v>956</v>
      </c>
      <c r="C805" s="57" t="s">
        <v>52</v>
      </c>
      <c r="D805" s="57" t="s">
        <v>855</v>
      </c>
      <c r="E805" s="57" t="s">
        <v>53</v>
      </c>
      <c r="F805" s="57" t="s">
        <v>306</v>
      </c>
    </row>
    <row r="806" ht="21" customHeight="1" spans="1:6">
      <c r="A806" s="57" t="s">
        <v>959</v>
      </c>
      <c r="B806" s="57" t="s">
        <v>960</v>
      </c>
      <c r="C806" s="57"/>
      <c r="D806" s="57"/>
      <c r="E806" s="57"/>
      <c r="F806" s="84">
        <f>F807+F815+F816</f>
        <v>4606.31065394484</v>
      </c>
    </row>
    <row r="807" ht="21" customHeight="1" spans="1:6">
      <c r="A807" s="57" t="s">
        <v>59</v>
      </c>
      <c r="B807" s="57" t="s">
        <v>957</v>
      </c>
      <c r="C807" s="57"/>
      <c r="D807" s="57"/>
      <c r="E807" s="57"/>
      <c r="F807" s="84">
        <f>F808+F811+F813</f>
        <v>4395.33459345882</v>
      </c>
    </row>
    <row r="808" ht="21" customHeight="1" spans="1:6">
      <c r="A808" s="57">
        <v>1</v>
      </c>
      <c r="B808" s="57" t="s">
        <v>964</v>
      </c>
      <c r="C808" s="57" t="s">
        <v>965</v>
      </c>
      <c r="D808" s="84"/>
      <c r="E808" s="92">
        <f>SUM(E809:E810)</f>
        <v>176.6</v>
      </c>
      <c r="F808" s="113">
        <f>F810</f>
        <v>1018.982</v>
      </c>
    </row>
    <row r="809" ht="21" customHeight="1" spans="1:6">
      <c r="A809" s="57"/>
      <c r="B809" s="57" t="s">
        <v>966</v>
      </c>
      <c r="C809" s="57" t="s">
        <v>965</v>
      </c>
      <c r="D809" s="113">
        <f>新定额单价!D3497</f>
        <v>8.1</v>
      </c>
      <c r="E809" s="92">
        <v>0</v>
      </c>
      <c r="F809" s="113">
        <f t="shared" ref="F809:F814" si="63">D809*E809</f>
        <v>0</v>
      </c>
    </row>
    <row r="810" ht="21" customHeight="1" spans="1:6">
      <c r="A810" s="57"/>
      <c r="B810" s="57" t="s">
        <v>968</v>
      </c>
      <c r="C810" s="57" t="s">
        <v>965</v>
      </c>
      <c r="D810" s="113">
        <f>新定额单价!D3498</f>
        <v>5.77</v>
      </c>
      <c r="E810" s="92">
        <f>176.6</f>
        <v>176.6</v>
      </c>
      <c r="F810" s="113">
        <f t="shared" si="63"/>
        <v>1018.982</v>
      </c>
    </row>
    <row r="811" ht="21" customHeight="1" spans="1:6">
      <c r="A811" s="57">
        <v>2</v>
      </c>
      <c r="B811" s="57" t="s">
        <v>1219</v>
      </c>
      <c r="C811" s="57"/>
      <c r="D811" s="84"/>
      <c r="E811" s="84"/>
      <c r="F811" s="84">
        <f>F812</f>
        <v>515.957194112995</v>
      </c>
    </row>
    <row r="812" ht="21" customHeight="1" spans="1:6">
      <c r="A812" s="57"/>
      <c r="B812" s="57" t="s">
        <v>969</v>
      </c>
      <c r="C812" s="260" t="s">
        <v>423</v>
      </c>
      <c r="D812" s="84">
        <f>F808+F813</f>
        <v>3879.37739934583</v>
      </c>
      <c r="E812" s="286">
        <v>0.133</v>
      </c>
      <c r="F812" s="84">
        <f>E812*D812</f>
        <v>515.957194112995</v>
      </c>
    </row>
    <row r="813" ht="21" customHeight="1" spans="1:6">
      <c r="A813" s="57">
        <v>3</v>
      </c>
      <c r="B813" s="57" t="s">
        <v>1171</v>
      </c>
      <c r="C813" s="57"/>
      <c r="D813" s="84"/>
      <c r="E813" s="84"/>
      <c r="F813" s="84">
        <f>F814</f>
        <v>2860.39539934583</v>
      </c>
    </row>
    <row r="814" ht="21" customHeight="1" spans="1:6">
      <c r="A814" s="57"/>
      <c r="B814" s="57" t="s">
        <v>1521</v>
      </c>
      <c r="C814" s="57" t="s">
        <v>988</v>
      </c>
      <c r="D814" s="84">
        <f>台时!C105</f>
        <v>15.9123019545273</v>
      </c>
      <c r="E814" s="287">
        <f>104.16+12.6*6</f>
        <v>179.76</v>
      </c>
      <c r="F814" s="84">
        <f t="shared" si="63"/>
        <v>2860.39539934583</v>
      </c>
    </row>
    <row r="815" ht="21" customHeight="1" spans="1:6">
      <c r="A815" s="57" t="s">
        <v>70</v>
      </c>
      <c r="B815" s="57" t="s">
        <v>977</v>
      </c>
      <c r="C815" s="194">
        <f>取费表!C7</f>
        <v>0.048</v>
      </c>
      <c r="D815" s="84"/>
      <c r="E815" s="252">
        <f>F807</f>
        <v>4395.33459345882</v>
      </c>
      <c r="F815" s="84">
        <f t="shared" ref="F815:F818" si="64">E815*C815</f>
        <v>210.976060486023</v>
      </c>
    </row>
    <row r="816" ht="21" customHeight="1" spans="1:6">
      <c r="A816" s="57"/>
      <c r="B816" s="57"/>
      <c r="C816" s="195"/>
      <c r="D816" s="84"/>
      <c r="E816" s="252"/>
      <c r="F816" s="84"/>
    </row>
    <row r="817" ht="21" customHeight="1" spans="1:6">
      <c r="A817" s="57" t="s">
        <v>979</v>
      </c>
      <c r="B817" s="57" t="s">
        <v>973</v>
      </c>
      <c r="C817" s="195">
        <f>取费表!E7</f>
        <v>0.07</v>
      </c>
      <c r="D817" s="84"/>
      <c r="E817" s="252">
        <f>F806</f>
        <v>4606.31065394484</v>
      </c>
      <c r="F817" s="84">
        <f t="shared" si="64"/>
        <v>322.441745776139</v>
      </c>
    </row>
    <row r="818" ht="21" customHeight="1" spans="1:6">
      <c r="A818" s="57" t="s">
        <v>162</v>
      </c>
      <c r="B818" s="57" t="s">
        <v>980</v>
      </c>
      <c r="C818" s="269">
        <f>取费表!F7</f>
        <v>0.07</v>
      </c>
      <c r="D818" s="84"/>
      <c r="E818" s="252">
        <f>F817+F806</f>
        <v>4928.75239972098</v>
      </c>
      <c r="F818" s="84">
        <f t="shared" si="64"/>
        <v>345.012667980469</v>
      </c>
    </row>
    <row r="819" ht="21" customHeight="1" spans="1:6">
      <c r="A819" s="57" t="s">
        <v>214</v>
      </c>
      <c r="B819" s="57" t="s">
        <v>1173</v>
      </c>
      <c r="C819" s="59"/>
      <c r="D819" s="84"/>
      <c r="E819" s="57"/>
      <c r="F819" s="113">
        <f>SUM(F820:F820)</f>
        <v>1485.17712</v>
      </c>
    </row>
    <row r="820" ht="21" customHeight="1" spans="1:6">
      <c r="A820" s="57"/>
      <c r="B820" s="57" t="s">
        <v>1174</v>
      </c>
      <c r="C820" s="59" t="s">
        <v>184</v>
      </c>
      <c r="D820" s="84">
        <f>材料预算价!K12-材料预算价!L12</f>
        <v>4.86</v>
      </c>
      <c r="E820" s="88">
        <f>(E814*1.7)</f>
        <v>305.592</v>
      </c>
      <c r="F820" s="113">
        <f>D820*E820</f>
        <v>1485.17712</v>
      </c>
    </row>
    <row r="821" ht="21" customHeight="1" spans="1:6">
      <c r="A821" s="57" t="s">
        <v>327</v>
      </c>
      <c r="B821" s="57" t="s">
        <v>976</v>
      </c>
      <c r="C821" s="195">
        <f>取费表!G7</f>
        <v>0.09</v>
      </c>
      <c r="D821" s="84"/>
      <c r="E821" s="84">
        <f>F819+F818+F817+F806</f>
        <v>6758.94218770145</v>
      </c>
      <c r="F821" s="84">
        <f>E821*C821</f>
        <v>608.304796893131</v>
      </c>
    </row>
    <row r="822" ht="21" customHeight="1" spans="1:6">
      <c r="A822" s="57"/>
      <c r="B822" s="57" t="s">
        <v>984</v>
      </c>
      <c r="C822" s="195"/>
      <c r="D822" s="84"/>
      <c r="E822" s="84"/>
      <c r="F822" s="84">
        <f>(F806+F817+F818+F819+F821)*取费表!H4</f>
        <v>221.017409537837</v>
      </c>
    </row>
    <row r="823" ht="21" customHeight="1" spans="1:6">
      <c r="A823" s="57"/>
      <c r="B823" s="57" t="s">
        <v>278</v>
      </c>
      <c r="C823" s="57"/>
      <c r="D823" s="84"/>
      <c r="E823" s="84"/>
      <c r="F823" s="84">
        <f>F821+E821+F822</f>
        <v>7588.26439413242</v>
      </c>
    </row>
    <row r="824" ht="21" customHeight="1" spans="1:6">
      <c r="A824" s="57"/>
      <c r="B824" s="57"/>
      <c r="C824" s="57"/>
      <c r="D824" s="84"/>
      <c r="E824" s="84"/>
      <c r="F824" s="84"/>
    </row>
    <row r="825" ht="21" customHeight="1" spans="1:6">
      <c r="A825" s="57"/>
      <c r="B825" s="57"/>
      <c r="C825" s="57"/>
      <c r="D825" s="84"/>
      <c r="E825" s="84"/>
      <c r="F825" s="84"/>
    </row>
    <row r="826" ht="21" customHeight="1" spans="1:6">
      <c r="A826" s="57"/>
      <c r="B826" s="57"/>
      <c r="C826" s="57"/>
      <c r="D826" s="84"/>
      <c r="E826" s="84"/>
      <c r="F826" s="84"/>
    </row>
    <row r="827" ht="21" customHeight="1" spans="1:6">
      <c r="A827" s="57"/>
      <c r="B827" s="57"/>
      <c r="C827" s="57"/>
      <c r="D827" s="84"/>
      <c r="E827" s="84"/>
      <c r="F827" s="84"/>
    </row>
    <row r="828" ht="21" customHeight="1" spans="1:6">
      <c r="A828" s="57"/>
      <c r="B828" s="57"/>
      <c r="C828" s="57"/>
      <c r="D828" s="84"/>
      <c r="E828" s="84"/>
      <c r="F828" s="84"/>
    </row>
    <row r="829" ht="21" customHeight="1" spans="1:6">
      <c r="A829" s="57"/>
      <c r="B829" s="57"/>
      <c r="C829" s="57"/>
      <c r="D829" s="84"/>
      <c r="E829" s="84"/>
      <c r="F829" s="84"/>
    </row>
    <row r="830" ht="21" customHeight="1" spans="1:6">
      <c r="A830" s="57"/>
      <c r="B830" s="57"/>
      <c r="C830" s="57"/>
      <c r="D830" s="84"/>
      <c r="E830" s="84"/>
      <c r="F830" s="84"/>
    </row>
    <row r="831" ht="21" customHeight="1" spans="1:6">
      <c r="A831" s="57"/>
      <c r="B831" s="57"/>
      <c r="C831" s="57"/>
      <c r="D831" s="84"/>
      <c r="E831" s="84"/>
      <c r="F831" s="84"/>
    </row>
    <row r="832" ht="21" customHeight="1" spans="1:6">
      <c r="A832" s="57"/>
      <c r="B832" s="57"/>
      <c r="C832" s="57"/>
      <c r="D832" s="84"/>
      <c r="E832" s="84"/>
      <c r="F832" s="84"/>
    </row>
    <row r="833" ht="21" customHeight="1" spans="1:6">
      <c r="A833" s="57"/>
      <c r="B833" s="57"/>
      <c r="C833" s="57"/>
      <c r="D833" s="84"/>
      <c r="E833" s="84"/>
      <c r="F833" s="84"/>
    </row>
    <row r="834" ht="21" customHeight="1" spans="1:6">
      <c r="A834" s="57"/>
      <c r="B834" s="57"/>
      <c r="C834" s="57"/>
      <c r="D834" s="84"/>
      <c r="E834" s="84"/>
      <c r="F834" s="84"/>
    </row>
    <row r="835" ht="21" customHeight="1" spans="1:6">
      <c r="A835" s="57"/>
      <c r="B835" s="57"/>
      <c r="C835" s="57"/>
      <c r="D835" s="84"/>
      <c r="E835" s="84"/>
      <c r="F835" s="84"/>
    </row>
    <row r="836" ht="21" customHeight="1" spans="1:6">
      <c r="A836" s="175" t="s">
        <v>1753</v>
      </c>
      <c r="B836" s="176"/>
      <c r="C836" s="176"/>
      <c r="D836" s="176"/>
      <c r="E836" s="176"/>
      <c r="F836" s="176"/>
    </row>
    <row r="837" ht="18" customHeight="1" spans="1:6">
      <c r="A837" s="242" t="s">
        <v>1853</v>
      </c>
      <c r="B837" s="243"/>
      <c r="C837" s="243"/>
      <c r="D837" s="243"/>
      <c r="E837" s="243"/>
      <c r="F837" s="243"/>
    </row>
    <row r="838" ht="18" customHeight="1" spans="1:6">
      <c r="A838" s="190" t="s">
        <v>1854</v>
      </c>
      <c r="B838" s="190"/>
      <c r="C838" s="243"/>
      <c r="D838" s="243"/>
      <c r="E838" s="191" t="s">
        <v>1159</v>
      </c>
      <c r="F838" s="191"/>
    </row>
    <row r="839" ht="18" customHeight="1" spans="1:6">
      <c r="A839" s="117" t="s">
        <v>1218</v>
      </c>
      <c r="B839" s="192"/>
      <c r="C839" s="192"/>
      <c r="D839" s="192"/>
      <c r="E839" s="192"/>
      <c r="F839" s="118"/>
    </row>
    <row r="840" ht="18" customHeight="1" spans="1:6">
      <c r="A840" s="57" t="s">
        <v>354</v>
      </c>
      <c r="B840" s="57" t="s">
        <v>956</v>
      </c>
      <c r="C840" s="57" t="s">
        <v>52</v>
      </c>
      <c r="D840" s="57" t="s">
        <v>855</v>
      </c>
      <c r="E840" s="57" t="s">
        <v>53</v>
      </c>
      <c r="F840" s="57" t="s">
        <v>306</v>
      </c>
    </row>
    <row r="841" ht="18" customHeight="1" spans="1:6">
      <c r="A841" s="57" t="s">
        <v>1367</v>
      </c>
      <c r="B841" s="57" t="s">
        <v>960</v>
      </c>
      <c r="C841" s="57"/>
      <c r="D841" s="57"/>
      <c r="E841" s="57"/>
      <c r="F841" s="84">
        <f>F842+F858+F859</f>
        <v>43692.2335773106</v>
      </c>
    </row>
    <row r="842" ht="18" customHeight="1" spans="1:6">
      <c r="A842" s="57" t="s">
        <v>59</v>
      </c>
      <c r="B842" s="57" t="s">
        <v>957</v>
      </c>
      <c r="C842" s="57"/>
      <c r="D842" s="57"/>
      <c r="E842" s="57"/>
      <c r="F842" s="84">
        <f>F843+F846+F852</f>
        <v>41691.0625737696</v>
      </c>
    </row>
    <row r="843" ht="18" customHeight="1" spans="1:6">
      <c r="A843" s="57">
        <v>1</v>
      </c>
      <c r="B843" s="57" t="s">
        <v>964</v>
      </c>
      <c r="C843" s="57" t="s">
        <v>965</v>
      </c>
      <c r="D843" s="84"/>
      <c r="E843" s="92">
        <f>SUM(E844:E845)</f>
        <v>2822</v>
      </c>
      <c r="F843" s="113">
        <f>SUM(F844:F845)</f>
        <v>20800.111</v>
      </c>
    </row>
    <row r="844" ht="18" customHeight="1" spans="1:6">
      <c r="A844" s="57"/>
      <c r="B844" s="57" t="s">
        <v>966</v>
      </c>
      <c r="C844" s="57" t="s">
        <v>965</v>
      </c>
      <c r="D844" s="113">
        <f>新定额单价!D3497</f>
        <v>8.1</v>
      </c>
      <c r="E844" s="92">
        <v>1938.7</v>
      </c>
      <c r="F844" s="113">
        <f t="shared" ref="F844:F850" si="65">D844*E844</f>
        <v>15703.47</v>
      </c>
    </row>
    <row r="845" ht="18" customHeight="1" spans="1:6">
      <c r="A845" s="57"/>
      <c r="B845" s="57" t="s">
        <v>968</v>
      </c>
      <c r="C845" s="57" t="s">
        <v>965</v>
      </c>
      <c r="D845" s="113">
        <f>新定额单价!D3498</f>
        <v>5.77</v>
      </c>
      <c r="E845" s="92">
        <v>883.3</v>
      </c>
      <c r="F845" s="113">
        <f t="shared" si="65"/>
        <v>5096.641</v>
      </c>
    </row>
    <row r="846" ht="18" customHeight="1" spans="1:6">
      <c r="A846" s="57">
        <v>2</v>
      </c>
      <c r="B846" s="57" t="s">
        <v>1219</v>
      </c>
      <c r="C846" s="57"/>
      <c r="D846" s="84"/>
      <c r="E846" s="84"/>
      <c r="F846" s="84">
        <f>SUM(F847:F851)</f>
        <v>20161.46293187</v>
      </c>
    </row>
    <row r="847" ht="18" customHeight="1" spans="1:6">
      <c r="A847" s="57"/>
      <c r="B847" s="244" t="s">
        <v>1518</v>
      </c>
      <c r="C847" s="244" t="s">
        <v>184</v>
      </c>
      <c r="D847" s="84">
        <v>5</v>
      </c>
      <c r="E847" s="84">
        <v>153.08</v>
      </c>
      <c r="F847" s="84">
        <f t="shared" si="65"/>
        <v>765.4</v>
      </c>
    </row>
    <row r="848" ht="18" customHeight="1" spans="1:6">
      <c r="A848" s="57"/>
      <c r="B848" s="244" t="s">
        <v>1276</v>
      </c>
      <c r="C848" s="244" t="s">
        <v>184</v>
      </c>
      <c r="D848" s="84">
        <f>新定额单价!D3501</f>
        <v>4.5</v>
      </c>
      <c r="E848" s="84">
        <v>32.34</v>
      </c>
      <c r="F848" s="84">
        <f t="shared" si="65"/>
        <v>145.53</v>
      </c>
    </row>
    <row r="849" ht="18" customHeight="1" spans="1:6">
      <c r="A849" s="57"/>
      <c r="B849" s="57" t="s">
        <v>1279</v>
      </c>
      <c r="C849" s="57" t="s">
        <v>1188</v>
      </c>
      <c r="D849" s="84">
        <f>新定额单价!D3502</f>
        <v>176.4913185</v>
      </c>
      <c r="E849" s="84">
        <v>102</v>
      </c>
      <c r="F849" s="84">
        <f t="shared" si="65"/>
        <v>18002.114487</v>
      </c>
    </row>
    <row r="850" ht="18" customHeight="1" spans="1:6">
      <c r="A850" s="57"/>
      <c r="B850" s="57" t="s">
        <v>1022</v>
      </c>
      <c r="C850" s="57" t="s">
        <v>1188</v>
      </c>
      <c r="D850" s="84">
        <f>新定额单价!D3503</f>
        <v>4.37</v>
      </c>
      <c r="E850" s="84">
        <v>240</v>
      </c>
      <c r="F850" s="84">
        <f t="shared" si="65"/>
        <v>1048.8</v>
      </c>
    </row>
    <row r="851" ht="18" customHeight="1" spans="1:6">
      <c r="A851" s="57"/>
      <c r="B851" s="57" t="s">
        <v>1163</v>
      </c>
      <c r="C851" s="59" t="s">
        <v>423</v>
      </c>
      <c r="D851" s="84">
        <f>SUM(F847:F850)</f>
        <v>19961.844487</v>
      </c>
      <c r="E851" s="84">
        <v>1</v>
      </c>
      <c r="F851" s="84">
        <f>D851*E851/100</f>
        <v>199.61844487</v>
      </c>
    </row>
    <row r="852" ht="18" customHeight="1" spans="1:6">
      <c r="A852" s="57">
        <v>3</v>
      </c>
      <c r="B852" s="57" t="s">
        <v>1171</v>
      </c>
      <c r="C852" s="57"/>
      <c r="D852" s="84"/>
      <c r="E852" s="84"/>
      <c r="F852" s="84">
        <f>SUM(F853:F857)</f>
        <v>729.48864189964</v>
      </c>
    </row>
    <row r="853" ht="18" customHeight="1" spans="1:6">
      <c r="A853" s="57"/>
      <c r="B853" s="57" t="s">
        <v>1283</v>
      </c>
      <c r="C853" s="57" t="s">
        <v>988</v>
      </c>
      <c r="D853" s="84">
        <f>新定额单价!D3506</f>
        <v>23.7459521340247</v>
      </c>
      <c r="E853" s="84">
        <v>18.36</v>
      </c>
      <c r="F853" s="84">
        <f t="shared" ref="F853:F856" si="66">D853*E853</f>
        <v>435.975681180694</v>
      </c>
    </row>
    <row r="854" ht="18" customHeight="1" spans="1:6">
      <c r="A854" s="57"/>
      <c r="B854" s="57" t="s">
        <v>1503</v>
      </c>
      <c r="C854" s="57" t="s">
        <v>988</v>
      </c>
      <c r="D854" s="84">
        <f>新定额单价!D3507</f>
        <v>1.80552692461109</v>
      </c>
      <c r="E854" s="84">
        <v>44</v>
      </c>
      <c r="F854" s="84">
        <f t="shared" si="66"/>
        <v>79.443184682888</v>
      </c>
    </row>
    <row r="855" ht="18" customHeight="1" spans="1:6">
      <c r="A855" s="57"/>
      <c r="B855" s="57" t="s">
        <v>1280</v>
      </c>
      <c r="C855" s="57" t="s">
        <v>988</v>
      </c>
      <c r="D855" s="84">
        <f>新定额单价!D3508</f>
        <v>49.389824491424</v>
      </c>
      <c r="E855" s="204">
        <v>1.84</v>
      </c>
      <c r="F855" s="84">
        <f t="shared" si="66"/>
        <v>90.8772770642202</v>
      </c>
    </row>
    <row r="856" ht="18" customHeight="1" spans="1:6">
      <c r="A856" s="57"/>
      <c r="B856" s="57" t="s">
        <v>1190</v>
      </c>
      <c r="C856" s="57" t="s">
        <v>988</v>
      </c>
      <c r="D856" s="84">
        <f>新定额单价!D3509</f>
        <v>0.813242919824491</v>
      </c>
      <c r="E856" s="204">
        <v>92.8</v>
      </c>
      <c r="F856" s="84">
        <f t="shared" si="66"/>
        <v>75.4689429597128</v>
      </c>
    </row>
    <row r="857" ht="18" customHeight="1" spans="1:6">
      <c r="A857" s="57"/>
      <c r="B857" s="57" t="s">
        <v>1223</v>
      </c>
      <c r="C857" s="59" t="s">
        <v>423</v>
      </c>
      <c r="D857" s="84">
        <f>SUM(F853:F856)</f>
        <v>681.765085887514</v>
      </c>
      <c r="E857" s="84">
        <v>7</v>
      </c>
      <c r="F857" s="84">
        <f>D857*E857/100</f>
        <v>47.723556012126</v>
      </c>
    </row>
    <row r="858" ht="18" customHeight="1" spans="1:6">
      <c r="A858" s="57" t="s">
        <v>70</v>
      </c>
      <c r="B858" s="57" t="s">
        <v>977</v>
      </c>
      <c r="C858" s="101">
        <f>新定额单价!C3511</f>
        <v>0.048</v>
      </c>
      <c r="D858" s="84"/>
      <c r="E858" s="84">
        <f>F842</f>
        <v>41691.0625737696</v>
      </c>
      <c r="F858" s="84">
        <f t="shared" ref="F858:F861" si="67">E858*C858</f>
        <v>2001.17100354094</v>
      </c>
    </row>
    <row r="859" ht="18" customHeight="1" spans="1:6">
      <c r="A859" s="57"/>
      <c r="B859" s="57"/>
      <c r="C859" s="101"/>
      <c r="D859" s="84"/>
      <c r="E859" s="84"/>
      <c r="F859" s="84"/>
    </row>
    <row r="860" ht="18" customHeight="1" spans="1:6">
      <c r="A860" s="57" t="s">
        <v>979</v>
      </c>
      <c r="B860" s="57" t="s">
        <v>973</v>
      </c>
      <c r="C860" s="101">
        <f>新定额单价!C3513</f>
        <v>0.07</v>
      </c>
      <c r="D860" s="84"/>
      <c r="E860" s="84">
        <f>F841</f>
        <v>43692.2335773106</v>
      </c>
      <c r="F860" s="84">
        <f t="shared" si="67"/>
        <v>3058.45635041174</v>
      </c>
    </row>
    <row r="861" ht="18" customHeight="1" spans="1:6">
      <c r="A861" s="57" t="s">
        <v>162</v>
      </c>
      <c r="B861" s="57" t="s">
        <v>980</v>
      </c>
      <c r="C861" s="101">
        <f>新定额单价!C3514</f>
        <v>0.07</v>
      </c>
      <c r="D861" s="84"/>
      <c r="E861" s="84">
        <f>E860+F860</f>
        <v>46750.6899277223</v>
      </c>
      <c r="F861" s="84">
        <f t="shared" si="67"/>
        <v>3272.54829494056</v>
      </c>
    </row>
    <row r="862" ht="18" customHeight="1" spans="1:6">
      <c r="A862" s="55" t="s">
        <v>214</v>
      </c>
      <c r="B862" s="55" t="s">
        <v>1173</v>
      </c>
      <c r="C862" s="55"/>
      <c r="D862" s="254"/>
      <c r="E862" s="55"/>
      <c r="F862" s="255">
        <f>F863+F867</f>
        <v>9272.7800373699</v>
      </c>
    </row>
    <row r="863" ht="18" customHeight="1" spans="1:6">
      <c r="A863" s="57">
        <v>1</v>
      </c>
      <c r="B863" s="57" t="s">
        <v>1288</v>
      </c>
      <c r="C863" s="57"/>
      <c r="D863" s="84"/>
      <c r="E863" s="57"/>
      <c r="F863" s="113">
        <f>SUM(F864:F866)</f>
        <v>9190.3112373699</v>
      </c>
    </row>
    <row r="864" ht="18" customHeight="1" spans="1:6">
      <c r="A864" s="57"/>
      <c r="B864" s="57" t="s">
        <v>1141</v>
      </c>
      <c r="C864" s="57" t="s">
        <v>69</v>
      </c>
      <c r="D864" s="84">
        <f>新定额单价!D3517</f>
        <v>156.64017</v>
      </c>
      <c r="E864" s="88">
        <f>E849*配合比!E8</f>
        <v>31.334094</v>
      </c>
      <c r="F864" s="113">
        <f t="shared" ref="F864:F866" si="68">E864*D864</f>
        <v>4908.17781095598</v>
      </c>
    </row>
    <row r="865" ht="18" customHeight="1" spans="1:6">
      <c r="A865" s="57"/>
      <c r="B865" s="57" t="s">
        <v>1142</v>
      </c>
      <c r="C865" s="57" t="s">
        <v>1188</v>
      </c>
      <c r="D865" s="84">
        <f>新定额单价!D3518</f>
        <v>44.826214</v>
      </c>
      <c r="E865" s="88">
        <f>E849*配合比!G8</f>
        <v>56.07756</v>
      </c>
      <c r="F865" s="113">
        <f t="shared" si="68"/>
        <v>2513.74470515784</v>
      </c>
    </row>
    <row r="866" ht="18" customHeight="1" spans="1:6">
      <c r="A866" s="57"/>
      <c r="B866" s="57" t="s">
        <v>1110</v>
      </c>
      <c r="C866" s="57" t="s">
        <v>1188</v>
      </c>
      <c r="D866" s="84">
        <f>新定额单价!D3519</f>
        <v>20.60443</v>
      </c>
      <c r="E866" s="88">
        <f>E849*配合比!I8</f>
        <v>85.825656</v>
      </c>
      <c r="F866" s="113">
        <f t="shared" si="68"/>
        <v>1768.38872125608</v>
      </c>
    </row>
    <row r="867" ht="18" customHeight="1" spans="1:6">
      <c r="A867" s="57">
        <v>2</v>
      </c>
      <c r="B867" s="57" t="s">
        <v>1289</v>
      </c>
      <c r="C867" s="57"/>
      <c r="D867" s="84"/>
      <c r="E867" s="88"/>
      <c r="F867" s="113">
        <f>SUM(F868:F868)</f>
        <v>82.4688</v>
      </c>
    </row>
    <row r="868" ht="18" customHeight="1" spans="1:6">
      <c r="A868" s="57"/>
      <c r="B868" s="57" t="s">
        <v>1118</v>
      </c>
      <c r="C868" s="57" t="s">
        <v>184</v>
      </c>
      <c r="D868" s="84">
        <f>新定额单价!D3521</f>
        <v>6.225</v>
      </c>
      <c r="E868" s="88">
        <f>E855*台时!H34</f>
        <v>13.248</v>
      </c>
      <c r="F868" s="113">
        <f>D868*E868</f>
        <v>82.4688</v>
      </c>
    </row>
    <row r="869" ht="18" customHeight="1" spans="1:6">
      <c r="A869" s="57" t="s">
        <v>327</v>
      </c>
      <c r="B869" s="57" t="s">
        <v>976</v>
      </c>
      <c r="C869" s="102">
        <f>新定额单价!C3522</f>
        <v>0.09</v>
      </c>
      <c r="D869" s="84"/>
      <c r="E869" s="84">
        <f>F841+F860+F861+F862</f>
        <v>59296.0182600328</v>
      </c>
      <c r="F869" s="84">
        <f>E869*C869</f>
        <v>5336.64164340295</v>
      </c>
    </row>
    <row r="870" ht="18" customHeight="1" spans="1:6">
      <c r="A870" s="57"/>
      <c r="B870" s="57" t="s">
        <v>984</v>
      </c>
      <c r="C870" s="102"/>
      <c r="D870" s="84"/>
      <c r="E870" s="84"/>
      <c r="F870" s="84">
        <f>(E869+F869)*取费表!H7</f>
        <v>1938.97979710307</v>
      </c>
    </row>
    <row r="871" ht="18" customHeight="1" spans="1:6">
      <c r="A871" s="57"/>
      <c r="B871" s="57" t="s">
        <v>278</v>
      </c>
      <c r="C871" s="57"/>
      <c r="D871" s="84"/>
      <c r="E871" s="84"/>
      <c r="F871" s="84">
        <f>F869+E869+F870</f>
        <v>66571.6397005388</v>
      </c>
    </row>
    <row r="872" ht="18" customHeight="1" spans="1:6">
      <c r="A872" s="57"/>
      <c r="B872" s="57"/>
      <c r="C872" s="57"/>
      <c r="D872" s="84"/>
      <c r="E872" s="84"/>
      <c r="F872" s="84"/>
    </row>
    <row r="873" ht="18" customHeight="1" spans="1:6">
      <c r="A873" s="57"/>
      <c r="B873" s="57"/>
      <c r="C873" s="57"/>
      <c r="D873" s="84"/>
      <c r="E873" s="84"/>
      <c r="F873" s="84"/>
    </row>
    <row r="874" ht="18" customHeight="1" spans="1:6">
      <c r="A874" s="57"/>
      <c r="B874" s="57"/>
      <c r="C874" s="57"/>
      <c r="D874" s="84"/>
      <c r="E874" s="84"/>
      <c r="F874" s="84"/>
    </row>
    <row r="875" ht="18" customHeight="1" spans="1:6">
      <c r="A875" s="57"/>
      <c r="B875" s="57"/>
      <c r="C875" s="57"/>
      <c r="D875" s="84"/>
      <c r="E875" s="84"/>
      <c r="F875" s="84"/>
    </row>
    <row r="876" ht="18" customHeight="1" spans="1:6">
      <c r="A876" s="57"/>
      <c r="B876" s="57"/>
      <c r="C876" s="57"/>
      <c r="D876" s="84"/>
      <c r="E876" s="84"/>
      <c r="F876" s="84"/>
    </row>
    <row r="877" ht="18" customHeight="1" spans="1:6">
      <c r="A877" s="175" t="s">
        <v>1753</v>
      </c>
      <c r="B877" s="176"/>
      <c r="C877" s="176"/>
      <c r="D877" s="176"/>
      <c r="E877" s="176"/>
      <c r="F877" s="176"/>
    </row>
    <row r="878" ht="19" customHeight="1" spans="1:6">
      <c r="A878" s="242" t="s">
        <v>1855</v>
      </c>
      <c r="B878" s="243"/>
      <c r="C878" s="243"/>
      <c r="D878" s="243"/>
      <c r="E878" s="243"/>
      <c r="F878" s="243"/>
    </row>
    <row r="879" ht="19" customHeight="1" spans="1:6">
      <c r="A879" s="190" t="s">
        <v>1522</v>
      </c>
      <c r="B879" s="190"/>
      <c r="C879" s="168"/>
      <c r="D879" s="168"/>
      <c r="E879" s="191" t="s">
        <v>1242</v>
      </c>
      <c r="F879" s="191"/>
    </row>
    <row r="880" ht="19" customHeight="1" spans="1:6">
      <c r="A880" s="197" t="s">
        <v>1856</v>
      </c>
      <c r="B880" s="201"/>
      <c r="C880" s="192"/>
      <c r="D880" s="192"/>
      <c r="E880" s="192"/>
      <c r="F880" s="118"/>
    </row>
    <row r="881" ht="19" customHeight="1" spans="1:6">
      <c r="A881" s="57" t="s">
        <v>354</v>
      </c>
      <c r="B881" s="57" t="s">
        <v>956</v>
      </c>
      <c r="C881" s="57" t="s">
        <v>52</v>
      </c>
      <c r="D881" s="57" t="s">
        <v>855</v>
      </c>
      <c r="E881" s="57" t="s">
        <v>53</v>
      </c>
      <c r="F881" s="57" t="s">
        <v>306</v>
      </c>
    </row>
    <row r="882" ht="19" customHeight="1" spans="1:6">
      <c r="A882" s="57" t="s">
        <v>1367</v>
      </c>
      <c r="B882" s="57" t="s">
        <v>960</v>
      </c>
      <c r="C882" s="57"/>
      <c r="D882" s="57"/>
      <c r="E882" s="57"/>
      <c r="F882" s="84">
        <f>F883+F895+F896</f>
        <v>56284.4629602876</v>
      </c>
    </row>
    <row r="883" ht="19" customHeight="1" spans="1:6">
      <c r="A883" s="57" t="s">
        <v>59</v>
      </c>
      <c r="B883" s="57" t="s">
        <v>957</v>
      </c>
      <c r="C883" s="57"/>
      <c r="D883" s="57"/>
      <c r="E883" s="57"/>
      <c r="F883" s="84">
        <f>F884+F887+F891</f>
        <v>53706.5486262286</v>
      </c>
    </row>
    <row r="884" ht="19" customHeight="1" spans="1:6">
      <c r="A884" s="57">
        <v>1</v>
      </c>
      <c r="B884" s="57" t="s">
        <v>964</v>
      </c>
      <c r="C884" s="57" t="s">
        <v>965</v>
      </c>
      <c r="D884" s="84"/>
      <c r="E884" s="92">
        <f>SUM(E885:E886)</f>
        <v>1169.2</v>
      </c>
      <c r="F884" s="113">
        <f>SUM(F885:F886)</f>
        <v>8653.156</v>
      </c>
    </row>
    <row r="885" ht="19" customHeight="1" spans="1:6">
      <c r="A885" s="57"/>
      <c r="B885" s="57" t="s">
        <v>966</v>
      </c>
      <c r="C885" s="57" t="s">
        <v>965</v>
      </c>
      <c r="D885" s="113">
        <f>新定额单价!D3711</f>
        <v>8.1</v>
      </c>
      <c r="E885" s="113">
        <v>818.4</v>
      </c>
      <c r="F885" s="113">
        <f t="shared" ref="F885:F889" si="69">D885*E885</f>
        <v>6629.04</v>
      </c>
    </row>
    <row r="886" ht="19" customHeight="1" spans="1:6">
      <c r="A886" s="57"/>
      <c r="B886" s="57" t="s">
        <v>968</v>
      </c>
      <c r="C886" s="57" t="s">
        <v>965</v>
      </c>
      <c r="D886" s="113">
        <f>新定额单价!D3712</f>
        <v>5.77</v>
      </c>
      <c r="E886" s="113">
        <v>350.8</v>
      </c>
      <c r="F886" s="113">
        <f t="shared" si="69"/>
        <v>2024.116</v>
      </c>
    </row>
    <row r="887" ht="19" customHeight="1" spans="1:6">
      <c r="A887" s="57">
        <v>2</v>
      </c>
      <c r="B887" s="57" t="s">
        <v>1219</v>
      </c>
      <c r="C887" s="57"/>
      <c r="D887" s="84"/>
      <c r="E887" s="84"/>
      <c r="F887" s="84">
        <f>SUM(F888:F890)</f>
        <v>42688.1237991218</v>
      </c>
    </row>
    <row r="888" ht="19" customHeight="1" spans="1:6">
      <c r="A888" s="57"/>
      <c r="B888" s="244" t="s">
        <v>1514</v>
      </c>
      <c r="C888" s="244" t="s">
        <v>1426</v>
      </c>
      <c r="D888" s="84">
        <f>建筑工程单价分析表!F842/100</f>
        <v>416.910625737696</v>
      </c>
      <c r="E888" s="244">
        <v>84.3</v>
      </c>
      <c r="F888" s="84">
        <f t="shared" si="69"/>
        <v>35145.5657496878</v>
      </c>
    </row>
    <row r="889" ht="19" customHeight="1" spans="1:6">
      <c r="A889" s="57"/>
      <c r="B889" s="244" t="s">
        <v>1515</v>
      </c>
      <c r="C889" s="244" t="s">
        <v>1426</v>
      </c>
      <c r="D889" s="84">
        <f>新定额单价!D3715</f>
        <v>250.176768739429</v>
      </c>
      <c r="E889" s="244">
        <v>29.3</v>
      </c>
      <c r="F889" s="84">
        <f t="shared" si="69"/>
        <v>7330.17932406528</v>
      </c>
    </row>
    <row r="890" ht="19" customHeight="1" spans="1:6">
      <c r="A890" s="57"/>
      <c r="B890" s="57" t="s">
        <v>1248</v>
      </c>
      <c r="C890" s="57" t="s">
        <v>423</v>
      </c>
      <c r="D890" s="84">
        <f>F888+F889</f>
        <v>42475.7450737531</v>
      </c>
      <c r="E890" s="57">
        <v>0.5</v>
      </c>
      <c r="F890" s="84">
        <f>D890*E890/100</f>
        <v>212.378725368765</v>
      </c>
    </row>
    <row r="891" ht="19" customHeight="1" spans="1:6">
      <c r="A891" s="57">
        <v>3</v>
      </c>
      <c r="B891" s="57" t="s">
        <v>1171</v>
      </c>
      <c r="C891" s="57"/>
      <c r="D891" s="84"/>
      <c r="E891" s="84"/>
      <c r="F891" s="84">
        <f>SUM(F892:F894)</f>
        <v>2365.2688271068</v>
      </c>
    </row>
    <row r="892" ht="19" customHeight="1" spans="1:6">
      <c r="A892" s="57"/>
      <c r="B892" s="57" t="s">
        <v>1283</v>
      </c>
      <c r="C892" s="57" t="s">
        <v>988</v>
      </c>
      <c r="D892" s="84">
        <f>新定额单价!D3718</f>
        <v>23.7459521340247</v>
      </c>
      <c r="E892" s="84">
        <v>3.92</v>
      </c>
      <c r="F892" s="84">
        <f t="shared" ref="F892:F894" si="70">D892*E892</f>
        <v>93.0841323653768</v>
      </c>
    </row>
    <row r="893" ht="19" customHeight="1" spans="1:6">
      <c r="A893" s="57"/>
      <c r="B893" s="57" t="s">
        <v>1190</v>
      </c>
      <c r="C893" s="57" t="s">
        <v>988</v>
      </c>
      <c r="D893" s="84">
        <f>新定额单价!D3719</f>
        <v>0.813242919824491</v>
      </c>
      <c r="E893" s="57">
        <v>121.6</v>
      </c>
      <c r="F893" s="84">
        <f t="shared" si="70"/>
        <v>98.8903390506581</v>
      </c>
    </row>
    <row r="894" ht="19" customHeight="1" spans="1:6">
      <c r="A894" s="57"/>
      <c r="B894" s="57" t="s">
        <v>1516</v>
      </c>
      <c r="C894" s="57" t="s">
        <v>1426</v>
      </c>
      <c r="D894" s="84">
        <f>新定额单价!D3720</f>
        <v>25.780478715193</v>
      </c>
      <c r="E894" s="288">
        <f>E888</f>
        <v>84.3</v>
      </c>
      <c r="F894" s="84">
        <f t="shared" si="70"/>
        <v>2173.29435569077</v>
      </c>
    </row>
    <row r="895" ht="19" customHeight="1" spans="1:6">
      <c r="A895" s="57" t="s">
        <v>70</v>
      </c>
      <c r="B895" s="57" t="s">
        <v>977</v>
      </c>
      <c r="C895" s="101">
        <f>新定额单价!C3721</f>
        <v>0.048</v>
      </c>
      <c r="D895" s="84"/>
      <c r="E895" s="84">
        <f>F883</f>
        <v>53706.5486262286</v>
      </c>
      <c r="F895" s="84">
        <f t="shared" ref="F895:F898" si="71">E895*C895</f>
        <v>2577.91433405897</v>
      </c>
    </row>
    <row r="896" ht="19" customHeight="1" spans="1:6">
      <c r="A896" s="57"/>
      <c r="B896" s="57"/>
      <c r="C896" s="101"/>
      <c r="D896" s="84"/>
      <c r="E896" s="84"/>
      <c r="F896" s="84"/>
    </row>
    <row r="897" ht="19" customHeight="1" spans="1:6">
      <c r="A897" s="57" t="s">
        <v>979</v>
      </c>
      <c r="B897" s="57" t="s">
        <v>973</v>
      </c>
      <c r="C897" s="101">
        <f>新定额单价!C3723</f>
        <v>0.085</v>
      </c>
      <c r="D897" s="84"/>
      <c r="E897" s="84">
        <f>F882</f>
        <v>56284.4629602876</v>
      </c>
      <c r="F897" s="84">
        <f t="shared" si="71"/>
        <v>4784.17935162445</v>
      </c>
    </row>
    <row r="898" ht="19" customHeight="1" spans="1:6">
      <c r="A898" s="57" t="s">
        <v>162</v>
      </c>
      <c r="B898" s="57" t="s">
        <v>980</v>
      </c>
      <c r="C898" s="101">
        <f>新定额单价!C3724</f>
        <v>0.07</v>
      </c>
      <c r="D898" s="84"/>
      <c r="E898" s="84">
        <f>F897+F882</f>
        <v>61068.6423119121</v>
      </c>
      <c r="F898" s="84">
        <f t="shared" si="71"/>
        <v>4274.80496183385</v>
      </c>
    </row>
    <row r="899" ht="19" customHeight="1" spans="1:6">
      <c r="A899" s="55" t="s">
        <v>214</v>
      </c>
      <c r="B899" s="55" t="s">
        <v>1173</v>
      </c>
      <c r="C899" s="55"/>
      <c r="D899" s="254"/>
      <c r="E899" s="55"/>
      <c r="F899" s="255">
        <f>F900+F904</f>
        <v>10963.3979493449</v>
      </c>
    </row>
    <row r="900" ht="19" customHeight="1" spans="1:6">
      <c r="A900" s="57">
        <v>1</v>
      </c>
      <c r="B900" s="57" t="s">
        <v>1288</v>
      </c>
      <c r="C900" s="57"/>
      <c r="D900" s="84"/>
      <c r="E900" s="57"/>
      <c r="F900" s="113">
        <f>SUM(F901:F903)</f>
        <v>10387.7547309449</v>
      </c>
    </row>
    <row r="901" ht="19" customHeight="1" spans="1:6">
      <c r="A901" s="57"/>
      <c r="B901" s="57" t="s">
        <v>1141</v>
      </c>
      <c r="C901" s="57" t="s">
        <v>69</v>
      </c>
      <c r="D901" s="84">
        <f>新定额单价!D3727</f>
        <v>156.64017</v>
      </c>
      <c r="E901" s="88">
        <f>新定额单价!E3727</f>
        <v>35.41674213</v>
      </c>
      <c r="F901" s="113">
        <f t="shared" ref="F901:F903" si="72">E901*D901</f>
        <v>5547.68450808936</v>
      </c>
    </row>
    <row r="902" ht="19" customHeight="1" spans="1:6">
      <c r="A902" s="57"/>
      <c r="B902" s="57" t="s">
        <v>1142</v>
      </c>
      <c r="C902" s="57" t="s">
        <v>1188</v>
      </c>
      <c r="D902" s="84">
        <f>新定额单价!D3728</f>
        <v>44.826214</v>
      </c>
      <c r="E902" s="88">
        <f>新定额单价!E3728</f>
        <v>63.3841362</v>
      </c>
      <c r="F902" s="113">
        <f t="shared" si="72"/>
        <v>2841.27085350635</v>
      </c>
    </row>
    <row r="903" ht="19" customHeight="1" spans="1:6">
      <c r="A903" s="57"/>
      <c r="B903" s="57" t="s">
        <v>1110</v>
      </c>
      <c r="C903" s="57" t="s">
        <v>1188</v>
      </c>
      <c r="D903" s="84">
        <f>新定额单价!D3729</f>
        <v>20.60443</v>
      </c>
      <c r="E903" s="88">
        <f>新定额单价!E3729</f>
        <v>97.00823412</v>
      </c>
      <c r="F903" s="113">
        <f t="shared" si="72"/>
        <v>1998.79936934915</v>
      </c>
    </row>
    <row r="904" ht="19" customHeight="1" spans="1:6">
      <c r="A904" s="57">
        <v>2</v>
      </c>
      <c r="B904" s="57" t="s">
        <v>1289</v>
      </c>
      <c r="C904" s="57"/>
      <c r="D904" s="84"/>
      <c r="E904" s="88"/>
      <c r="F904" s="113">
        <f>SUM(F905:F906)</f>
        <v>575.6432184</v>
      </c>
    </row>
    <row r="905" ht="19" customHeight="1" spans="1:6">
      <c r="A905" s="57"/>
      <c r="B905" s="57" t="s">
        <v>1174</v>
      </c>
      <c r="C905" s="57" t="s">
        <v>184</v>
      </c>
      <c r="D905" s="84">
        <f>新定额单价!D3731</f>
        <v>4.86</v>
      </c>
      <c r="E905" s="88">
        <f>新定额单价!E3731</f>
        <v>106.71444</v>
      </c>
      <c r="F905" s="113">
        <f>D905*E905</f>
        <v>518.6321784</v>
      </c>
    </row>
    <row r="906" ht="19" customHeight="1" spans="1:6">
      <c r="A906" s="57"/>
      <c r="B906" s="57" t="s">
        <v>1118</v>
      </c>
      <c r="C906" s="57" t="s">
        <v>184</v>
      </c>
      <c r="D906" s="84">
        <f>新定额单价!D3732</f>
        <v>6.225</v>
      </c>
      <c r="E906" s="88">
        <f>新定额单价!E3732</f>
        <v>9.1584</v>
      </c>
      <c r="F906" s="113">
        <f>D906*E906</f>
        <v>57.01104</v>
      </c>
    </row>
    <row r="907" ht="19" customHeight="1" spans="1:6">
      <c r="A907" s="57" t="s">
        <v>327</v>
      </c>
      <c r="B907" s="57" t="s">
        <v>976</v>
      </c>
      <c r="C907" s="102">
        <f>新定额单价!C3733</f>
        <v>0.09</v>
      </c>
      <c r="D907" s="84"/>
      <c r="E907" s="84">
        <f>F899+F898+F897+F882</f>
        <v>76306.8452230908</v>
      </c>
      <c r="F907" s="84">
        <f>E907*C907</f>
        <v>6867.61607007817</v>
      </c>
    </row>
    <row r="908" ht="19" customHeight="1" spans="1:6">
      <c r="A908" s="57"/>
      <c r="B908" s="57" t="s">
        <v>984</v>
      </c>
      <c r="C908" s="102"/>
      <c r="D908" s="84"/>
      <c r="E908" s="84"/>
      <c r="F908" s="84">
        <f>(F882+F897+F898+F899+F907)*取费表!H7</f>
        <v>2495.23383879507</v>
      </c>
    </row>
    <row r="909" ht="19" customHeight="1" spans="1:6">
      <c r="A909" s="57"/>
      <c r="B909" s="57" t="s">
        <v>278</v>
      </c>
      <c r="C909" s="57"/>
      <c r="D909" s="84"/>
      <c r="E909" s="84"/>
      <c r="F909" s="84">
        <f>F907+E907+F908</f>
        <v>85669.695131964</v>
      </c>
    </row>
    <row r="910" ht="19" customHeight="1" spans="1:6">
      <c r="A910" s="121"/>
      <c r="B910" s="57"/>
      <c r="C910" s="57"/>
      <c r="D910" s="84"/>
      <c r="E910" s="84"/>
      <c r="F910" s="84"/>
    </row>
    <row r="911" ht="19" customHeight="1" spans="1:6">
      <c r="A911" s="121"/>
      <c r="B911" s="57"/>
      <c r="C911" s="57"/>
      <c r="D911" s="84"/>
      <c r="E911" s="84"/>
      <c r="F911" s="84"/>
    </row>
    <row r="912" ht="19" customHeight="1" spans="1:6">
      <c r="A912" s="121"/>
      <c r="B912" s="57"/>
      <c r="C912" s="57"/>
      <c r="D912" s="84"/>
      <c r="E912" s="84"/>
      <c r="F912" s="84"/>
    </row>
    <row r="913" ht="19" customHeight="1" spans="1:6">
      <c r="A913" s="121"/>
      <c r="B913" s="261"/>
      <c r="C913" s="121"/>
      <c r="D913" s="121"/>
      <c r="E913" s="121"/>
      <c r="F913" s="121"/>
    </row>
    <row r="914" ht="19" customHeight="1" spans="1:6">
      <c r="A914" s="121"/>
      <c r="B914" s="261"/>
      <c r="C914" s="121"/>
      <c r="D914" s="121"/>
      <c r="E914" s="121"/>
      <c r="F914" s="121"/>
    </row>
    <row r="916" ht="18.75" spans="1:6">
      <c r="A916" s="175" t="s">
        <v>1753</v>
      </c>
      <c r="B916" s="176"/>
      <c r="C916" s="176"/>
      <c r="D916" s="176"/>
      <c r="E916" s="176"/>
      <c r="F916" s="176"/>
    </row>
    <row r="917" ht="20" customHeight="1" spans="1:6">
      <c r="A917" s="242" t="s">
        <v>1857</v>
      </c>
      <c r="B917" s="243"/>
      <c r="C917" s="243"/>
      <c r="D917" s="243"/>
      <c r="E917" s="243"/>
      <c r="F917" s="243"/>
    </row>
    <row r="918" ht="20" customHeight="1" spans="1:6">
      <c r="A918" s="190" t="s">
        <v>1858</v>
      </c>
      <c r="B918" s="190"/>
      <c r="C918" s="243"/>
      <c r="D918" s="243"/>
      <c r="E918" s="191" t="s">
        <v>1159</v>
      </c>
      <c r="F918" s="191"/>
    </row>
    <row r="919" ht="20" customHeight="1" spans="1:6">
      <c r="A919" s="197" t="s">
        <v>1184</v>
      </c>
      <c r="B919" s="201"/>
      <c r="C919" s="192"/>
      <c r="D919" s="192"/>
      <c r="E919" s="192"/>
      <c r="F919" s="118"/>
    </row>
    <row r="920" ht="20" customHeight="1" spans="1:6">
      <c r="A920" s="57" t="s">
        <v>354</v>
      </c>
      <c r="B920" s="57" t="s">
        <v>956</v>
      </c>
      <c r="C920" s="57" t="s">
        <v>52</v>
      </c>
      <c r="D920" s="57" t="s">
        <v>855</v>
      </c>
      <c r="E920" s="57" t="s">
        <v>53</v>
      </c>
      <c r="F920" s="57" t="s">
        <v>306</v>
      </c>
    </row>
    <row r="921" ht="20" customHeight="1" spans="1:6">
      <c r="A921" s="57" t="s">
        <v>959</v>
      </c>
      <c r="B921" s="57" t="s">
        <v>960</v>
      </c>
      <c r="C921" s="57"/>
      <c r="D921" s="57"/>
      <c r="E921" s="57"/>
      <c r="F921" s="84">
        <f>F922+F938+F939</f>
        <v>26218.5253638922</v>
      </c>
    </row>
    <row r="922" ht="20" customHeight="1" spans="1:6">
      <c r="A922" s="57" t="s">
        <v>59</v>
      </c>
      <c r="B922" s="57" t="s">
        <v>957</v>
      </c>
      <c r="C922" s="57"/>
      <c r="D922" s="57"/>
      <c r="E922" s="57"/>
      <c r="F922" s="84">
        <f>F923+F926+F930+F935</f>
        <v>25017.6768739429</v>
      </c>
    </row>
    <row r="923" ht="20" customHeight="1" spans="1:6">
      <c r="A923" s="57">
        <v>1</v>
      </c>
      <c r="B923" s="57" t="s">
        <v>964</v>
      </c>
      <c r="C923" s="57" t="s">
        <v>965</v>
      </c>
      <c r="D923" s="84"/>
      <c r="E923" s="92">
        <f>SUM(E924:E925)</f>
        <v>590.1</v>
      </c>
      <c r="F923" s="113">
        <f>SUM(F924:F925)</f>
        <v>4075.684</v>
      </c>
    </row>
    <row r="924" ht="20" customHeight="1" spans="1:6">
      <c r="A924" s="57"/>
      <c r="B924" s="57" t="s">
        <v>966</v>
      </c>
      <c r="C924" s="57" t="s">
        <v>965</v>
      </c>
      <c r="D924" s="113">
        <f>新定额单价!D3711</f>
        <v>8.1</v>
      </c>
      <c r="E924" s="92">
        <v>287.9</v>
      </c>
      <c r="F924" s="113">
        <f t="shared" ref="F924:F928" si="73">D924*E924</f>
        <v>2331.99</v>
      </c>
    </row>
    <row r="925" ht="20" customHeight="1" spans="1:6">
      <c r="A925" s="57"/>
      <c r="B925" s="57" t="s">
        <v>968</v>
      </c>
      <c r="C925" s="57" t="s">
        <v>965</v>
      </c>
      <c r="D925" s="113">
        <f>新定额单价!D3712</f>
        <v>5.77</v>
      </c>
      <c r="E925" s="92">
        <v>302.2</v>
      </c>
      <c r="F925" s="113">
        <f t="shared" si="73"/>
        <v>1743.694</v>
      </c>
    </row>
    <row r="926" ht="20" customHeight="1" spans="1:6">
      <c r="A926" s="57">
        <v>2</v>
      </c>
      <c r="B926" s="57" t="s">
        <v>1219</v>
      </c>
      <c r="C926" s="57"/>
      <c r="D926" s="84"/>
      <c r="E926" s="84"/>
      <c r="F926" s="84">
        <f>SUM(F927:F929)</f>
        <v>18357.3358345275</v>
      </c>
    </row>
    <row r="927" ht="20" customHeight="1" spans="1:6">
      <c r="A927" s="57"/>
      <c r="B927" s="57" t="s">
        <v>1279</v>
      </c>
      <c r="C927" s="57" t="s">
        <v>1023</v>
      </c>
      <c r="D927" s="84">
        <f>配合比!M8</f>
        <v>176.4913185</v>
      </c>
      <c r="E927" s="84">
        <v>103</v>
      </c>
      <c r="F927" s="84">
        <f t="shared" si="73"/>
        <v>18178.6058055</v>
      </c>
    </row>
    <row r="928" ht="20" customHeight="1" spans="1:6">
      <c r="A928" s="57"/>
      <c r="B928" s="57" t="s">
        <v>1022</v>
      </c>
      <c r="C928" s="57" t="s">
        <v>1023</v>
      </c>
      <c r="D928" s="84">
        <f>材料预算价!K14</f>
        <v>4.37</v>
      </c>
      <c r="E928" s="84">
        <v>20</v>
      </c>
      <c r="F928" s="84">
        <f t="shared" si="73"/>
        <v>87.4</v>
      </c>
    </row>
    <row r="929" ht="20" customHeight="1" spans="1:6">
      <c r="A929" s="57"/>
      <c r="B929" s="57" t="s">
        <v>1163</v>
      </c>
      <c r="C929" s="59" t="s">
        <v>423</v>
      </c>
      <c r="D929" s="84">
        <f>SUM(F927:F928)</f>
        <v>18266.0058055</v>
      </c>
      <c r="E929" s="84">
        <v>0.5</v>
      </c>
      <c r="F929" s="84">
        <f>D929*E929/100</f>
        <v>91.3300290275</v>
      </c>
    </row>
    <row r="930" ht="20" customHeight="1" spans="1:6">
      <c r="A930" s="57">
        <v>3</v>
      </c>
      <c r="B930" s="57" t="s">
        <v>1171</v>
      </c>
      <c r="C930" s="57"/>
      <c r="D930" s="84"/>
      <c r="E930" s="84"/>
      <c r="F930" s="84">
        <f>SUM(F931:F934)</f>
        <v>598.24561874272</v>
      </c>
    </row>
    <row r="931" ht="20" customHeight="1" spans="1:6">
      <c r="A931" s="57"/>
      <c r="B931" s="57" t="s">
        <v>1283</v>
      </c>
      <c r="C931" s="57" t="s">
        <v>988</v>
      </c>
      <c r="D931" s="84">
        <f>台时!D42</f>
        <v>23.7459521340247</v>
      </c>
      <c r="E931" s="204">
        <v>18.54</v>
      </c>
      <c r="F931" s="84">
        <f t="shared" ref="F931:F933" si="74">D931*E931</f>
        <v>440.249952564818</v>
      </c>
    </row>
    <row r="932" ht="20" customHeight="1" spans="1:6">
      <c r="A932" s="57"/>
      <c r="B932" s="57" t="s">
        <v>1859</v>
      </c>
      <c r="C932" s="57" t="s">
        <v>988</v>
      </c>
      <c r="D932" s="84">
        <f>台时!F42</f>
        <v>1.80552692461109</v>
      </c>
      <c r="E932" s="204">
        <v>20</v>
      </c>
      <c r="F932" s="84">
        <f t="shared" si="74"/>
        <v>36.1105384922218</v>
      </c>
    </row>
    <row r="933" ht="20" customHeight="1" spans="1:6">
      <c r="A933" s="57"/>
      <c r="B933" s="57" t="s">
        <v>1190</v>
      </c>
      <c r="C933" s="57" t="s">
        <v>988</v>
      </c>
      <c r="D933" s="84">
        <f>台时!C42</f>
        <v>0.813242919824491</v>
      </c>
      <c r="E933" s="204">
        <v>83</v>
      </c>
      <c r="F933" s="84">
        <f t="shared" si="74"/>
        <v>67.4991623454328</v>
      </c>
    </row>
    <row r="934" ht="20" customHeight="1" spans="1:6">
      <c r="A934" s="57"/>
      <c r="B934" s="57" t="s">
        <v>1223</v>
      </c>
      <c r="C934" s="59" t="s">
        <v>423</v>
      </c>
      <c r="D934" s="84">
        <f>SUM(F931:F933)</f>
        <v>543.859653402473</v>
      </c>
      <c r="E934" s="84">
        <v>10</v>
      </c>
      <c r="F934" s="84">
        <f>D934*E934/100</f>
        <v>54.3859653402473</v>
      </c>
    </row>
    <row r="935" ht="20" customHeight="1" spans="1:6">
      <c r="A935" s="57">
        <v>4</v>
      </c>
      <c r="B935" s="57" t="s">
        <v>1285</v>
      </c>
      <c r="C935" s="59"/>
      <c r="D935" s="84"/>
      <c r="E935" s="84"/>
      <c r="F935" s="84">
        <f>SUM(F936:F937)</f>
        <v>1986.41142067271</v>
      </c>
    </row>
    <row r="936" ht="20" customHeight="1" spans="1:6">
      <c r="A936" s="57"/>
      <c r="B936" s="245" t="s">
        <v>1286</v>
      </c>
      <c r="C936" s="245" t="s">
        <v>1023</v>
      </c>
      <c r="D936" s="246">
        <f>新定额单价!D1717</f>
        <v>5.03319379720782</v>
      </c>
      <c r="E936" s="246">
        <v>103</v>
      </c>
      <c r="F936" s="84">
        <f>D936*E936</f>
        <v>518.418961112405</v>
      </c>
    </row>
    <row r="937" ht="20" customHeight="1" spans="1:6">
      <c r="A937" s="57"/>
      <c r="B937" s="245" t="s">
        <v>1287</v>
      </c>
      <c r="C937" s="245" t="s">
        <v>1023</v>
      </c>
      <c r="D937" s="246">
        <f>新定额单价!D1718</f>
        <v>14.2523539763136</v>
      </c>
      <c r="E937" s="246">
        <v>103</v>
      </c>
      <c r="F937" s="84">
        <f>D937*E937</f>
        <v>1467.9924595603</v>
      </c>
    </row>
    <row r="938" ht="20" customHeight="1" spans="1:6">
      <c r="A938" s="57" t="s">
        <v>70</v>
      </c>
      <c r="B938" s="57" t="s">
        <v>977</v>
      </c>
      <c r="C938" s="101">
        <f>取费表!C7</f>
        <v>0.048</v>
      </c>
      <c r="D938" s="84"/>
      <c r="E938" s="84">
        <f>F922</f>
        <v>25017.6768739429</v>
      </c>
      <c r="F938" s="84">
        <f t="shared" ref="F938:F941" si="75">E938*C938</f>
        <v>1200.84848994926</v>
      </c>
    </row>
    <row r="939" ht="20" customHeight="1" spans="1:6">
      <c r="A939" s="57"/>
      <c r="B939" s="57"/>
      <c r="C939" s="101"/>
      <c r="D939" s="84"/>
      <c r="E939" s="84"/>
      <c r="F939" s="84"/>
    </row>
    <row r="940" ht="20" customHeight="1" spans="1:6">
      <c r="A940" s="57" t="s">
        <v>979</v>
      </c>
      <c r="B940" s="57" t="s">
        <v>973</v>
      </c>
      <c r="C940" s="101">
        <f>取费表!E7</f>
        <v>0.07</v>
      </c>
      <c r="D940" s="84"/>
      <c r="E940" s="84">
        <f>F921</f>
        <v>26218.5253638922</v>
      </c>
      <c r="F940" s="84">
        <f t="shared" si="75"/>
        <v>1835.29677547245</v>
      </c>
    </row>
    <row r="941" ht="20" customHeight="1" spans="1:6">
      <c r="A941" s="57" t="s">
        <v>162</v>
      </c>
      <c r="B941" s="57" t="s">
        <v>980</v>
      </c>
      <c r="C941" s="101">
        <f>取费表!F7</f>
        <v>0.07</v>
      </c>
      <c r="D941" s="84"/>
      <c r="E941" s="84">
        <f>E940+F940</f>
        <v>28053.8221393646</v>
      </c>
      <c r="F941" s="84">
        <f t="shared" si="75"/>
        <v>1963.76754975552</v>
      </c>
    </row>
    <row r="942" ht="20" customHeight="1" spans="1:6">
      <c r="A942" s="55" t="s">
        <v>214</v>
      </c>
      <c r="B942" s="55" t="s">
        <v>1173</v>
      </c>
      <c r="C942" s="55"/>
      <c r="D942" s="254"/>
      <c r="E942" s="55"/>
      <c r="F942" s="255">
        <f>F943</f>
        <v>9280.41232793235</v>
      </c>
    </row>
    <row r="943" ht="20" customHeight="1" spans="1:6">
      <c r="A943" s="57">
        <v>1</v>
      </c>
      <c r="B943" s="57" t="s">
        <v>1288</v>
      </c>
      <c r="C943" s="57"/>
      <c r="D943" s="84"/>
      <c r="E943" s="57"/>
      <c r="F943" s="113">
        <f>SUM(F944:F946)</f>
        <v>9280.41232793235</v>
      </c>
    </row>
    <row r="944" ht="20" customHeight="1" spans="1:6">
      <c r="A944" s="57"/>
      <c r="B944" s="57" t="s">
        <v>1141</v>
      </c>
      <c r="C944" s="57" t="s">
        <v>69</v>
      </c>
      <c r="D944" s="84">
        <f>材料预算价!K5-材料预算价!L5</f>
        <v>156.64017</v>
      </c>
      <c r="E944" s="88">
        <f>E927*配合比!E8</f>
        <v>31.641291</v>
      </c>
      <c r="F944" s="113">
        <f t="shared" ref="F944:F946" si="76">E944*D944</f>
        <v>4956.29720125947</v>
      </c>
    </row>
    <row r="945" ht="20" customHeight="1" spans="1:6">
      <c r="A945" s="57"/>
      <c r="B945" s="57" t="s">
        <v>1142</v>
      </c>
      <c r="C945" s="57" t="s">
        <v>1188</v>
      </c>
      <c r="D945" s="84">
        <f>建筑工程单价分析表!D902</f>
        <v>44.826214</v>
      </c>
      <c r="E945" s="88">
        <f>E927*配合比!G8</f>
        <v>56.62734</v>
      </c>
      <c r="F945" s="113">
        <f t="shared" si="76"/>
        <v>2538.38926109076</v>
      </c>
    </row>
    <row r="946" ht="20" customHeight="1" spans="1:6">
      <c r="A946" s="57"/>
      <c r="B946" s="57" t="s">
        <v>1110</v>
      </c>
      <c r="C946" s="57" t="s">
        <v>1188</v>
      </c>
      <c r="D946" s="84">
        <f>材料预算价!K8-材料预算价!L8</f>
        <v>20.60443</v>
      </c>
      <c r="E946" s="88">
        <f>E927*配合比!I8</f>
        <v>86.667084</v>
      </c>
      <c r="F946" s="113">
        <f t="shared" si="76"/>
        <v>1785.72586558212</v>
      </c>
    </row>
    <row r="947" ht="20" customHeight="1" spans="1:6">
      <c r="A947" s="57"/>
      <c r="B947" s="57"/>
      <c r="C947" s="57"/>
      <c r="D947" s="84"/>
      <c r="E947" s="88"/>
      <c r="F947" s="113"/>
    </row>
    <row r="948" ht="20" customHeight="1" spans="1:6">
      <c r="A948" s="57" t="s">
        <v>327</v>
      </c>
      <c r="B948" s="57" t="s">
        <v>976</v>
      </c>
      <c r="C948" s="102">
        <f>取费表!G7</f>
        <v>0.09</v>
      </c>
      <c r="D948" s="84"/>
      <c r="E948" s="84">
        <f>E941+F941+F942</f>
        <v>39298.0020170525</v>
      </c>
      <c r="F948" s="84">
        <f>E948*C948</f>
        <v>3536.82018153473</v>
      </c>
    </row>
    <row r="949" ht="20" customHeight="1" spans="1:6">
      <c r="A949" s="57"/>
      <c r="B949" s="57" t="s">
        <v>984</v>
      </c>
      <c r="C949" s="102"/>
      <c r="D949" s="84"/>
      <c r="E949" s="84"/>
      <c r="F949" s="84">
        <f>(E948+F948)*取费表!H4</f>
        <v>1285.04466595762</v>
      </c>
    </row>
    <row r="950" ht="20" customHeight="1" spans="1:6">
      <c r="A950" s="57"/>
      <c r="B950" s="57" t="s">
        <v>278</v>
      </c>
      <c r="C950" s="57"/>
      <c r="D950" s="84"/>
      <c r="E950" s="84"/>
      <c r="F950" s="84">
        <f>E948+F948+F949</f>
        <v>44119.8668645449</v>
      </c>
    </row>
    <row r="951" ht="20" customHeight="1" spans="1:6">
      <c r="A951" s="121"/>
      <c r="B951" s="261"/>
      <c r="C951" s="121"/>
      <c r="D951" s="121"/>
      <c r="E951" s="121"/>
      <c r="F951" s="121"/>
    </row>
    <row r="952" ht="20" customHeight="1" spans="1:6">
      <c r="A952" s="121"/>
      <c r="B952" s="261"/>
      <c r="C952" s="121"/>
      <c r="D952" s="121"/>
      <c r="E952" s="121"/>
      <c r="F952" s="121"/>
    </row>
    <row r="953" ht="18.75" spans="1:6">
      <c r="A953" s="175" t="s">
        <v>1753</v>
      </c>
      <c r="B953" s="176"/>
      <c r="C953" s="176"/>
      <c r="D953" s="176"/>
      <c r="E953" s="176"/>
      <c r="F953" s="176"/>
    </row>
    <row r="954" spans="1:6">
      <c r="A954" s="256" t="s">
        <v>1860</v>
      </c>
      <c r="B954" s="256"/>
      <c r="C954" s="256"/>
      <c r="D954" s="256"/>
      <c r="E954" s="256"/>
      <c r="F954" s="256"/>
    </row>
    <row r="955" spans="1:6">
      <c r="A955" s="190" t="s">
        <v>1861</v>
      </c>
      <c r="B955" s="191"/>
      <c r="C955" s="243"/>
      <c r="D955" s="243"/>
      <c r="E955" s="191" t="s">
        <v>1479</v>
      </c>
      <c r="F955" s="191"/>
    </row>
    <row r="956" spans="1:6">
      <c r="A956" s="197" t="s">
        <v>1862</v>
      </c>
      <c r="B956" s="192"/>
      <c r="C956" s="201"/>
      <c r="D956" s="201"/>
      <c r="E956" s="201"/>
      <c r="F956" s="202"/>
    </row>
    <row r="957" spans="1:6">
      <c r="A957" s="57" t="s">
        <v>354</v>
      </c>
      <c r="B957" s="57" t="s">
        <v>956</v>
      </c>
      <c r="C957" s="57" t="s">
        <v>52</v>
      </c>
      <c r="D957" s="57" t="s">
        <v>855</v>
      </c>
      <c r="E957" s="57" t="s">
        <v>53</v>
      </c>
      <c r="F957" s="57" t="s">
        <v>306</v>
      </c>
    </row>
    <row r="958" spans="1:6">
      <c r="A958" s="57" t="s">
        <v>959</v>
      </c>
      <c r="B958" s="57" t="s">
        <v>960</v>
      </c>
      <c r="C958" s="57"/>
      <c r="D958" s="57"/>
      <c r="E958" s="57"/>
      <c r="F958" s="84">
        <f>F959+F971+F972</f>
        <v>2879.14919578716</v>
      </c>
    </row>
    <row r="959" spans="1:6">
      <c r="A959" s="57" t="s">
        <v>59</v>
      </c>
      <c r="B959" s="57" t="s">
        <v>957</v>
      </c>
      <c r="C959" s="57"/>
      <c r="D959" s="57"/>
      <c r="E959" s="57"/>
      <c r="F959" s="84">
        <f>F960+F963+F968</f>
        <v>2747.27976697248</v>
      </c>
    </row>
    <row r="960" spans="1:6">
      <c r="A960" s="57">
        <v>1</v>
      </c>
      <c r="B960" s="57" t="s">
        <v>964</v>
      </c>
      <c r="C960" s="57" t="s">
        <v>965</v>
      </c>
      <c r="D960" s="257"/>
      <c r="E960" s="113">
        <f>SUM(E961:E962)</f>
        <v>364</v>
      </c>
      <c r="F960" s="113">
        <f>SUM(F961:F962)</f>
        <v>2439.295</v>
      </c>
    </row>
    <row r="961" spans="1:6">
      <c r="A961" s="57"/>
      <c r="B961" s="57" t="s">
        <v>966</v>
      </c>
      <c r="C961" s="57" t="s">
        <v>965</v>
      </c>
      <c r="D961" s="113">
        <f>新定额单价!D3090</f>
        <v>8.1</v>
      </c>
      <c r="E961" s="252">
        <f>118.7+13.4*2</f>
        <v>145.5</v>
      </c>
      <c r="F961" s="113">
        <f t="shared" ref="F961:F964" si="77">D961*E961</f>
        <v>1178.55</v>
      </c>
    </row>
    <row r="962" spans="1:6">
      <c r="A962" s="57"/>
      <c r="B962" s="57" t="s">
        <v>968</v>
      </c>
      <c r="C962" s="57" t="s">
        <v>965</v>
      </c>
      <c r="D962" s="113">
        <f>新定额单价!D3091</f>
        <v>5.77</v>
      </c>
      <c r="E962" s="252">
        <f>178.1+20.2*2</f>
        <v>218.5</v>
      </c>
      <c r="F962" s="113">
        <f t="shared" si="77"/>
        <v>1260.745</v>
      </c>
    </row>
    <row r="963" spans="1:6">
      <c r="A963" s="57">
        <v>2</v>
      </c>
      <c r="B963" s="57" t="s">
        <v>1219</v>
      </c>
      <c r="C963" s="57"/>
      <c r="D963" s="84"/>
      <c r="E963" s="84"/>
      <c r="F963" s="84">
        <f>SUM(F964:F967)</f>
        <v>0</v>
      </c>
    </row>
    <row r="964" spans="1:6">
      <c r="A964" s="57"/>
      <c r="B964" s="57" t="s">
        <v>1863</v>
      </c>
      <c r="C964" s="57" t="s">
        <v>1188</v>
      </c>
      <c r="D964" s="84"/>
      <c r="E964" s="84">
        <f>131+13.1*5</f>
        <v>196.5</v>
      </c>
      <c r="F964" s="84">
        <f t="shared" si="77"/>
        <v>0</v>
      </c>
    </row>
    <row r="965" spans="1:6">
      <c r="A965" s="57"/>
      <c r="B965" s="57"/>
      <c r="C965" s="57"/>
      <c r="D965" s="84"/>
      <c r="E965" s="84"/>
      <c r="F965" s="84"/>
    </row>
    <row r="966" spans="1:6">
      <c r="A966" s="57"/>
      <c r="B966" s="57"/>
      <c r="C966" s="57"/>
      <c r="D966" s="84"/>
      <c r="E966" s="84"/>
      <c r="F966" s="84"/>
    </row>
    <row r="967" spans="1:6">
      <c r="A967" s="57"/>
      <c r="B967" s="57" t="s">
        <v>1163</v>
      </c>
      <c r="C967" s="59" t="s">
        <v>423</v>
      </c>
      <c r="D967" s="84">
        <f>F964+F965</f>
        <v>0</v>
      </c>
      <c r="E967" s="84">
        <v>0.5</v>
      </c>
      <c r="F967" s="84">
        <f>D967*E967/100</f>
        <v>0</v>
      </c>
    </row>
    <row r="968" spans="1:6">
      <c r="A968" s="57">
        <v>3</v>
      </c>
      <c r="B968" s="57" t="s">
        <v>1171</v>
      </c>
      <c r="C968" s="57"/>
      <c r="D968" s="84"/>
      <c r="E968" s="84"/>
      <c r="F968" s="84">
        <f>SUM(F969:F970)</f>
        <v>307.984766972477</v>
      </c>
    </row>
    <row r="969" spans="1:6">
      <c r="A969" s="57"/>
      <c r="B969" s="57" t="s">
        <v>1841</v>
      </c>
      <c r="C969" s="57" t="s">
        <v>988</v>
      </c>
      <c r="D969" s="84">
        <f>台时!D105</f>
        <v>63.5282110091743</v>
      </c>
      <c r="E969" s="84">
        <v>4.8</v>
      </c>
      <c r="F969" s="84">
        <f>D969*E969</f>
        <v>304.935412844037</v>
      </c>
    </row>
    <row r="970" spans="1:6">
      <c r="A970" s="57"/>
      <c r="B970" s="57" t="s">
        <v>1223</v>
      </c>
      <c r="C970" s="59" t="s">
        <v>423</v>
      </c>
      <c r="D970" s="84">
        <f>F969</f>
        <v>304.935412844037</v>
      </c>
      <c r="E970" s="84">
        <v>1</v>
      </c>
      <c r="F970" s="84">
        <f>D970*E970/100</f>
        <v>3.04935412844037</v>
      </c>
    </row>
    <row r="971" spans="1:6">
      <c r="A971" s="57" t="s">
        <v>70</v>
      </c>
      <c r="B971" s="57" t="s">
        <v>977</v>
      </c>
      <c r="C971" s="194">
        <f>取费表!$C$12</f>
        <v>0.048</v>
      </c>
      <c r="D971" s="84"/>
      <c r="E971" s="84">
        <f>F959</f>
        <v>2747.27976697248</v>
      </c>
      <c r="F971" s="84">
        <f t="shared" ref="F971:F974" si="78">E971*C971</f>
        <v>131.869428814679</v>
      </c>
    </row>
    <row r="972" spans="1:6">
      <c r="A972" s="57"/>
      <c r="B972" s="57"/>
      <c r="C972" s="194"/>
      <c r="D972" s="84"/>
      <c r="E972" s="84"/>
      <c r="F972" s="84"/>
    </row>
    <row r="973" spans="1:6">
      <c r="A973" s="57" t="s">
        <v>979</v>
      </c>
      <c r="B973" s="57" t="s">
        <v>973</v>
      </c>
      <c r="C973" s="194">
        <f>取费表!$E$12</f>
        <v>0.0725</v>
      </c>
      <c r="D973" s="84"/>
      <c r="E973" s="84">
        <f>F958</f>
        <v>2879.14919578716</v>
      </c>
      <c r="F973" s="84">
        <f t="shared" si="78"/>
        <v>208.738316694569</v>
      </c>
    </row>
    <row r="974" spans="1:6">
      <c r="A974" s="57" t="s">
        <v>162</v>
      </c>
      <c r="B974" s="57" t="s">
        <v>980</v>
      </c>
      <c r="C974" s="194">
        <f>取费表!$F$12</f>
        <v>0.05</v>
      </c>
      <c r="D974" s="84"/>
      <c r="E974" s="84">
        <f>F973+F958</f>
        <v>3087.88751248172</v>
      </c>
      <c r="F974" s="84">
        <f t="shared" si="78"/>
        <v>154.394375624086</v>
      </c>
    </row>
    <row r="975" spans="1:6">
      <c r="A975" s="55" t="s">
        <v>214</v>
      </c>
      <c r="B975" s="55" t="s">
        <v>1173</v>
      </c>
      <c r="C975" s="253"/>
      <c r="D975" s="254"/>
      <c r="E975" s="55"/>
      <c r="F975" s="255">
        <f>F976</f>
        <v>151.632</v>
      </c>
    </row>
    <row r="976" spans="1:6">
      <c r="A976" s="57">
        <v>2</v>
      </c>
      <c r="B976" s="57" t="s">
        <v>1289</v>
      </c>
      <c r="C976" s="57"/>
      <c r="D976" s="84"/>
      <c r="E976" s="88"/>
      <c r="F976" s="113">
        <f>SUM(F977:F980)</f>
        <v>151.632</v>
      </c>
    </row>
    <row r="977" spans="1:6">
      <c r="A977" s="57"/>
      <c r="B977" s="57"/>
      <c r="C977" s="57"/>
      <c r="D977" s="84"/>
      <c r="E977" s="88"/>
      <c r="F977" s="113"/>
    </row>
    <row r="978" spans="1:6">
      <c r="A978" s="57"/>
      <c r="B978" s="57"/>
      <c r="C978" s="57"/>
      <c r="D978" s="84"/>
      <c r="E978" s="88"/>
      <c r="F978" s="113"/>
    </row>
    <row r="979" spans="1:6">
      <c r="A979" s="57"/>
      <c r="B979" s="57" t="s">
        <v>1290</v>
      </c>
      <c r="C979" s="57" t="s">
        <v>184</v>
      </c>
      <c r="D979" s="84">
        <f>材料预算价!K13-材料预算价!L13</f>
        <v>6.225</v>
      </c>
      <c r="E979" s="88">
        <v>0</v>
      </c>
      <c r="F979" s="113">
        <f>D979*E979</f>
        <v>0</v>
      </c>
    </row>
    <row r="980" spans="1:6">
      <c r="A980" s="57"/>
      <c r="B980" s="57" t="s">
        <v>1174</v>
      </c>
      <c r="C980" s="59" t="s">
        <v>184</v>
      </c>
      <c r="D980" s="84">
        <f>材料预算价!K12-材料预算价!L12</f>
        <v>4.86</v>
      </c>
      <c r="E980" s="88">
        <f>(E969*6.5)</f>
        <v>31.2</v>
      </c>
      <c r="F980" s="113">
        <f>D980*E980</f>
        <v>151.632</v>
      </c>
    </row>
    <row r="981" spans="1:6">
      <c r="A981" s="57" t="s">
        <v>327</v>
      </c>
      <c r="B981" s="57" t="s">
        <v>976</v>
      </c>
      <c r="C981" s="195">
        <f>新定额单价!C3111</f>
        <v>0.09</v>
      </c>
      <c r="D981" s="275"/>
      <c r="E981" s="84">
        <f>F975+F974+F973+F958</f>
        <v>3393.91388810581</v>
      </c>
      <c r="F981" s="84">
        <f>E981*C981</f>
        <v>305.452249929523</v>
      </c>
    </row>
    <row r="982" spans="1:6">
      <c r="A982" s="57"/>
      <c r="B982" s="57" t="s">
        <v>984</v>
      </c>
      <c r="C982" s="195"/>
      <c r="D982" s="275"/>
      <c r="E982" s="84"/>
      <c r="F982" s="84">
        <f>(F958+F973+F974+F975+F981)*取费表!H4</f>
        <v>110.98098414106</v>
      </c>
    </row>
    <row r="983" spans="1:6">
      <c r="A983" s="57"/>
      <c r="B983" s="57" t="s">
        <v>278</v>
      </c>
      <c r="C983" s="58"/>
      <c r="D983" s="275"/>
      <c r="E983" s="275"/>
      <c r="F983" s="84">
        <f>F981+E981+F982</f>
        <v>3810.34712217639</v>
      </c>
    </row>
    <row r="984" spans="1:6">
      <c r="A984" s="57"/>
      <c r="B984" s="57"/>
      <c r="C984" s="58"/>
      <c r="D984" s="275"/>
      <c r="E984" s="275"/>
      <c r="F984" s="84"/>
    </row>
    <row r="985" spans="1:6">
      <c r="A985" s="57"/>
      <c r="B985" s="57"/>
      <c r="C985" s="58"/>
      <c r="D985" s="275"/>
      <c r="E985" s="275"/>
      <c r="F985" s="84"/>
    </row>
    <row r="986" spans="1:6">
      <c r="A986" s="57"/>
      <c r="B986" s="57"/>
      <c r="C986" s="58"/>
      <c r="D986" s="275"/>
      <c r="E986" s="275"/>
      <c r="F986" s="84"/>
    </row>
    <row r="987" spans="1:6">
      <c r="A987" s="57"/>
      <c r="B987" s="57"/>
      <c r="C987" s="58"/>
      <c r="D987" s="275"/>
      <c r="E987" s="275"/>
      <c r="F987" s="84"/>
    </row>
    <row r="988" spans="1:6">
      <c r="A988" s="57"/>
      <c r="B988" s="57"/>
      <c r="C988" s="58"/>
      <c r="D988" s="275"/>
      <c r="E988" s="275"/>
      <c r="F988" s="84"/>
    </row>
    <row r="989" spans="1:6">
      <c r="A989" s="57"/>
      <c r="B989" s="57"/>
      <c r="C989" s="58"/>
      <c r="D989" s="275"/>
      <c r="E989" s="275"/>
      <c r="F989" s="84"/>
    </row>
    <row r="990" spans="1:6">
      <c r="A990" s="57"/>
      <c r="B990" s="57"/>
      <c r="C990" s="58"/>
      <c r="D990" s="275"/>
      <c r="E990" s="275"/>
      <c r="F990" s="84"/>
    </row>
    <row r="991" spans="1:6">
      <c r="A991" s="57"/>
      <c r="B991" s="57"/>
      <c r="C991" s="58"/>
      <c r="D991" s="275"/>
      <c r="E991" s="275"/>
      <c r="F991" s="84"/>
    </row>
    <row r="1000" ht="18.75" spans="1:6">
      <c r="A1000" s="175" t="s">
        <v>1753</v>
      </c>
      <c r="B1000" s="176"/>
      <c r="C1000" s="176"/>
      <c r="D1000" s="176"/>
      <c r="E1000" s="176"/>
      <c r="F1000" s="176"/>
    </row>
    <row r="1001" ht="15.75" spans="1:6">
      <c r="A1001" s="242" t="s">
        <v>1864</v>
      </c>
      <c r="B1001" s="243"/>
      <c r="C1001" s="243"/>
      <c r="D1001" s="243"/>
      <c r="E1001" s="243"/>
      <c r="F1001" s="243"/>
    </row>
    <row r="1002" spans="1:6">
      <c r="A1002" s="190" t="s">
        <v>1310</v>
      </c>
      <c r="B1002" s="190"/>
      <c r="C1002" s="168"/>
      <c r="D1002" s="168"/>
      <c r="E1002" s="191" t="s">
        <v>1159</v>
      </c>
      <c r="F1002" s="191"/>
    </row>
    <row r="1003" spans="1:6">
      <c r="A1003" s="117" t="s">
        <v>1218</v>
      </c>
      <c r="B1003" s="192"/>
      <c r="C1003" s="192"/>
      <c r="D1003" s="192"/>
      <c r="E1003" s="192"/>
      <c r="F1003" s="118"/>
    </row>
    <row r="1004" spans="1:6">
      <c r="A1004" s="57" t="s">
        <v>354</v>
      </c>
      <c r="B1004" s="57" t="s">
        <v>956</v>
      </c>
      <c r="C1004" s="57" t="s">
        <v>52</v>
      </c>
      <c r="D1004" s="57" t="s">
        <v>855</v>
      </c>
      <c r="E1004" s="57" t="s">
        <v>53</v>
      </c>
      <c r="F1004" s="57" t="s">
        <v>306</v>
      </c>
    </row>
    <row r="1005" spans="1:6">
      <c r="A1005" s="57" t="s">
        <v>959</v>
      </c>
      <c r="B1005" s="57" t="s">
        <v>960</v>
      </c>
      <c r="C1005" s="57"/>
      <c r="D1005" s="57"/>
      <c r="E1005" s="57"/>
      <c r="F1005" s="84">
        <f>F1006+F1031+F1032</f>
        <v>42182.7600428321</v>
      </c>
    </row>
    <row r="1006" spans="1:6">
      <c r="A1006" s="57" t="s">
        <v>59</v>
      </c>
      <c r="B1006" s="57" t="s">
        <v>957</v>
      </c>
      <c r="C1006" s="57"/>
      <c r="D1006" s="57"/>
      <c r="E1006" s="57"/>
      <c r="F1006" s="84">
        <f>F1007+F1010+F1020+F1028</f>
        <v>40250.7252317101</v>
      </c>
    </row>
    <row r="1007" spans="1:6">
      <c r="A1007" s="57">
        <v>1</v>
      </c>
      <c r="B1007" s="57" t="s">
        <v>964</v>
      </c>
      <c r="C1007" s="57" t="s">
        <v>965</v>
      </c>
      <c r="D1007" s="84"/>
      <c r="E1007" s="92">
        <f>SUM(E1008:E1009)</f>
        <v>1750</v>
      </c>
      <c r="F1007" s="113">
        <f>SUM(F1008:F1009)</f>
        <v>13059.396</v>
      </c>
    </row>
    <row r="1008" spans="1:6">
      <c r="A1008" s="57"/>
      <c r="B1008" s="57" t="s">
        <v>966</v>
      </c>
      <c r="C1008" s="57" t="s">
        <v>965</v>
      </c>
      <c r="D1008" s="113">
        <f>新定额单价!J1001</f>
        <v>8.1</v>
      </c>
      <c r="E1008" s="92">
        <f>1271.2</f>
        <v>1271.2</v>
      </c>
      <c r="F1008" s="113">
        <f t="shared" ref="F1008:F1018" si="79">D1008*E1008</f>
        <v>10296.72</v>
      </c>
    </row>
    <row r="1009" spans="1:6">
      <c r="A1009" s="57"/>
      <c r="B1009" s="57" t="s">
        <v>968</v>
      </c>
      <c r="C1009" s="57" t="s">
        <v>965</v>
      </c>
      <c r="D1009" s="113">
        <f>新定额单价!J1002</f>
        <v>5.77</v>
      </c>
      <c r="E1009" s="92">
        <f>478.8</f>
        <v>478.8</v>
      </c>
      <c r="F1009" s="113">
        <f t="shared" si="79"/>
        <v>2762.676</v>
      </c>
    </row>
    <row r="1010" spans="1:6">
      <c r="A1010" s="57">
        <v>2</v>
      </c>
      <c r="B1010" s="57" t="s">
        <v>1219</v>
      </c>
      <c r="C1010" s="57"/>
      <c r="D1010" s="84"/>
      <c r="E1010" s="84"/>
      <c r="F1010" s="84">
        <f>SUM(F1011:F1019)</f>
        <v>24383.072342088</v>
      </c>
    </row>
    <row r="1011" spans="1:6">
      <c r="A1011" s="57"/>
      <c r="B1011" s="244" t="s">
        <v>1272</v>
      </c>
      <c r="C1011" s="244" t="s">
        <v>1188</v>
      </c>
      <c r="D1011" s="84">
        <f>新定额单价!J1004</f>
        <v>2232.665025</v>
      </c>
      <c r="E1011" s="84">
        <v>0.98</v>
      </c>
      <c r="F1011" s="84">
        <f t="shared" si="79"/>
        <v>2188.0117245</v>
      </c>
    </row>
    <row r="1012" spans="1:6">
      <c r="A1012" s="57"/>
      <c r="B1012" s="244" t="s">
        <v>1273</v>
      </c>
      <c r="C1012" s="244" t="s">
        <v>184</v>
      </c>
      <c r="D1012" s="84">
        <f>新定额单价!J1005</f>
        <v>4.44</v>
      </c>
      <c r="E1012" s="84">
        <v>103.85</v>
      </c>
      <c r="F1012" s="84">
        <f t="shared" si="79"/>
        <v>461.094</v>
      </c>
    </row>
    <row r="1013" spans="1:6">
      <c r="A1013" s="57"/>
      <c r="B1013" s="244" t="s">
        <v>1274</v>
      </c>
      <c r="C1013" s="244" t="s">
        <v>184</v>
      </c>
      <c r="D1013" s="84">
        <f>新定额单价!J1006</f>
        <v>4.5</v>
      </c>
      <c r="E1013" s="84">
        <v>73.88</v>
      </c>
      <c r="F1013" s="84">
        <f t="shared" si="79"/>
        <v>332.46</v>
      </c>
    </row>
    <row r="1014" spans="1:6">
      <c r="A1014" s="57"/>
      <c r="B1014" s="244" t="s">
        <v>1275</v>
      </c>
      <c r="C1014" s="244" t="s">
        <v>184</v>
      </c>
      <c r="D1014" s="84">
        <f>新定额单价!J1007</f>
        <v>5.15</v>
      </c>
      <c r="E1014" s="84">
        <v>48</v>
      </c>
      <c r="F1014" s="84">
        <f t="shared" si="79"/>
        <v>247.2</v>
      </c>
    </row>
    <row r="1015" spans="1:6">
      <c r="A1015" s="57"/>
      <c r="B1015" s="244" t="s">
        <v>1276</v>
      </c>
      <c r="C1015" s="244" t="s">
        <v>184</v>
      </c>
      <c r="D1015" s="84">
        <f>新定额单价!J1008</f>
        <v>4.5</v>
      </c>
      <c r="E1015" s="84">
        <v>328.9</v>
      </c>
      <c r="F1015" s="84">
        <f t="shared" si="79"/>
        <v>1480.05</v>
      </c>
    </row>
    <row r="1016" spans="1:6">
      <c r="A1016" s="57"/>
      <c r="B1016" s="244" t="s">
        <v>1278</v>
      </c>
      <c r="C1016" s="244" t="s">
        <v>184</v>
      </c>
      <c r="D1016" s="84">
        <f>新定额单价!J1009</f>
        <v>5.97</v>
      </c>
      <c r="E1016" s="84">
        <v>6.91</v>
      </c>
      <c r="F1016" s="84">
        <f t="shared" si="79"/>
        <v>41.2527</v>
      </c>
    </row>
    <row r="1017" spans="1:6">
      <c r="A1017" s="57"/>
      <c r="B1017" s="57" t="s">
        <v>1311</v>
      </c>
      <c r="C1017" s="57" t="s">
        <v>1188</v>
      </c>
      <c r="D1017" s="84">
        <f>配合比!M9</f>
        <v>183.0000433</v>
      </c>
      <c r="E1017" s="84">
        <v>103</v>
      </c>
      <c r="F1017" s="84">
        <f t="shared" si="79"/>
        <v>18849.0044599</v>
      </c>
    </row>
    <row r="1018" spans="1:6">
      <c r="A1018" s="57"/>
      <c r="B1018" s="57" t="s">
        <v>1022</v>
      </c>
      <c r="C1018" s="57" t="s">
        <v>1188</v>
      </c>
      <c r="D1018" s="84">
        <f>新定额单价!J1011</f>
        <v>4.37</v>
      </c>
      <c r="E1018" s="84">
        <v>70</v>
      </c>
      <c r="F1018" s="84">
        <f t="shared" si="79"/>
        <v>305.9</v>
      </c>
    </row>
    <row r="1019" spans="1:6">
      <c r="A1019" s="57"/>
      <c r="B1019" s="57" t="s">
        <v>1163</v>
      </c>
      <c r="C1019" s="59" t="s">
        <v>423</v>
      </c>
      <c r="D1019" s="84">
        <f>SUM(F1011:F1018)</f>
        <v>23904.9728844</v>
      </c>
      <c r="E1019" s="84">
        <v>2</v>
      </c>
      <c r="F1019" s="84">
        <f>D1019*E1019/100</f>
        <v>478.099457688</v>
      </c>
    </row>
    <row r="1020" spans="1:6">
      <c r="A1020" s="57">
        <v>3</v>
      </c>
      <c r="B1020" s="57" t="s">
        <v>1171</v>
      </c>
      <c r="C1020" s="57"/>
      <c r="D1020" s="84"/>
      <c r="E1020" s="84"/>
      <c r="F1020" s="84">
        <f>SUM(F1021:F1027)</f>
        <v>821.845468949341</v>
      </c>
    </row>
    <row r="1021" spans="1:6">
      <c r="A1021" s="57"/>
      <c r="B1021" s="57" t="s">
        <v>1280</v>
      </c>
      <c r="C1021" s="57" t="s">
        <v>988</v>
      </c>
      <c r="D1021" s="84">
        <f>新定额单价!J1014</f>
        <v>49.389824491424</v>
      </c>
      <c r="E1021" s="84">
        <v>0.46</v>
      </c>
      <c r="F1021" s="84">
        <f t="shared" ref="F1021:F1026" si="80">D1021*E1021</f>
        <v>22.719319266055</v>
      </c>
    </row>
    <row r="1022" spans="1:6">
      <c r="A1022" s="57"/>
      <c r="B1022" s="57" t="s">
        <v>1281</v>
      </c>
      <c r="C1022" s="57" t="s">
        <v>988</v>
      </c>
      <c r="D1022" s="84">
        <f>新定额单价!J1015</f>
        <v>62.3342780215397</v>
      </c>
      <c r="E1022" s="84"/>
      <c r="F1022" s="84">
        <f t="shared" si="80"/>
        <v>0</v>
      </c>
    </row>
    <row r="1023" spans="1:6">
      <c r="A1023" s="57"/>
      <c r="B1023" s="57" t="s">
        <v>1282</v>
      </c>
      <c r="C1023" s="57" t="s">
        <v>988</v>
      </c>
      <c r="D1023" s="84">
        <f>新定额单价!J1016</f>
        <v>8.0471858795373</v>
      </c>
      <c r="E1023" s="204">
        <v>10.32</v>
      </c>
      <c r="F1023" s="84">
        <f t="shared" si="80"/>
        <v>83.0469582768249</v>
      </c>
    </row>
    <row r="1024" spans="1:6">
      <c r="A1024" s="57"/>
      <c r="B1024" s="57" t="s">
        <v>1283</v>
      </c>
      <c r="C1024" s="57" t="s">
        <v>988</v>
      </c>
      <c r="D1024" s="84">
        <f>新定额单价!J1017</f>
        <v>23.7459521340247</v>
      </c>
      <c r="E1024" s="84">
        <v>18.54</v>
      </c>
      <c r="F1024" s="84">
        <f t="shared" si="80"/>
        <v>440.249952564818</v>
      </c>
    </row>
    <row r="1025" spans="1:6">
      <c r="A1025" s="57"/>
      <c r="B1025" s="57" t="s">
        <v>1297</v>
      </c>
      <c r="C1025" s="57" t="s">
        <v>988</v>
      </c>
      <c r="D1025" s="84">
        <f>新定额单价!J1018</f>
        <v>2.37852772237734</v>
      </c>
      <c r="E1025" s="84">
        <v>30</v>
      </c>
      <c r="F1025" s="84">
        <f t="shared" si="80"/>
        <v>71.3558316713202</v>
      </c>
    </row>
    <row r="1026" spans="1:6">
      <c r="A1026" s="57"/>
      <c r="B1026" s="57" t="s">
        <v>1190</v>
      </c>
      <c r="C1026" s="57" t="s">
        <v>988</v>
      </c>
      <c r="D1026" s="84">
        <f>新定额单价!J1019</f>
        <v>0.813242919824491</v>
      </c>
      <c r="E1026" s="84">
        <v>83</v>
      </c>
      <c r="F1026" s="84">
        <f t="shared" si="80"/>
        <v>67.4991623454328</v>
      </c>
    </row>
    <row r="1027" spans="1:6">
      <c r="A1027" s="57"/>
      <c r="B1027" s="57" t="s">
        <v>1223</v>
      </c>
      <c r="C1027" s="59" t="s">
        <v>423</v>
      </c>
      <c r="D1027" s="84">
        <f>SUM(F1021:F1026)</f>
        <v>684.871224124451</v>
      </c>
      <c r="E1027" s="196">
        <v>20</v>
      </c>
      <c r="F1027" s="84">
        <f>D1027*E1027/100</f>
        <v>136.97424482489</v>
      </c>
    </row>
    <row r="1028" spans="1:6">
      <c r="A1028" s="55">
        <v>4</v>
      </c>
      <c r="B1028" s="55" t="s">
        <v>1285</v>
      </c>
      <c r="C1028" s="253"/>
      <c r="D1028" s="254"/>
      <c r="E1028" s="254"/>
      <c r="F1028" s="254">
        <f>SUM(F1029:F1030)</f>
        <v>1986.41142067271</v>
      </c>
    </row>
    <row r="1029" spans="1:6">
      <c r="A1029" s="57"/>
      <c r="B1029" s="245" t="s">
        <v>1286</v>
      </c>
      <c r="C1029" s="245" t="s">
        <v>1188</v>
      </c>
      <c r="D1029" s="246">
        <f>新定额单价!$F$2253/100</f>
        <v>5.03319379720782</v>
      </c>
      <c r="E1029" s="246">
        <v>103</v>
      </c>
      <c r="F1029" s="84">
        <f>D1029*E1029</f>
        <v>518.418961112406</v>
      </c>
    </row>
    <row r="1030" spans="1:6">
      <c r="A1030" s="57"/>
      <c r="B1030" s="245" t="s">
        <v>1287</v>
      </c>
      <c r="C1030" s="245" t="s">
        <v>1188</v>
      </c>
      <c r="D1030" s="246">
        <f>新定额单价!$F$2271/100</f>
        <v>14.2523539763136</v>
      </c>
      <c r="E1030" s="246">
        <v>103</v>
      </c>
      <c r="F1030" s="84">
        <f>D1030*E1030</f>
        <v>1467.9924595603</v>
      </c>
    </row>
    <row r="1031" spans="1:6">
      <c r="A1031" s="57" t="s">
        <v>70</v>
      </c>
      <c r="B1031" s="57" t="s">
        <v>977</v>
      </c>
      <c r="C1031" s="194">
        <f>取费表!$C$7</f>
        <v>0.048</v>
      </c>
      <c r="D1031" s="246"/>
      <c r="E1031" s="246">
        <f>F1006</f>
        <v>40250.7252317101</v>
      </c>
      <c r="F1031" s="84">
        <f t="shared" ref="F1031:F1034" si="81">E1031*C1031</f>
        <v>1932.03481112208</v>
      </c>
    </row>
    <row r="1032" spans="1:6">
      <c r="A1032" s="57"/>
      <c r="B1032" s="57"/>
      <c r="C1032" s="194"/>
      <c r="D1032" s="246"/>
      <c r="E1032" s="246"/>
      <c r="F1032" s="84"/>
    </row>
    <row r="1033" spans="1:6">
      <c r="A1033" s="57" t="s">
        <v>979</v>
      </c>
      <c r="B1033" s="57" t="s">
        <v>973</v>
      </c>
      <c r="C1033" s="194">
        <f>取费表!$E$7</f>
        <v>0.07</v>
      </c>
      <c r="D1033" s="246"/>
      <c r="E1033" s="246">
        <f>F1005</f>
        <v>42182.7600428321</v>
      </c>
      <c r="F1033" s="84">
        <f t="shared" si="81"/>
        <v>2952.79320299825</v>
      </c>
    </row>
    <row r="1034" spans="1:6">
      <c r="A1034" s="57" t="s">
        <v>162</v>
      </c>
      <c r="B1034" s="57" t="s">
        <v>980</v>
      </c>
      <c r="C1034" s="194">
        <f>取费表!$F$7</f>
        <v>0.07</v>
      </c>
      <c r="D1034" s="246"/>
      <c r="E1034" s="246">
        <f>F1033+F1005</f>
        <v>45135.5532458304</v>
      </c>
      <c r="F1034" s="84">
        <f t="shared" si="81"/>
        <v>3159.48872720813</v>
      </c>
    </row>
    <row r="1035" spans="1:6">
      <c r="A1035" s="55" t="s">
        <v>214</v>
      </c>
      <c r="B1035" s="55" t="s">
        <v>1173</v>
      </c>
      <c r="C1035" s="253"/>
      <c r="D1035" s="254"/>
      <c r="E1035" s="55"/>
      <c r="F1035" s="255">
        <f>F1036+F1041</f>
        <v>9956.08950361686</v>
      </c>
    </row>
    <row r="1036" spans="1:6">
      <c r="A1036" s="57">
        <v>1</v>
      </c>
      <c r="B1036" s="57" t="s">
        <v>1288</v>
      </c>
      <c r="C1036" s="59"/>
      <c r="D1036" s="84"/>
      <c r="E1036" s="57"/>
      <c r="F1036" s="113">
        <f>SUM(F1037:F1040)</f>
        <v>9935.47230361686</v>
      </c>
    </row>
    <row r="1037" spans="1:6">
      <c r="A1037" s="57"/>
      <c r="B1037" s="57"/>
      <c r="C1037" s="57"/>
      <c r="D1037" s="84"/>
      <c r="E1037" s="84"/>
      <c r="F1037" s="113"/>
    </row>
    <row r="1038" spans="1:6">
      <c r="A1038" s="57"/>
      <c r="B1038" s="57" t="s">
        <v>1141</v>
      </c>
      <c r="C1038" s="57" t="s">
        <v>69</v>
      </c>
      <c r="D1038" s="84">
        <f>新定额单价!J1031</f>
        <v>156.64017</v>
      </c>
      <c r="E1038" s="84">
        <f>E1017*配合比!E9</f>
        <v>35.641914</v>
      </c>
      <c r="F1038" s="113">
        <f t="shared" ref="F1038:F1040" si="82">D1038*E1038</f>
        <v>5582.95546808538</v>
      </c>
    </row>
    <row r="1039" spans="1:6">
      <c r="A1039" s="57"/>
      <c r="B1039" s="57" t="s">
        <v>1142</v>
      </c>
      <c r="C1039" s="57" t="s">
        <v>1188</v>
      </c>
      <c r="D1039" s="84">
        <f>新定额单价!J1032</f>
        <v>44.826214</v>
      </c>
      <c r="E1039" s="84">
        <f>E1017*配合比!G9</f>
        <v>62.17904</v>
      </c>
      <c r="F1039" s="113">
        <f t="shared" si="82"/>
        <v>2787.25095335456</v>
      </c>
    </row>
    <row r="1040" spans="1:6">
      <c r="A1040" s="57"/>
      <c r="B1040" s="57" t="s">
        <v>1110</v>
      </c>
      <c r="C1040" s="57" t="s">
        <v>1188</v>
      </c>
      <c r="D1040" s="84">
        <f>新定额单价!J1033</f>
        <v>20.60443</v>
      </c>
      <c r="E1040" s="84">
        <f>E1017*配合比!I9</f>
        <v>75.967444</v>
      </c>
      <c r="F1040" s="113">
        <f t="shared" si="82"/>
        <v>1565.26588217692</v>
      </c>
    </row>
    <row r="1041" spans="1:6">
      <c r="A1041" s="57">
        <v>2</v>
      </c>
      <c r="B1041" s="57" t="s">
        <v>1289</v>
      </c>
      <c r="C1041" s="57"/>
      <c r="D1041" s="84"/>
      <c r="E1041" s="88"/>
      <c r="F1041" s="113">
        <f>SUM(F1042:F1043)</f>
        <v>20.6172</v>
      </c>
    </row>
    <row r="1042" spans="1:6">
      <c r="A1042" s="57"/>
      <c r="B1042" s="57" t="s">
        <v>1290</v>
      </c>
      <c r="C1042" s="57" t="s">
        <v>184</v>
      </c>
      <c r="D1042" s="84">
        <f>新定额单价!J1035</f>
        <v>6.225</v>
      </c>
      <c r="E1042" s="88">
        <f>(E1021*7.2+E1022*5.8)</f>
        <v>3.312</v>
      </c>
      <c r="F1042" s="113">
        <f>D1042*E1042</f>
        <v>20.6172</v>
      </c>
    </row>
    <row r="1043" spans="1:6">
      <c r="A1043" s="57"/>
      <c r="B1043" s="57" t="s">
        <v>1174</v>
      </c>
      <c r="C1043" s="57" t="s">
        <v>184</v>
      </c>
      <c r="D1043" s="84">
        <f>新定额单价!J1036</f>
        <v>4.86</v>
      </c>
      <c r="E1043" s="88"/>
      <c r="F1043" s="113">
        <f>D1043*E1043</f>
        <v>0</v>
      </c>
    </row>
    <row r="1044" spans="1:6">
      <c r="A1044" s="57" t="s">
        <v>327</v>
      </c>
      <c r="B1044" s="57" t="s">
        <v>976</v>
      </c>
      <c r="C1044" s="195">
        <f>新定额单价!I1037</f>
        <v>0.09</v>
      </c>
      <c r="D1044" s="84"/>
      <c r="E1044" s="84">
        <f>F1035+F1034+F1033+F1005</f>
        <v>58251.1314766554</v>
      </c>
      <c r="F1044" s="84">
        <f>E1044*C1044</f>
        <v>5242.60183289898</v>
      </c>
    </row>
    <row r="1045" spans="1:6">
      <c r="A1045" s="57"/>
      <c r="B1045" s="57" t="s">
        <v>984</v>
      </c>
      <c r="C1045" s="195"/>
      <c r="D1045" s="84"/>
      <c r="E1045" s="84"/>
      <c r="F1045" s="84">
        <f>(F1005+F1033+F1034+F1035+F1044)*取费表!H7</f>
        <v>1904.81199928663</v>
      </c>
    </row>
    <row r="1046" spans="1:6">
      <c r="A1046" s="57"/>
      <c r="B1046" s="57" t="s">
        <v>278</v>
      </c>
      <c r="C1046" s="57"/>
      <c r="D1046" s="84"/>
      <c r="E1046" s="84"/>
      <c r="F1046" s="84">
        <f>F1044+E1044+F1045</f>
        <v>65398.545308841</v>
      </c>
    </row>
    <row r="1047" ht="20" customHeight="1"/>
    <row r="1048" ht="20" customHeight="1"/>
    <row r="1049" ht="20" customHeight="1"/>
    <row r="1050" ht="20" customHeight="1"/>
  </sheetData>
  <mergeCells count="64">
    <mergeCell ref="A1:F1"/>
    <mergeCell ref="B2:F2"/>
    <mergeCell ref="A22:F22"/>
    <mergeCell ref="A23:F23"/>
    <mergeCell ref="A24:B24"/>
    <mergeCell ref="A47:F47"/>
    <mergeCell ref="A48:F48"/>
    <mergeCell ref="A84:F84"/>
    <mergeCell ref="A107:F107"/>
    <mergeCell ref="A108:F108"/>
    <mergeCell ref="A131:F131"/>
    <mergeCell ref="A132:F132"/>
    <mergeCell ref="A158:F158"/>
    <mergeCell ref="A159:F159"/>
    <mergeCell ref="A178:F178"/>
    <mergeCell ref="A179:F179"/>
    <mergeCell ref="A215:F215"/>
    <mergeCell ref="A216:F216"/>
    <mergeCell ref="A252:F252"/>
    <mergeCell ref="A253:F253"/>
    <mergeCell ref="B255:F255"/>
    <mergeCell ref="A288:F288"/>
    <mergeCell ref="A289:F289"/>
    <mergeCell ref="A290:D290"/>
    <mergeCell ref="E290:F290"/>
    <mergeCell ref="A291:F291"/>
    <mergeCell ref="A314:F314"/>
    <mergeCell ref="A315:F315"/>
    <mergeCell ref="A316:D316"/>
    <mergeCell ref="E316:F316"/>
    <mergeCell ref="A317:F317"/>
    <mergeCell ref="A334:F334"/>
    <mergeCell ref="A381:F381"/>
    <mergeCell ref="A428:F428"/>
    <mergeCell ref="A475:F475"/>
    <mergeCell ref="A476:F476"/>
    <mergeCell ref="A522:F522"/>
    <mergeCell ref="A523:F523"/>
    <mergeCell ref="A569:F569"/>
    <mergeCell ref="A570:F570"/>
    <mergeCell ref="A608:F608"/>
    <mergeCell ref="A646:F646"/>
    <mergeCell ref="A683:F683"/>
    <mergeCell ref="A684:F684"/>
    <mergeCell ref="A685:B685"/>
    <mergeCell ref="A720:F720"/>
    <mergeCell ref="A721:F721"/>
    <mergeCell ref="A757:F757"/>
    <mergeCell ref="A758:F758"/>
    <mergeCell ref="A779:F779"/>
    <mergeCell ref="A780:F780"/>
    <mergeCell ref="A801:F801"/>
    <mergeCell ref="A803:B803"/>
    <mergeCell ref="A804:B804"/>
    <mergeCell ref="A836:F836"/>
    <mergeCell ref="A877:F877"/>
    <mergeCell ref="A879:B879"/>
    <mergeCell ref="A880:B880"/>
    <mergeCell ref="A916:F916"/>
    <mergeCell ref="A919:B919"/>
    <mergeCell ref="A953:F953"/>
    <mergeCell ref="A954:F954"/>
    <mergeCell ref="A1000:F1000"/>
    <mergeCell ref="A1002:B1002"/>
  </mergeCells>
  <pageMargins left="0.75" right="0.75" top="1" bottom="1" header="0.5" footer="0.5"/>
  <pageSetup paperSize="9" orientation="portrait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4"/>
  <sheetViews>
    <sheetView workbookViewId="0">
      <selection activeCell="D122" sqref="D122"/>
    </sheetView>
  </sheetViews>
  <sheetFormatPr defaultColWidth="9" defaultRowHeight="14.25" outlineLevelCol="7"/>
  <cols>
    <col min="1" max="1" width="13" customWidth="1"/>
    <col min="2" max="2" width="25.125" customWidth="1"/>
    <col min="3" max="3" width="12.25" customWidth="1"/>
    <col min="4" max="4" width="22.875" customWidth="1"/>
    <col min="5" max="5" width="12.5" customWidth="1"/>
    <col min="6" max="6" width="11.25" customWidth="1"/>
    <col min="7" max="7" width="14.375" style="165" customWidth="1"/>
    <col min="8" max="8" width="9" style="165"/>
  </cols>
  <sheetData>
    <row r="1" ht="20.1" customHeight="1" spans="1:4">
      <c r="A1" s="166" t="s">
        <v>1865</v>
      </c>
      <c r="B1" s="166"/>
      <c r="C1" s="166"/>
      <c r="D1" s="166"/>
    </row>
    <row r="2" ht="20.1" customHeight="1" spans="1:4">
      <c r="A2" s="167"/>
      <c r="B2" s="167"/>
      <c r="C2" s="167"/>
      <c r="D2" s="167"/>
    </row>
    <row r="3" ht="20.1" customHeight="1" spans="1:7">
      <c r="A3" s="57" t="s">
        <v>50</v>
      </c>
      <c r="B3" s="57" t="s">
        <v>953</v>
      </c>
      <c r="C3" s="57" t="s">
        <v>52</v>
      </c>
      <c r="D3" s="57" t="s">
        <v>53</v>
      </c>
      <c r="G3" s="168"/>
    </row>
    <row r="4" ht="20.1" customHeight="1" spans="1:7">
      <c r="A4" s="57">
        <v>1</v>
      </c>
      <c r="B4" s="57" t="s">
        <v>964</v>
      </c>
      <c r="C4" s="57" t="s">
        <v>965</v>
      </c>
      <c r="D4" s="113" t="e">
        <f>材料分析!D4</f>
        <v>#REF!</v>
      </c>
      <c r="G4" s="168"/>
    </row>
    <row r="5" ht="20.1" customHeight="1" spans="1:5">
      <c r="A5" s="57">
        <v>2</v>
      </c>
      <c r="B5" s="57" t="s">
        <v>1141</v>
      </c>
      <c r="C5" s="59" t="s">
        <v>69</v>
      </c>
      <c r="D5" s="113" t="e">
        <f>材料分析!F4</f>
        <v>#REF!</v>
      </c>
      <c r="E5" s="111"/>
    </row>
    <row r="6" ht="20.1" customHeight="1" spans="1:7">
      <c r="A6" s="57">
        <v>3</v>
      </c>
      <c r="B6" s="57" t="s">
        <v>1142</v>
      </c>
      <c r="C6" s="59" t="s">
        <v>1226</v>
      </c>
      <c r="D6" s="113" t="e">
        <f>材料分析!H4</f>
        <v>#REF!</v>
      </c>
      <c r="G6" s="169"/>
    </row>
    <row r="7" ht="20.1" customHeight="1" spans="1:7">
      <c r="A7" s="57">
        <v>4</v>
      </c>
      <c r="B7" s="57" t="s">
        <v>1110</v>
      </c>
      <c r="C7" s="59" t="s">
        <v>1226</v>
      </c>
      <c r="D7" s="113" t="e">
        <f>材料分析!J4</f>
        <v>#REF!</v>
      </c>
      <c r="G7" s="169"/>
    </row>
    <row r="8" ht="20.1" customHeight="1" spans="1:7">
      <c r="A8" s="57">
        <v>5</v>
      </c>
      <c r="B8" s="57" t="s">
        <v>1111</v>
      </c>
      <c r="C8" s="59" t="s">
        <v>1226</v>
      </c>
      <c r="D8" s="113" t="e">
        <f>材料分析!L4</f>
        <v>#REF!</v>
      </c>
      <c r="G8" s="169"/>
    </row>
    <row r="9" ht="20.1" customHeight="1" spans="1:7">
      <c r="A9" s="57">
        <v>6</v>
      </c>
      <c r="B9" s="57" t="s">
        <v>1113</v>
      </c>
      <c r="C9" s="59" t="s">
        <v>1226</v>
      </c>
      <c r="D9" s="113" t="e">
        <f>材料分析!N4</f>
        <v>#REF!</v>
      </c>
      <c r="G9" s="169"/>
    </row>
    <row r="10" ht="20.1" customHeight="1" spans="1:7">
      <c r="A10" s="57">
        <v>7</v>
      </c>
      <c r="B10" s="57" t="s">
        <v>1101</v>
      </c>
      <c r="C10" s="59" t="s">
        <v>69</v>
      </c>
      <c r="D10" s="113" t="e">
        <f>材料分析!P4</f>
        <v>#REF!</v>
      </c>
      <c r="G10" s="169"/>
    </row>
    <row r="11" ht="20.1" customHeight="1" spans="1:4">
      <c r="A11" s="57">
        <v>8</v>
      </c>
      <c r="B11" s="57" t="s">
        <v>1118</v>
      </c>
      <c r="C11" s="59" t="s">
        <v>1866</v>
      </c>
      <c r="D11" s="113" t="e">
        <f>材料分析!R4</f>
        <v>#REF!</v>
      </c>
    </row>
    <row r="12" ht="20.1" customHeight="1" spans="1:4">
      <c r="A12" s="57">
        <v>9</v>
      </c>
      <c r="B12" s="57" t="s">
        <v>1116</v>
      </c>
      <c r="C12" s="59" t="s">
        <v>1866</v>
      </c>
      <c r="D12" s="113" t="e">
        <f>材料分析!T4</f>
        <v>#REF!</v>
      </c>
    </row>
    <row r="13" ht="20.1" customHeight="1" spans="1:4">
      <c r="A13" s="57"/>
      <c r="B13" s="57"/>
      <c r="C13" s="59"/>
      <c r="D13" s="112"/>
    </row>
    <row r="14" ht="20.1" customHeight="1" spans="1:4">
      <c r="A14" s="57"/>
      <c r="B14" s="57"/>
      <c r="C14" s="59"/>
      <c r="D14" s="112"/>
    </row>
    <row r="15" ht="20.1" customHeight="1" spans="1:4">
      <c r="A15" s="170" t="s">
        <v>1867</v>
      </c>
      <c r="B15" s="170"/>
      <c r="C15" s="170"/>
      <c r="D15" s="170"/>
    </row>
    <row r="16" ht="20.1" customHeight="1" spans="1:4">
      <c r="A16" s="167"/>
      <c r="B16" s="167"/>
      <c r="C16" s="167"/>
      <c r="D16" s="167"/>
    </row>
    <row r="17" ht="20.1" customHeight="1" spans="1:4">
      <c r="A17" s="57" t="s">
        <v>50</v>
      </c>
      <c r="B17" s="57" t="s">
        <v>953</v>
      </c>
      <c r="C17" s="57" t="s">
        <v>52</v>
      </c>
      <c r="D17" s="57" t="s">
        <v>53</v>
      </c>
    </row>
    <row r="18" ht="20.1" customHeight="1" spans="1:4">
      <c r="A18" s="57">
        <v>1</v>
      </c>
      <c r="B18" s="57" t="s">
        <v>1868</v>
      </c>
      <c r="C18" s="59" t="s">
        <v>1869</v>
      </c>
      <c r="D18" s="88" t="e">
        <f>(#REF!)/100</f>
        <v>#REF!</v>
      </c>
    </row>
    <row r="19" ht="20.1" customHeight="1" spans="1:8">
      <c r="A19" s="57">
        <v>2</v>
      </c>
      <c r="B19" s="57" t="s">
        <v>1870</v>
      </c>
      <c r="C19" s="59" t="s">
        <v>1869</v>
      </c>
      <c r="D19" s="88" t="e">
        <f>(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)/100</f>
        <v>#REF!</v>
      </c>
      <c r="F19" t="s">
        <v>1871</v>
      </c>
      <c r="G19" s="171" t="e">
        <f>D21*350+(D18+D19+D20)*229</f>
        <v>#REF!</v>
      </c>
      <c r="H19" s="165" t="s">
        <v>1872</v>
      </c>
    </row>
    <row r="20" ht="20.1" customHeight="1" spans="1:4">
      <c r="A20" s="57">
        <v>3</v>
      </c>
      <c r="B20" s="57" t="s">
        <v>1873</v>
      </c>
      <c r="C20" s="59" t="s">
        <v>1869</v>
      </c>
      <c r="D20" s="88" t="e">
        <f>(#REF!+#REF!+#REF!+#REF!+#REF!)/100</f>
        <v>#REF!</v>
      </c>
    </row>
    <row r="21" ht="20.1" customHeight="1" spans="1:5">
      <c r="A21" s="57">
        <v>4</v>
      </c>
      <c r="B21" s="57" t="s">
        <v>1101</v>
      </c>
      <c r="C21" s="59" t="s">
        <v>69</v>
      </c>
      <c r="D21" s="88" t="e">
        <f>#REF!+#REF!+#REF!+#REF!+#REF!+#REF!+#REF!+#REF!+#REF!+#REF!+#REF!+#REF!+#REF!+#REF!+#REF!+#REF!+#REF!+#REF!+#REF!+#REF!</f>
        <v>#REF!</v>
      </c>
      <c r="E21" s="172"/>
    </row>
    <row r="22" ht="20.1" customHeight="1" spans="1:4">
      <c r="A22" s="57">
        <v>5</v>
      </c>
      <c r="B22" s="57" t="s">
        <v>1874</v>
      </c>
      <c r="C22" s="59" t="s">
        <v>1869</v>
      </c>
      <c r="D22" s="88" t="e">
        <f>(#REF!+#REF!)/100</f>
        <v>#REF!</v>
      </c>
    </row>
    <row r="23" ht="20.1" customHeight="1" spans="1:6">
      <c r="A23" s="57">
        <v>6</v>
      </c>
      <c r="B23" s="57" t="s">
        <v>1875</v>
      </c>
      <c r="C23" s="59" t="s">
        <v>1869</v>
      </c>
      <c r="D23" s="88" t="e">
        <f>(#REF!+#REF!)/100</f>
        <v>#REF!</v>
      </c>
      <c r="F23" s="127"/>
    </row>
    <row r="24" ht="20.1" customHeight="1" spans="1:4">
      <c r="A24" s="57">
        <v>7</v>
      </c>
      <c r="B24" s="57" t="s">
        <v>140</v>
      </c>
      <c r="C24" s="59" t="s">
        <v>1869</v>
      </c>
      <c r="D24" s="88" t="e">
        <f>(#REF!+#REF!)/100</f>
        <v>#REF!</v>
      </c>
    </row>
    <row r="25" ht="20.1" customHeight="1" spans="1:4">
      <c r="A25" s="57">
        <v>8</v>
      </c>
      <c r="B25" s="57" t="s">
        <v>1876</v>
      </c>
      <c r="C25" s="59" t="s">
        <v>1869</v>
      </c>
      <c r="D25" s="88" t="e">
        <f>(#REF!+#REF!+#REF!+#REF!+#REF!+#REF!+#REF!+#REF!+#REF!+#REF!+#REF!+#REF!)/100</f>
        <v>#REF!</v>
      </c>
    </row>
    <row r="26" ht="20.1" customHeight="1" spans="1:4">
      <c r="A26" s="57">
        <v>9</v>
      </c>
      <c r="B26" s="57" t="s">
        <v>1877</v>
      </c>
      <c r="C26" s="59" t="s">
        <v>1869</v>
      </c>
      <c r="D26" s="88" t="e">
        <f>(#REF!+#REF!+#REF!+#REF!+#REF!+#REF!+#REF!+#REF!+#REF!+#REF!+#REF!+#REF!)/100</f>
        <v>#REF!</v>
      </c>
    </row>
    <row r="27" ht="20.1" customHeight="1" spans="1:4">
      <c r="A27" s="57">
        <v>10</v>
      </c>
      <c r="B27" s="57" t="s">
        <v>1878</v>
      </c>
      <c r="C27" s="59" t="s">
        <v>1869</v>
      </c>
      <c r="D27" s="88" t="e">
        <f>(#REF!+#REF!+#REF!+#REF!)/100</f>
        <v>#REF!</v>
      </c>
    </row>
    <row r="28" ht="20.1" customHeight="1" spans="1:4">
      <c r="A28" s="57"/>
      <c r="B28" s="173"/>
      <c r="C28" s="59"/>
      <c r="D28" s="88"/>
    </row>
    <row r="29" ht="20.1" customHeight="1" spans="1:4">
      <c r="A29" s="57"/>
      <c r="B29" s="57"/>
      <c r="C29" s="59"/>
      <c r="D29" s="113"/>
    </row>
    <row r="30" ht="20.1" customHeight="1" spans="1:5">
      <c r="A30" s="57"/>
      <c r="B30" s="57"/>
      <c r="C30" s="59"/>
      <c r="D30" s="113"/>
      <c r="E30" s="174"/>
    </row>
    <row r="31" ht="20.1" customHeight="1" spans="1:4">
      <c r="A31" s="57"/>
      <c r="B31" s="57"/>
      <c r="C31" s="59"/>
      <c r="D31" s="113"/>
    </row>
    <row r="32" ht="20.1" customHeight="1" spans="1:4">
      <c r="A32" s="57"/>
      <c r="B32" s="57"/>
      <c r="C32" s="59"/>
      <c r="D32" s="113"/>
    </row>
    <row r="33" ht="20.1" customHeight="1" spans="1:4">
      <c r="A33" s="57"/>
      <c r="B33" s="57"/>
      <c r="C33" s="59"/>
      <c r="D33" s="113"/>
    </row>
    <row r="34" ht="20.1" customHeight="1" spans="1:4">
      <c r="A34" s="57"/>
      <c r="B34" s="57"/>
      <c r="C34" s="59"/>
      <c r="D34" s="113"/>
    </row>
  </sheetData>
  <mergeCells count="2">
    <mergeCell ref="A1:D2"/>
    <mergeCell ref="A15:D16"/>
  </mergeCells>
  <pageMargins left="0.75" right="0.75" top="1" bottom="1" header="0.5" footer="0.5"/>
  <pageSetup paperSize="9" orientation="portrait"/>
  <headerFooter alignWithMargins="0" scaleWithDoc="0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539"/>
  <sheetViews>
    <sheetView topLeftCell="A82" workbookViewId="0">
      <selection activeCell="D122" sqref="D122"/>
    </sheetView>
  </sheetViews>
  <sheetFormatPr defaultColWidth="9" defaultRowHeight="14.25"/>
  <cols>
    <col min="1" max="1" width="9" style="109"/>
    <col min="2" max="2" width="25.25" style="109" customWidth="1"/>
    <col min="3" max="3" width="9" style="109"/>
    <col min="4" max="4" width="11.125" style="109"/>
    <col min="5" max="5" width="12.625" style="127"/>
    <col min="6" max="6" width="10.25" style="109" customWidth="1"/>
    <col min="7" max="9" width="9" style="109"/>
    <col min="10" max="10" width="14" style="109" customWidth="1"/>
    <col min="11" max="16384" width="9" style="109"/>
  </cols>
  <sheetData>
    <row r="1" spans="1:7">
      <c r="A1" s="128" t="s">
        <v>1612</v>
      </c>
      <c r="B1" s="128"/>
      <c r="C1" s="128"/>
      <c r="D1" s="128"/>
      <c r="E1" s="129"/>
      <c r="F1" s="128"/>
      <c r="G1" s="128"/>
    </row>
    <row r="2" spans="1:7">
      <c r="A2" s="130" t="s">
        <v>1879</v>
      </c>
      <c r="B2" s="130"/>
      <c r="C2" s="130"/>
      <c r="D2" s="130"/>
      <c r="E2" s="131"/>
      <c r="F2" s="130"/>
      <c r="G2" s="130"/>
    </row>
    <row r="3" spans="1:7">
      <c r="A3" s="132" t="s">
        <v>1880</v>
      </c>
      <c r="B3" s="132"/>
      <c r="C3" s="132"/>
      <c r="D3" s="132"/>
      <c r="E3" s="133"/>
      <c r="F3" s="134" t="s">
        <v>1614</v>
      </c>
      <c r="G3" s="134"/>
    </row>
    <row r="4" spans="1:7">
      <c r="A4" s="135" t="s">
        <v>1184</v>
      </c>
      <c r="B4" s="135"/>
      <c r="C4" s="135"/>
      <c r="D4" s="135"/>
      <c r="E4" s="136"/>
      <c r="F4" s="135"/>
      <c r="G4" s="135"/>
    </row>
    <row r="5" spans="1:7">
      <c r="A5" s="137" t="s">
        <v>354</v>
      </c>
      <c r="B5" s="137" t="s">
        <v>1586</v>
      </c>
      <c r="C5" s="137" t="s">
        <v>52</v>
      </c>
      <c r="D5" s="137" t="s">
        <v>53</v>
      </c>
      <c r="E5" s="138" t="s">
        <v>855</v>
      </c>
      <c r="F5" s="139" t="s">
        <v>306</v>
      </c>
      <c r="G5" s="137" t="s">
        <v>56</v>
      </c>
    </row>
    <row r="6" spans="1:7">
      <c r="A6" s="137" t="s">
        <v>57</v>
      </c>
      <c r="B6" s="137" t="s">
        <v>960</v>
      </c>
      <c r="C6" s="137"/>
      <c r="D6" s="137"/>
      <c r="E6" s="140"/>
      <c r="F6" s="141">
        <f>F7+F20+F21</f>
        <v>674.39594384</v>
      </c>
      <c r="G6" s="137"/>
    </row>
    <row r="7" spans="1:7">
      <c r="A7" s="137" t="s">
        <v>1534</v>
      </c>
      <c r="B7" s="137" t="s">
        <v>957</v>
      </c>
      <c r="C7" s="137"/>
      <c r="D7" s="137"/>
      <c r="E7" s="140"/>
      <c r="F7" s="141">
        <f>F8+F11+F16</f>
        <v>643.50758</v>
      </c>
      <c r="G7" s="137"/>
    </row>
    <row r="8" spans="1:7">
      <c r="A8" s="137">
        <v>1</v>
      </c>
      <c r="B8" s="137" t="s">
        <v>963</v>
      </c>
      <c r="C8" s="142"/>
      <c r="D8" s="137"/>
      <c r="E8" s="140"/>
      <c r="F8" s="143">
        <f>SUM(F9:F10)</f>
        <v>109.35904</v>
      </c>
      <c r="G8" s="137"/>
    </row>
    <row r="9" spans="1:7">
      <c r="A9" s="137"/>
      <c r="B9" s="142" t="s">
        <v>966</v>
      </c>
      <c r="C9" s="142" t="s">
        <v>965</v>
      </c>
      <c r="D9" s="137">
        <f>(0.185+1.108)*8</f>
        <v>10.344</v>
      </c>
      <c r="E9" s="140">
        <v>8.1</v>
      </c>
      <c r="F9" s="143">
        <f>E9*D9</f>
        <v>83.7864</v>
      </c>
      <c r="G9" s="137"/>
    </row>
    <row r="10" spans="1:7">
      <c r="A10" s="137"/>
      <c r="B10" s="142" t="s">
        <v>968</v>
      </c>
      <c r="C10" s="142" t="s">
        <v>965</v>
      </c>
      <c r="D10" s="137">
        <f>0.554*8</f>
        <v>4.432</v>
      </c>
      <c r="E10" s="140">
        <v>5.77</v>
      </c>
      <c r="F10" s="143">
        <f>E10*D10</f>
        <v>25.57264</v>
      </c>
      <c r="G10" s="137"/>
    </row>
    <row r="11" spans="1:7">
      <c r="A11" s="137">
        <v>2</v>
      </c>
      <c r="B11" s="137" t="s">
        <v>967</v>
      </c>
      <c r="C11" s="142"/>
      <c r="D11" s="137"/>
      <c r="E11" s="140"/>
      <c r="F11" s="143">
        <f>SUM(F12:F15)</f>
        <v>5.1764</v>
      </c>
      <c r="G11" s="137"/>
    </row>
    <row r="12" spans="1:7">
      <c r="A12" s="137"/>
      <c r="B12" s="137" t="s">
        <v>1615</v>
      </c>
      <c r="C12" s="142" t="s">
        <v>90</v>
      </c>
      <c r="D12" s="137">
        <v>10</v>
      </c>
      <c r="E12" s="140"/>
      <c r="F12" s="143"/>
      <c r="G12" s="137"/>
    </row>
    <row r="13" spans="1:7">
      <c r="A13" s="137"/>
      <c r="B13" s="137" t="s">
        <v>1616</v>
      </c>
      <c r="C13" s="142" t="s">
        <v>184</v>
      </c>
      <c r="D13" s="137">
        <v>1.288</v>
      </c>
      <c r="E13" s="140">
        <v>3.88</v>
      </c>
      <c r="F13" s="143">
        <f t="shared" ref="F13:F25" si="0">D13*E13</f>
        <v>4.99744</v>
      </c>
      <c r="G13" s="137"/>
    </row>
    <row r="14" spans="1:7">
      <c r="A14" s="137"/>
      <c r="B14" s="137" t="s">
        <v>1617</v>
      </c>
      <c r="C14" s="142" t="s">
        <v>184</v>
      </c>
      <c r="D14" s="137">
        <v>0.009</v>
      </c>
      <c r="E14" s="140">
        <v>11.44</v>
      </c>
      <c r="F14" s="143">
        <f t="shared" si="0"/>
        <v>0.10296</v>
      </c>
      <c r="G14" s="137"/>
    </row>
    <row r="15" spans="1:7">
      <c r="A15" s="137"/>
      <c r="B15" s="137" t="s">
        <v>1163</v>
      </c>
      <c r="C15" s="137" t="s">
        <v>423</v>
      </c>
      <c r="D15" s="137">
        <v>0.076</v>
      </c>
      <c r="E15" s="140">
        <v>1</v>
      </c>
      <c r="F15" s="143">
        <f t="shared" si="0"/>
        <v>0.076</v>
      </c>
      <c r="G15" s="137"/>
    </row>
    <row r="16" spans="1:7">
      <c r="A16" s="137">
        <v>3</v>
      </c>
      <c r="B16" s="137" t="s">
        <v>974</v>
      </c>
      <c r="C16" s="137"/>
      <c r="D16" s="137"/>
      <c r="E16" s="140"/>
      <c r="F16" s="143">
        <f>SUM(F17:F19)</f>
        <v>528.97214</v>
      </c>
      <c r="G16" s="137"/>
    </row>
    <row r="17" spans="1:7">
      <c r="A17" s="137"/>
      <c r="B17" s="137" t="s">
        <v>1881</v>
      </c>
      <c r="C17" s="137" t="s">
        <v>988</v>
      </c>
      <c r="D17" s="137">
        <v>0.076</v>
      </c>
      <c r="E17" s="140">
        <v>756.62</v>
      </c>
      <c r="F17" s="143">
        <f t="shared" si="0"/>
        <v>57.50312</v>
      </c>
      <c r="G17" s="137"/>
    </row>
    <row r="18" spans="1:7">
      <c r="A18" s="137"/>
      <c r="B18" s="137" t="s">
        <v>1882</v>
      </c>
      <c r="C18" s="137" t="s">
        <v>988</v>
      </c>
      <c r="D18" s="137">
        <v>0.018</v>
      </c>
      <c r="E18" s="140">
        <v>504.09</v>
      </c>
      <c r="F18" s="143">
        <f t="shared" si="0"/>
        <v>9.07362</v>
      </c>
      <c r="G18" s="137"/>
    </row>
    <row r="19" spans="1:7">
      <c r="A19" s="137"/>
      <c r="B19" s="137" t="s">
        <v>1883</v>
      </c>
      <c r="C19" s="137" t="s">
        <v>988</v>
      </c>
      <c r="D19" s="137">
        <v>1.786</v>
      </c>
      <c r="E19" s="140">
        <v>258.9</v>
      </c>
      <c r="F19" s="143">
        <f t="shared" si="0"/>
        <v>462.3954</v>
      </c>
      <c r="G19" s="137"/>
    </row>
    <row r="20" spans="1:7">
      <c r="A20" s="137" t="s">
        <v>1536</v>
      </c>
      <c r="B20" s="137" t="s">
        <v>977</v>
      </c>
      <c r="C20" s="144"/>
      <c r="D20" s="144">
        <f>取费表!C12</f>
        <v>0.048</v>
      </c>
      <c r="E20" s="140">
        <f>F7</f>
        <v>643.50758</v>
      </c>
      <c r="F20" s="143">
        <f t="shared" si="0"/>
        <v>30.88836384</v>
      </c>
      <c r="G20" s="137"/>
    </row>
    <row r="21" spans="1:7">
      <c r="A21" s="137"/>
      <c r="B21" s="137"/>
      <c r="C21" s="144"/>
      <c r="D21" s="144"/>
      <c r="E21" s="140"/>
      <c r="F21" s="143"/>
      <c r="G21" s="137"/>
    </row>
    <row r="22" spans="1:7">
      <c r="A22" s="137" t="s">
        <v>72</v>
      </c>
      <c r="B22" s="137" t="s">
        <v>973</v>
      </c>
      <c r="C22" s="144"/>
      <c r="D22" s="144">
        <f>取费表!E12</f>
        <v>0.0725</v>
      </c>
      <c r="E22" s="140">
        <f>F6</f>
        <v>674.39594384</v>
      </c>
      <c r="F22" s="143">
        <f t="shared" si="0"/>
        <v>48.8937059284</v>
      </c>
      <c r="G22" s="137"/>
    </row>
    <row r="23" spans="1:7">
      <c r="A23" s="137" t="s">
        <v>162</v>
      </c>
      <c r="B23" s="137" t="s">
        <v>975</v>
      </c>
      <c r="C23" s="145"/>
      <c r="D23" s="144">
        <f>取费表!F12</f>
        <v>0.05</v>
      </c>
      <c r="E23" s="140">
        <f>F6+F22</f>
        <v>723.2896497684</v>
      </c>
      <c r="F23" s="143">
        <f t="shared" si="0"/>
        <v>36.16448248842</v>
      </c>
      <c r="G23" s="137"/>
    </row>
    <row r="24" spans="1:7">
      <c r="A24" s="137" t="s">
        <v>214</v>
      </c>
      <c r="B24" s="137" t="s">
        <v>1596</v>
      </c>
      <c r="C24" s="145"/>
      <c r="D24" s="144">
        <v>0.09</v>
      </c>
      <c r="E24" s="140">
        <f>F6+F22+F23</f>
        <v>759.45413225682</v>
      </c>
      <c r="F24" s="143">
        <f t="shared" si="0"/>
        <v>68.3508719031138</v>
      </c>
      <c r="G24" s="137"/>
    </row>
    <row r="25" spans="1:7">
      <c r="A25" s="137"/>
      <c r="B25" s="137" t="s">
        <v>1192</v>
      </c>
      <c r="C25" s="145"/>
      <c r="D25" s="144">
        <f>D101</f>
        <v>0.05</v>
      </c>
      <c r="E25" s="140">
        <f>E24+F24</f>
        <v>827.805004159934</v>
      </c>
      <c r="F25" s="141">
        <f t="shared" si="0"/>
        <v>41.3902502079967</v>
      </c>
      <c r="G25" s="137"/>
    </row>
    <row r="26" spans="1:7">
      <c r="A26" s="137"/>
      <c r="B26" s="137" t="s">
        <v>1193</v>
      </c>
      <c r="C26" s="137"/>
      <c r="D26" s="137"/>
      <c r="E26" s="140"/>
      <c r="F26" s="141">
        <f>E25+F25</f>
        <v>869.19525436793</v>
      </c>
      <c r="G26" s="137"/>
    </row>
    <row r="27" spans="1:7">
      <c r="A27" s="128" t="s">
        <v>1612</v>
      </c>
      <c r="B27" s="128"/>
      <c r="C27" s="128"/>
      <c r="D27" s="128"/>
      <c r="E27" s="129"/>
      <c r="F27" s="128"/>
      <c r="G27" s="128"/>
    </row>
    <row r="28" spans="1:7">
      <c r="A28" s="130" t="s">
        <v>1884</v>
      </c>
      <c r="B28" s="130"/>
      <c r="C28" s="130"/>
      <c r="D28" s="130"/>
      <c r="E28" s="131"/>
      <c r="F28" s="130"/>
      <c r="G28" s="130"/>
    </row>
    <row r="29" spans="1:7">
      <c r="A29" s="132" t="s">
        <v>1885</v>
      </c>
      <c r="B29" s="132"/>
      <c r="C29" s="132"/>
      <c r="D29" s="132"/>
      <c r="E29" s="133"/>
      <c r="F29" s="134" t="s">
        <v>1614</v>
      </c>
      <c r="G29" s="134"/>
    </row>
    <row r="30" spans="1:7">
      <c r="A30" s="135" t="s">
        <v>1184</v>
      </c>
      <c r="B30" s="135"/>
      <c r="C30" s="135"/>
      <c r="D30" s="135"/>
      <c r="E30" s="136"/>
      <c r="F30" s="135"/>
      <c r="G30" s="135"/>
    </row>
    <row r="31" spans="1:7">
      <c r="A31" s="137" t="s">
        <v>354</v>
      </c>
      <c r="B31" s="137" t="s">
        <v>1586</v>
      </c>
      <c r="C31" s="137" t="s">
        <v>52</v>
      </c>
      <c r="D31" s="137" t="s">
        <v>53</v>
      </c>
      <c r="E31" s="138" t="s">
        <v>855</v>
      </c>
      <c r="F31" s="139" t="s">
        <v>306</v>
      </c>
      <c r="G31" s="137" t="s">
        <v>56</v>
      </c>
    </row>
    <row r="32" spans="1:7">
      <c r="A32" s="137" t="s">
        <v>57</v>
      </c>
      <c r="B32" s="137" t="s">
        <v>960</v>
      </c>
      <c r="C32" s="137"/>
      <c r="D32" s="137"/>
      <c r="E32" s="140"/>
      <c r="F32" s="141">
        <f>F33+F46+F47</f>
        <v>522.16551792</v>
      </c>
      <c r="G32" s="137"/>
    </row>
    <row r="33" spans="1:7">
      <c r="A33" s="137" t="s">
        <v>1534</v>
      </c>
      <c r="B33" s="137" t="s">
        <v>957</v>
      </c>
      <c r="C33" s="137"/>
      <c r="D33" s="137"/>
      <c r="E33" s="140"/>
      <c r="F33" s="141">
        <f>F34+F37+F42</f>
        <v>498.24954</v>
      </c>
      <c r="G33" s="137"/>
    </row>
    <row r="34" spans="1:7">
      <c r="A34" s="137">
        <v>1</v>
      </c>
      <c r="B34" s="137" t="s">
        <v>963</v>
      </c>
      <c r="C34" s="142"/>
      <c r="D34" s="137"/>
      <c r="E34" s="140"/>
      <c r="F34" s="143">
        <f>SUM(F35:F36)</f>
        <v>91.7076</v>
      </c>
      <c r="G34" s="137"/>
    </row>
    <row r="35" spans="1:7">
      <c r="A35" s="137"/>
      <c r="B35" s="142" t="s">
        <v>966</v>
      </c>
      <c r="C35" s="142" t="s">
        <v>965</v>
      </c>
      <c r="D35" s="137">
        <f>(0.929+0.155)*8</f>
        <v>8.672</v>
      </c>
      <c r="E35" s="140">
        <v>8.1</v>
      </c>
      <c r="F35" s="143">
        <f>E35*D35</f>
        <v>70.2432</v>
      </c>
      <c r="G35" s="137"/>
    </row>
    <row r="36" spans="1:7">
      <c r="A36" s="137"/>
      <c r="B36" s="142" t="s">
        <v>968</v>
      </c>
      <c r="C36" s="142" t="s">
        <v>965</v>
      </c>
      <c r="D36" s="137">
        <f>0.465*8</f>
        <v>3.72</v>
      </c>
      <c r="E36" s="140">
        <v>5.77</v>
      </c>
      <c r="F36" s="143">
        <f>E36*D36</f>
        <v>21.4644</v>
      </c>
      <c r="G36" s="137"/>
    </row>
    <row r="37" spans="1:7">
      <c r="A37" s="137">
        <v>2</v>
      </c>
      <c r="B37" s="137" t="s">
        <v>967</v>
      </c>
      <c r="C37" s="142"/>
      <c r="D37" s="137"/>
      <c r="E37" s="140"/>
      <c r="F37" s="143">
        <f>SUM(F38:F41)</f>
        <v>3.82646</v>
      </c>
      <c r="G37" s="137"/>
    </row>
    <row r="38" spans="1:7">
      <c r="A38" s="137"/>
      <c r="B38" s="137" t="s">
        <v>1615</v>
      </c>
      <c r="C38" s="142" t="s">
        <v>90</v>
      </c>
      <c r="D38" s="137">
        <v>10</v>
      </c>
      <c r="E38" s="140"/>
      <c r="F38" s="143"/>
      <c r="G38" s="137"/>
    </row>
    <row r="39" spans="1:7">
      <c r="A39" s="137"/>
      <c r="B39" s="137" t="s">
        <v>1616</v>
      </c>
      <c r="C39" s="142" t="s">
        <v>184</v>
      </c>
      <c r="D39" s="137">
        <v>0.951</v>
      </c>
      <c r="E39" s="140">
        <v>3.88</v>
      </c>
      <c r="F39" s="143">
        <f t="shared" ref="F39:F41" si="1">D39*E39</f>
        <v>3.68988</v>
      </c>
      <c r="G39" s="137"/>
    </row>
    <row r="40" spans="1:7">
      <c r="A40" s="137"/>
      <c r="B40" s="137" t="s">
        <v>1617</v>
      </c>
      <c r="C40" s="142" t="s">
        <v>184</v>
      </c>
      <c r="D40" s="137">
        <v>0.007</v>
      </c>
      <c r="E40" s="140">
        <v>11.44</v>
      </c>
      <c r="F40" s="143">
        <f t="shared" si="1"/>
        <v>0.08008</v>
      </c>
      <c r="G40" s="137"/>
    </row>
    <row r="41" spans="1:7">
      <c r="A41" s="137"/>
      <c r="B41" s="137" t="s">
        <v>1163</v>
      </c>
      <c r="C41" s="137" t="s">
        <v>423</v>
      </c>
      <c r="D41" s="137">
        <v>0.0565</v>
      </c>
      <c r="E41" s="140">
        <v>1</v>
      </c>
      <c r="F41" s="143">
        <f t="shared" si="1"/>
        <v>0.0565</v>
      </c>
      <c r="G41" s="137"/>
    </row>
    <row r="42" spans="1:7">
      <c r="A42" s="137">
        <v>3</v>
      </c>
      <c r="B42" s="137" t="s">
        <v>974</v>
      </c>
      <c r="C42" s="137"/>
      <c r="D42" s="137"/>
      <c r="E42" s="140"/>
      <c r="F42" s="143">
        <f>SUM(F43:F45)</f>
        <v>402.71548</v>
      </c>
      <c r="G42" s="137"/>
    </row>
    <row r="43" spans="1:7">
      <c r="A43" s="137"/>
      <c r="B43" s="137" t="s">
        <v>1881</v>
      </c>
      <c r="C43" s="137" t="s">
        <v>988</v>
      </c>
      <c r="D43" s="137">
        <v>0.05</v>
      </c>
      <c r="E43" s="140">
        <v>756.62</v>
      </c>
      <c r="F43" s="143">
        <f t="shared" ref="F43:F46" si="2">D43*E43</f>
        <v>37.831</v>
      </c>
      <c r="G43" s="137"/>
    </row>
    <row r="44" spans="1:7">
      <c r="A44" s="137"/>
      <c r="B44" s="137" t="s">
        <v>1882</v>
      </c>
      <c r="C44" s="137" t="s">
        <v>988</v>
      </c>
      <c r="D44" s="137">
        <v>0.012</v>
      </c>
      <c r="E44" s="140">
        <v>504.09</v>
      </c>
      <c r="F44" s="143">
        <f t="shared" si="2"/>
        <v>6.04908</v>
      </c>
      <c r="G44" s="137"/>
    </row>
    <row r="45" spans="1:7">
      <c r="A45" s="137"/>
      <c r="B45" s="137" t="s">
        <v>1883</v>
      </c>
      <c r="C45" s="137" t="s">
        <v>988</v>
      </c>
      <c r="D45" s="137">
        <v>1.386</v>
      </c>
      <c r="E45" s="140">
        <v>258.9</v>
      </c>
      <c r="F45" s="143">
        <f t="shared" si="2"/>
        <v>358.8354</v>
      </c>
      <c r="G45" s="137"/>
    </row>
    <row r="46" spans="1:7">
      <c r="A46" s="137" t="s">
        <v>1536</v>
      </c>
      <c r="B46" s="137" t="s">
        <v>977</v>
      </c>
      <c r="C46" s="144"/>
      <c r="D46" s="145">
        <f>D20</f>
        <v>0.048</v>
      </c>
      <c r="E46" s="140">
        <f>F33</f>
        <v>498.24954</v>
      </c>
      <c r="F46" s="143">
        <f t="shared" si="2"/>
        <v>23.91597792</v>
      </c>
      <c r="G46" s="137"/>
    </row>
    <row r="47" spans="1:7">
      <c r="A47" s="137"/>
      <c r="B47" s="137"/>
      <c r="C47" s="144"/>
      <c r="D47" s="145"/>
      <c r="E47" s="140"/>
      <c r="F47" s="143"/>
      <c r="G47" s="137"/>
    </row>
    <row r="48" spans="1:7">
      <c r="A48" s="137" t="s">
        <v>72</v>
      </c>
      <c r="B48" s="137" t="s">
        <v>973</v>
      </c>
      <c r="C48" s="144"/>
      <c r="D48" s="145">
        <f t="shared" ref="D48:D51" si="3">D22</f>
        <v>0.0725</v>
      </c>
      <c r="E48" s="140">
        <f>F32</f>
        <v>522.16551792</v>
      </c>
      <c r="F48" s="143">
        <f t="shared" ref="F48:F51" si="4">D48*E48</f>
        <v>37.8570000492</v>
      </c>
      <c r="G48" s="137"/>
    </row>
    <row r="49" spans="1:7">
      <c r="A49" s="137" t="s">
        <v>162</v>
      </c>
      <c r="B49" s="137" t="s">
        <v>975</v>
      </c>
      <c r="C49" s="145"/>
      <c r="D49" s="145">
        <f t="shared" si="3"/>
        <v>0.05</v>
      </c>
      <c r="E49" s="140">
        <f>F32+F48</f>
        <v>560.0225179692</v>
      </c>
      <c r="F49" s="143">
        <f t="shared" si="4"/>
        <v>28.00112589846</v>
      </c>
      <c r="G49" s="137"/>
    </row>
    <row r="50" spans="1:7">
      <c r="A50" s="137" t="s">
        <v>214</v>
      </c>
      <c r="B50" s="137" t="s">
        <v>1596</v>
      </c>
      <c r="C50" s="145"/>
      <c r="D50" s="145">
        <f t="shared" si="3"/>
        <v>0.09</v>
      </c>
      <c r="E50" s="140">
        <f>F32+F48+F49</f>
        <v>588.02364386766</v>
      </c>
      <c r="F50" s="143">
        <f t="shared" si="4"/>
        <v>52.9221279480894</v>
      </c>
      <c r="G50" s="137"/>
    </row>
    <row r="51" spans="1:7">
      <c r="A51" s="137"/>
      <c r="B51" s="137" t="s">
        <v>1192</v>
      </c>
      <c r="C51" s="145"/>
      <c r="D51" s="145">
        <f t="shared" si="3"/>
        <v>0.05</v>
      </c>
      <c r="E51" s="140">
        <f>E50+F50</f>
        <v>640.945771815749</v>
      </c>
      <c r="F51" s="141">
        <f t="shared" si="4"/>
        <v>32.0472885907875</v>
      </c>
      <c r="G51" s="137"/>
    </row>
    <row r="52" spans="1:7">
      <c r="A52" s="137"/>
      <c r="B52" s="137" t="s">
        <v>1193</v>
      </c>
      <c r="C52" s="137"/>
      <c r="D52" s="137"/>
      <c r="E52" s="140"/>
      <c r="F52" s="141">
        <f>E51+F51</f>
        <v>672.993060406537</v>
      </c>
      <c r="G52" s="137"/>
    </row>
    <row r="53" spans="1:7">
      <c r="A53" s="128" t="s">
        <v>1612</v>
      </c>
      <c r="B53" s="128"/>
      <c r="C53" s="128"/>
      <c r="D53" s="128"/>
      <c r="E53" s="129"/>
      <c r="F53" s="128"/>
      <c r="G53" s="128"/>
    </row>
    <row r="54" spans="1:7">
      <c r="A54" s="130" t="s">
        <v>1886</v>
      </c>
      <c r="B54" s="130"/>
      <c r="C54" s="130"/>
      <c r="D54" s="130"/>
      <c r="E54" s="131"/>
      <c r="F54" s="130"/>
      <c r="G54" s="130"/>
    </row>
    <row r="55" spans="1:7">
      <c r="A55" s="132" t="s">
        <v>1885</v>
      </c>
      <c r="B55" s="132"/>
      <c r="C55" s="132"/>
      <c r="D55" s="132"/>
      <c r="E55" s="133"/>
      <c r="F55" s="134" t="s">
        <v>1614</v>
      </c>
      <c r="G55" s="134"/>
    </row>
    <row r="56" spans="1:7">
      <c r="A56" s="135" t="s">
        <v>1184</v>
      </c>
      <c r="B56" s="135"/>
      <c r="C56" s="135"/>
      <c r="D56" s="135"/>
      <c r="E56" s="136"/>
      <c r="F56" s="135"/>
      <c r="G56" s="135"/>
    </row>
    <row r="57" spans="1:7">
      <c r="A57" s="137" t="s">
        <v>354</v>
      </c>
      <c r="B57" s="137" t="s">
        <v>1586</v>
      </c>
      <c r="C57" s="137" t="s">
        <v>52</v>
      </c>
      <c r="D57" s="137" t="s">
        <v>53</v>
      </c>
      <c r="E57" s="138" t="s">
        <v>855</v>
      </c>
      <c r="F57" s="139" t="s">
        <v>306</v>
      </c>
      <c r="G57" s="137" t="s">
        <v>56</v>
      </c>
    </row>
    <row r="58" spans="1:7">
      <c r="A58" s="137" t="s">
        <v>57</v>
      </c>
      <c r="B58" s="137" t="s">
        <v>960</v>
      </c>
      <c r="C58" s="137"/>
      <c r="D58" s="137"/>
      <c r="E58" s="140"/>
      <c r="F58" s="141">
        <f>F59+F72+F73</f>
        <v>377.49196848</v>
      </c>
      <c r="G58" s="137"/>
    </row>
    <row r="59" spans="1:7">
      <c r="A59" s="137" t="s">
        <v>1534</v>
      </c>
      <c r="B59" s="137" t="s">
        <v>957</v>
      </c>
      <c r="C59" s="137"/>
      <c r="D59" s="137"/>
      <c r="E59" s="140"/>
      <c r="F59" s="141">
        <f>F60+F63+F68</f>
        <v>360.20226</v>
      </c>
      <c r="G59" s="137"/>
    </row>
    <row r="60" spans="1:7">
      <c r="A60" s="137">
        <v>1</v>
      </c>
      <c r="B60" s="137" t="s">
        <v>963</v>
      </c>
      <c r="C60" s="142"/>
      <c r="D60" s="137"/>
      <c r="E60" s="140"/>
      <c r="F60" s="143">
        <f>SUM(F61:F62)</f>
        <v>74.60208</v>
      </c>
      <c r="G60" s="137"/>
    </row>
    <row r="61" spans="1:7">
      <c r="A61" s="137"/>
      <c r="B61" s="142" t="s">
        <v>966</v>
      </c>
      <c r="C61" s="142" t="s">
        <v>965</v>
      </c>
      <c r="D61" s="137">
        <f>(0.756+0.126)*8</f>
        <v>7.056</v>
      </c>
      <c r="E61" s="140">
        <v>8.1</v>
      </c>
      <c r="F61" s="143">
        <f>E61*D61</f>
        <v>57.1536</v>
      </c>
      <c r="G61" s="137"/>
    </row>
    <row r="62" spans="1:7">
      <c r="A62" s="137"/>
      <c r="B62" s="142" t="s">
        <v>968</v>
      </c>
      <c r="C62" s="142" t="s">
        <v>965</v>
      </c>
      <c r="D62" s="137">
        <f>0.378*8</f>
        <v>3.024</v>
      </c>
      <c r="E62" s="140">
        <v>5.77</v>
      </c>
      <c r="F62" s="143">
        <f>E62*D62</f>
        <v>17.44848</v>
      </c>
      <c r="G62" s="137"/>
    </row>
    <row r="63" spans="1:7">
      <c r="A63" s="137">
        <v>2</v>
      </c>
      <c r="B63" s="137" t="s">
        <v>967</v>
      </c>
      <c r="C63" s="142"/>
      <c r="D63" s="137"/>
      <c r="E63" s="140"/>
      <c r="F63" s="143">
        <f>SUM(F64:F67)</f>
        <v>2.32984</v>
      </c>
      <c r="G63" s="137"/>
    </row>
    <row r="64" spans="1:7">
      <c r="A64" s="137"/>
      <c r="B64" s="137" t="s">
        <v>1615</v>
      </c>
      <c r="C64" s="142" t="s">
        <v>90</v>
      </c>
      <c r="D64" s="137">
        <v>10</v>
      </c>
      <c r="E64" s="140"/>
      <c r="F64" s="143"/>
      <c r="G64" s="137"/>
    </row>
    <row r="65" spans="1:7">
      <c r="A65" s="137"/>
      <c r="B65" s="137" t="s">
        <v>1616</v>
      </c>
      <c r="C65" s="142" t="s">
        <v>184</v>
      </c>
      <c r="D65" s="137">
        <v>0.578</v>
      </c>
      <c r="E65" s="140">
        <v>3.88</v>
      </c>
      <c r="F65" s="143">
        <f t="shared" ref="F65:F67" si="5">D65*E65</f>
        <v>2.24264</v>
      </c>
      <c r="G65" s="137"/>
    </row>
    <row r="66" spans="1:7">
      <c r="A66" s="137"/>
      <c r="B66" s="137" t="s">
        <v>1617</v>
      </c>
      <c r="C66" s="142" t="s">
        <v>184</v>
      </c>
      <c r="D66" s="137">
        <v>0.005</v>
      </c>
      <c r="E66" s="140">
        <v>11.44</v>
      </c>
      <c r="F66" s="143">
        <f t="shared" si="5"/>
        <v>0.0572</v>
      </c>
      <c r="G66" s="137"/>
    </row>
    <row r="67" spans="1:7">
      <c r="A67" s="137"/>
      <c r="B67" s="137" t="s">
        <v>1163</v>
      </c>
      <c r="C67" s="137" t="s">
        <v>423</v>
      </c>
      <c r="D67" s="137">
        <v>0.03</v>
      </c>
      <c r="E67" s="140">
        <v>1</v>
      </c>
      <c r="F67" s="143">
        <f t="shared" si="5"/>
        <v>0.03</v>
      </c>
      <c r="G67" s="137"/>
    </row>
    <row r="68" spans="1:7">
      <c r="A68" s="137">
        <v>3</v>
      </c>
      <c r="B68" s="137" t="s">
        <v>974</v>
      </c>
      <c r="C68" s="137"/>
      <c r="D68" s="137"/>
      <c r="E68" s="140"/>
      <c r="F68" s="143">
        <f>SUM(F69:F71)</f>
        <v>283.27034</v>
      </c>
      <c r="G68" s="137"/>
    </row>
    <row r="69" spans="1:7">
      <c r="A69" s="137"/>
      <c r="B69" s="137" t="s">
        <v>1881</v>
      </c>
      <c r="C69" s="137" t="s">
        <v>988</v>
      </c>
      <c r="D69" s="137">
        <v>0.037</v>
      </c>
      <c r="E69" s="140">
        <v>756.62</v>
      </c>
      <c r="F69" s="143">
        <f t="shared" ref="F69:F72" si="6">D69*E69</f>
        <v>27.99494</v>
      </c>
      <c r="G69" s="137"/>
    </row>
    <row r="70" spans="1:7">
      <c r="A70" s="137"/>
      <c r="B70" s="137" t="s">
        <v>1882</v>
      </c>
      <c r="C70" s="137" t="s">
        <v>988</v>
      </c>
      <c r="D70" s="137"/>
      <c r="E70" s="140">
        <v>504.09</v>
      </c>
      <c r="F70" s="143">
        <f t="shared" si="6"/>
        <v>0</v>
      </c>
      <c r="G70" s="137"/>
    </row>
    <row r="71" spans="1:7">
      <c r="A71" s="137"/>
      <c r="B71" s="137" t="s">
        <v>1883</v>
      </c>
      <c r="C71" s="137" t="s">
        <v>988</v>
      </c>
      <c r="D71" s="137">
        <v>0.986</v>
      </c>
      <c r="E71" s="140">
        <v>258.9</v>
      </c>
      <c r="F71" s="143">
        <f t="shared" si="6"/>
        <v>255.2754</v>
      </c>
      <c r="G71" s="137"/>
    </row>
    <row r="72" spans="1:7">
      <c r="A72" s="137" t="s">
        <v>1536</v>
      </c>
      <c r="B72" s="137" t="s">
        <v>977</v>
      </c>
      <c r="C72" s="144"/>
      <c r="D72" s="145">
        <f>D46</f>
        <v>0.048</v>
      </c>
      <c r="E72" s="140">
        <f>F59</f>
        <v>360.20226</v>
      </c>
      <c r="F72" s="143">
        <f t="shared" si="6"/>
        <v>17.28970848</v>
      </c>
      <c r="G72" s="137"/>
    </row>
    <row r="73" spans="1:7">
      <c r="A73" s="137"/>
      <c r="B73" s="137"/>
      <c r="C73" s="144"/>
      <c r="D73" s="145"/>
      <c r="E73" s="140"/>
      <c r="F73" s="143"/>
      <c r="G73" s="137"/>
    </row>
    <row r="74" spans="1:7">
      <c r="A74" s="137" t="s">
        <v>72</v>
      </c>
      <c r="B74" s="137" t="s">
        <v>973</v>
      </c>
      <c r="C74" s="144"/>
      <c r="D74" s="145">
        <f t="shared" ref="D74:D77" si="7">D48</f>
        <v>0.0725</v>
      </c>
      <c r="E74" s="140">
        <f>F58</f>
        <v>377.49196848</v>
      </c>
      <c r="F74" s="143">
        <f t="shared" ref="F74:F77" si="8">D74*E74</f>
        <v>27.3681677148</v>
      </c>
      <c r="G74" s="137"/>
    </row>
    <row r="75" spans="1:7">
      <c r="A75" s="137" t="s">
        <v>162</v>
      </c>
      <c r="B75" s="137" t="s">
        <v>975</v>
      </c>
      <c r="C75" s="145"/>
      <c r="D75" s="145">
        <f t="shared" si="7"/>
        <v>0.05</v>
      </c>
      <c r="E75" s="140">
        <f>F58+F74</f>
        <v>404.8601361948</v>
      </c>
      <c r="F75" s="143">
        <f t="shared" si="8"/>
        <v>20.24300680974</v>
      </c>
      <c r="G75" s="137"/>
    </row>
    <row r="76" spans="1:7">
      <c r="A76" s="137" t="s">
        <v>214</v>
      </c>
      <c r="B76" s="137" t="s">
        <v>1596</v>
      </c>
      <c r="C76" s="145"/>
      <c r="D76" s="145">
        <f t="shared" si="7"/>
        <v>0.09</v>
      </c>
      <c r="E76" s="140">
        <f>F58+F74+F75</f>
        <v>425.10314300454</v>
      </c>
      <c r="F76" s="143">
        <f t="shared" si="8"/>
        <v>38.2592828704086</v>
      </c>
      <c r="G76" s="137"/>
    </row>
    <row r="77" spans="1:7">
      <c r="A77" s="137"/>
      <c r="B77" s="137" t="s">
        <v>1192</v>
      </c>
      <c r="C77" s="145"/>
      <c r="D77" s="145">
        <f t="shared" si="7"/>
        <v>0.05</v>
      </c>
      <c r="E77" s="140">
        <f>E76+F76</f>
        <v>463.362425874949</v>
      </c>
      <c r="F77" s="141">
        <f t="shared" si="8"/>
        <v>23.1681212937474</v>
      </c>
      <c r="G77" s="137"/>
    </row>
    <row r="78" spans="1:7">
      <c r="A78" s="137"/>
      <c r="B78" s="137" t="s">
        <v>1193</v>
      </c>
      <c r="C78" s="137"/>
      <c r="D78" s="137"/>
      <c r="E78" s="140"/>
      <c r="F78" s="141">
        <f>E77+F77</f>
        <v>486.530547168696</v>
      </c>
      <c r="G78" s="137"/>
    </row>
    <row r="79" spans="1:7">
      <c r="A79" s="128" t="s">
        <v>1612</v>
      </c>
      <c r="B79" s="128"/>
      <c r="C79" s="128"/>
      <c r="D79" s="128"/>
      <c r="E79" s="129"/>
      <c r="F79" s="128"/>
      <c r="G79" s="128"/>
    </row>
    <row r="80" spans="1:7">
      <c r="A80" s="130" t="s">
        <v>1887</v>
      </c>
      <c r="B80" s="130"/>
      <c r="C80" s="130"/>
      <c r="D80" s="130"/>
      <c r="E80" s="131"/>
      <c r="F80" s="130"/>
      <c r="G80" s="130"/>
    </row>
    <row r="81" spans="1:7">
      <c r="A81" s="132" t="s">
        <v>1885</v>
      </c>
      <c r="B81" s="132"/>
      <c r="C81" s="132"/>
      <c r="D81" s="132"/>
      <c r="E81" s="133"/>
      <c r="F81" s="134" t="s">
        <v>1614</v>
      </c>
      <c r="G81" s="134"/>
    </row>
    <row r="82" spans="1:7">
      <c r="A82" s="135" t="s">
        <v>1184</v>
      </c>
      <c r="B82" s="135"/>
      <c r="C82" s="135"/>
      <c r="D82" s="135"/>
      <c r="E82" s="136"/>
      <c r="F82" s="135"/>
      <c r="G82" s="135"/>
    </row>
    <row r="83" spans="1:7">
      <c r="A83" s="137" t="s">
        <v>354</v>
      </c>
      <c r="B83" s="137" t="s">
        <v>1586</v>
      </c>
      <c r="C83" s="137" t="s">
        <v>52</v>
      </c>
      <c r="D83" s="137" t="s">
        <v>53</v>
      </c>
      <c r="E83" s="138" t="s">
        <v>855</v>
      </c>
      <c r="F83" s="139" t="s">
        <v>306</v>
      </c>
      <c r="G83" s="137" t="s">
        <v>56</v>
      </c>
    </row>
    <row r="84" spans="1:7">
      <c r="A84" s="137" t="s">
        <v>57</v>
      </c>
      <c r="B84" s="137" t="s">
        <v>960</v>
      </c>
      <c r="C84" s="137"/>
      <c r="D84" s="137"/>
      <c r="E84" s="140"/>
      <c r="F84" s="141">
        <f>F85+F98+F99</f>
        <v>154.61756032</v>
      </c>
      <c r="G84" s="137"/>
    </row>
    <row r="85" spans="1:7">
      <c r="A85" s="137" t="s">
        <v>1534</v>
      </c>
      <c r="B85" s="137" t="s">
        <v>957</v>
      </c>
      <c r="C85" s="137"/>
      <c r="D85" s="137"/>
      <c r="E85" s="140"/>
      <c r="F85" s="141">
        <f>F86+F89+F94</f>
        <v>147.53584</v>
      </c>
      <c r="G85" s="137"/>
    </row>
    <row r="86" spans="1:7">
      <c r="A86" s="137">
        <v>1</v>
      </c>
      <c r="B86" s="137" t="s">
        <v>963</v>
      </c>
      <c r="C86" s="142"/>
      <c r="D86" s="137"/>
      <c r="E86" s="140"/>
      <c r="F86" s="143">
        <f>SUM(F87:F88)</f>
        <v>33.15648</v>
      </c>
      <c r="G86" s="137"/>
    </row>
    <row r="87" spans="1:7">
      <c r="A87" s="137"/>
      <c r="B87" s="142" t="s">
        <v>966</v>
      </c>
      <c r="C87" s="142" t="s">
        <v>965</v>
      </c>
      <c r="D87" s="137">
        <f>(0.336+0.056)*8</f>
        <v>3.136</v>
      </c>
      <c r="E87" s="140">
        <v>8.1</v>
      </c>
      <c r="F87" s="143">
        <f>E87*D87</f>
        <v>25.4016</v>
      </c>
      <c r="G87" s="137"/>
    </row>
    <row r="88" spans="1:7">
      <c r="A88" s="137"/>
      <c r="B88" s="142" t="s">
        <v>968</v>
      </c>
      <c r="C88" s="142" t="s">
        <v>965</v>
      </c>
      <c r="D88" s="137">
        <f>0.168*8</f>
        <v>1.344</v>
      </c>
      <c r="E88" s="140">
        <v>5.77</v>
      </c>
      <c r="F88" s="143">
        <f>E88*D88</f>
        <v>7.75488</v>
      </c>
      <c r="G88" s="137"/>
    </row>
    <row r="89" spans="1:7">
      <c r="A89" s="137">
        <v>2</v>
      </c>
      <c r="B89" s="137" t="s">
        <v>967</v>
      </c>
      <c r="C89" s="142"/>
      <c r="D89" s="137"/>
      <c r="E89" s="140"/>
      <c r="F89" s="143">
        <f>SUM(F90:F93)</f>
        <v>0.46336</v>
      </c>
      <c r="G89" s="137"/>
    </row>
    <row r="90" spans="1:7">
      <c r="A90" s="137"/>
      <c r="B90" s="137" t="s">
        <v>1615</v>
      </c>
      <c r="C90" s="142" t="s">
        <v>90</v>
      </c>
      <c r="D90" s="137">
        <v>10</v>
      </c>
      <c r="E90" s="140"/>
      <c r="F90" s="143"/>
      <c r="G90" s="137"/>
    </row>
    <row r="91" spans="1:7">
      <c r="A91" s="137"/>
      <c r="B91" s="137" t="s">
        <v>1616</v>
      </c>
      <c r="C91" s="142" t="s">
        <v>184</v>
      </c>
      <c r="D91" s="137">
        <v>0.108</v>
      </c>
      <c r="E91" s="140">
        <v>3.88</v>
      </c>
      <c r="F91" s="143">
        <f t="shared" ref="F91:F93" si="9">D91*E91</f>
        <v>0.41904</v>
      </c>
      <c r="G91" s="137"/>
    </row>
    <row r="92" spans="1:7">
      <c r="A92" s="137"/>
      <c r="B92" s="137" t="s">
        <v>1617</v>
      </c>
      <c r="C92" s="142" t="s">
        <v>184</v>
      </c>
      <c r="D92" s="137">
        <v>0.003</v>
      </c>
      <c r="E92" s="140">
        <v>11.44</v>
      </c>
      <c r="F92" s="143">
        <f t="shared" si="9"/>
        <v>0.03432</v>
      </c>
      <c r="G92" s="137"/>
    </row>
    <row r="93" spans="1:7">
      <c r="A93" s="137"/>
      <c r="B93" s="137" t="s">
        <v>1163</v>
      </c>
      <c r="C93" s="137" t="s">
        <v>423</v>
      </c>
      <c r="D93" s="137">
        <v>0.01</v>
      </c>
      <c r="E93" s="140">
        <v>1</v>
      </c>
      <c r="F93" s="143">
        <f t="shared" si="9"/>
        <v>0.01</v>
      </c>
      <c r="G93" s="137"/>
    </row>
    <row r="94" spans="1:7">
      <c r="A94" s="137">
        <v>3</v>
      </c>
      <c r="B94" s="137" t="s">
        <v>974</v>
      </c>
      <c r="C94" s="137"/>
      <c r="D94" s="137"/>
      <c r="E94" s="140"/>
      <c r="F94" s="143">
        <f>SUM(F95:F97)</f>
        <v>113.916</v>
      </c>
      <c r="G94" s="137"/>
    </row>
    <row r="95" spans="1:7">
      <c r="A95" s="137"/>
      <c r="B95" s="137" t="s">
        <v>1881</v>
      </c>
      <c r="C95" s="137" t="s">
        <v>405</v>
      </c>
      <c r="D95" s="137"/>
      <c r="E95" s="140">
        <v>756.62</v>
      </c>
      <c r="F95" s="143">
        <f t="shared" ref="F95:F98" si="10">D95*E95</f>
        <v>0</v>
      </c>
      <c r="G95" s="137"/>
    </row>
    <row r="96" spans="1:7">
      <c r="A96" s="137"/>
      <c r="B96" s="137" t="s">
        <v>1882</v>
      </c>
      <c r="C96" s="137" t="s">
        <v>405</v>
      </c>
      <c r="D96" s="137"/>
      <c r="E96" s="140">
        <v>504.09</v>
      </c>
      <c r="F96" s="143">
        <f t="shared" si="10"/>
        <v>0</v>
      </c>
      <c r="G96" s="137"/>
    </row>
    <row r="97" spans="1:7">
      <c r="A97" s="137"/>
      <c r="B97" s="137" t="s">
        <v>1883</v>
      </c>
      <c r="C97" s="137" t="s">
        <v>405</v>
      </c>
      <c r="D97" s="137">
        <v>0.44</v>
      </c>
      <c r="E97" s="140">
        <v>258.9</v>
      </c>
      <c r="F97" s="143">
        <f t="shared" si="10"/>
        <v>113.916</v>
      </c>
      <c r="G97" s="137"/>
    </row>
    <row r="98" spans="1:7">
      <c r="A98" s="137" t="s">
        <v>1536</v>
      </c>
      <c r="B98" s="137" t="s">
        <v>977</v>
      </c>
      <c r="C98" s="144"/>
      <c r="D98" s="145">
        <f>D72</f>
        <v>0.048</v>
      </c>
      <c r="E98" s="140">
        <f>F85</f>
        <v>147.53584</v>
      </c>
      <c r="F98" s="143">
        <f t="shared" si="10"/>
        <v>7.08172032</v>
      </c>
      <c r="G98" s="137"/>
    </row>
    <row r="99" spans="1:7">
      <c r="A99" s="137"/>
      <c r="B99" s="137"/>
      <c r="C99" s="144"/>
      <c r="D99" s="145"/>
      <c r="E99" s="140"/>
      <c r="F99" s="143"/>
      <c r="G99" s="137"/>
    </row>
    <row r="100" spans="1:7">
      <c r="A100" s="137" t="s">
        <v>72</v>
      </c>
      <c r="B100" s="137" t="s">
        <v>973</v>
      </c>
      <c r="C100" s="144"/>
      <c r="D100" s="145">
        <f t="shared" ref="D100:D103" si="11">D74</f>
        <v>0.0725</v>
      </c>
      <c r="E100" s="140">
        <f>F84</f>
        <v>154.61756032</v>
      </c>
      <c r="F100" s="143">
        <f t="shared" ref="F100:F103" si="12">D100*E100</f>
        <v>11.2097731232</v>
      </c>
      <c r="G100" s="137"/>
    </row>
    <row r="101" spans="1:7">
      <c r="A101" s="137" t="s">
        <v>162</v>
      </c>
      <c r="B101" s="137" t="s">
        <v>975</v>
      </c>
      <c r="C101" s="145"/>
      <c r="D101" s="145">
        <f t="shared" si="11"/>
        <v>0.05</v>
      </c>
      <c r="E101" s="140">
        <f>F84+F100</f>
        <v>165.8273334432</v>
      </c>
      <c r="F101" s="143">
        <f t="shared" si="12"/>
        <v>8.29136667216</v>
      </c>
      <c r="G101" s="137"/>
    </row>
    <row r="102" spans="1:7">
      <c r="A102" s="137" t="s">
        <v>214</v>
      </c>
      <c r="B102" s="137" t="s">
        <v>1596</v>
      </c>
      <c r="C102" s="145"/>
      <c r="D102" s="145">
        <f t="shared" si="11"/>
        <v>0.09</v>
      </c>
      <c r="E102" s="140">
        <f>F84+F100+F101</f>
        <v>174.11870011536</v>
      </c>
      <c r="F102" s="143">
        <f t="shared" si="12"/>
        <v>15.6706830103824</v>
      </c>
      <c r="G102" s="137"/>
    </row>
    <row r="103" spans="1:7">
      <c r="A103" s="137"/>
      <c r="B103" s="137" t="s">
        <v>1192</v>
      </c>
      <c r="C103" s="145"/>
      <c r="D103" s="145">
        <f t="shared" si="11"/>
        <v>0.05</v>
      </c>
      <c r="E103" s="140">
        <f>E102+F102</f>
        <v>189.789383125742</v>
      </c>
      <c r="F103" s="141">
        <f t="shared" si="12"/>
        <v>9.48946915628712</v>
      </c>
      <c r="G103" s="137"/>
    </row>
    <row r="104" spans="1:7">
      <c r="A104" s="137"/>
      <c r="B104" s="137" t="s">
        <v>1193</v>
      </c>
      <c r="C104" s="137"/>
      <c r="D104" s="137"/>
      <c r="E104" s="140"/>
      <c r="F104" s="141">
        <f>E103+F103</f>
        <v>199.27885228203</v>
      </c>
      <c r="G104" s="137"/>
    </row>
    <row r="105" spans="1:7">
      <c r="A105" s="146" t="s">
        <v>1888</v>
      </c>
      <c r="B105" s="146"/>
      <c r="C105" s="146"/>
      <c r="D105" s="146"/>
      <c r="E105" s="133"/>
      <c r="F105" s="134" t="s">
        <v>1614</v>
      </c>
      <c r="G105" s="134"/>
    </row>
    <row r="106" spans="1:7">
      <c r="A106" s="135" t="s">
        <v>1184</v>
      </c>
      <c r="B106" s="135"/>
      <c r="C106" s="135"/>
      <c r="D106" s="135"/>
      <c r="E106" s="136"/>
      <c r="F106" s="135"/>
      <c r="G106" s="135"/>
    </row>
    <row r="107" spans="1:7">
      <c r="A107" s="137" t="s">
        <v>354</v>
      </c>
      <c r="B107" s="137" t="s">
        <v>1586</v>
      </c>
      <c r="C107" s="137" t="s">
        <v>52</v>
      </c>
      <c r="D107" s="137" t="s">
        <v>53</v>
      </c>
      <c r="E107" s="138" t="s">
        <v>855</v>
      </c>
      <c r="F107" s="139" t="s">
        <v>306</v>
      </c>
      <c r="G107" s="137" t="s">
        <v>56</v>
      </c>
    </row>
    <row r="108" spans="1:7">
      <c r="A108" s="137" t="s">
        <v>57</v>
      </c>
      <c r="B108" s="137" t="s">
        <v>960</v>
      </c>
      <c r="C108" s="137"/>
      <c r="D108" s="137"/>
      <c r="E108" s="140"/>
      <c r="F108" s="141">
        <f>F109+F120+F121</f>
        <v>137.4658992</v>
      </c>
      <c r="G108" s="137"/>
    </row>
    <row r="109" spans="1:7">
      <c r="A109" s="137" t="s">
        <v>1534</v>
      </c>
      <c r="B109" s="137" t="s">
        <v>957</v>
      </c>
      <c r="C109" s="137"/>
      <c r="D109" s="137"/>
      <c r="E109" s="140"/>
      <c r="F109" s="141">
        <f>F110+F113+F118</f>
        <v>95.46243</v>
      </c>
      <c r="G109" s="137"/>
    </row>
    <row r="110" spans="1:7">
      <c r="A110" s="137">
        <v>1</v>
      </c>
      <c r="B110" s="137" t="s">
        <v>963</v>
      </c>
      <c r="C110" s="142"/>
      <c r="D110" s="137"/>
      <c r="E110" s="140"/>
      <c r="F110" s="143">
        <f>SUM(F111:F112)</f>
        <v>24.86736</v>
      </c>
      <c r="G110" s="137"/>
    </row>
    <row r="111" spans="1:7">
      <c r="A111" s="137"/>
      <c r="B111" s="142" t="s">
        <v>966</v>
      </c>
      <c r="C111" s="142" t="s">
        <v>965</v>
      </c>
      <c r="D111" s="137">
        <f>(0.252+0.042)*8</f>
        <v>2.352</v>
      </c>
      <c r="E111" s="140">
        <v>8.1</v>
      </c>
      <c r="F111" s="143">
        <f>E111*D111</f>
        <v>19.0512</v>
      </c>
      <c r="G111" s="137"/>
    </row>
    <row r="112" spans="1:7">
      <c r="A112" s="137"/>
      <c r="B112" s="142" t="s">
        <v>968</v>
      </c>
      <c r="C112" s="142" t="s">
        <v>965</v>
      </c>
      <c r="D112" s="137">
        <f>0.126*8</f>
        <v>1.008</v>
      </c>
      <c r="E112" s="140">
        <v>5.77</v>
      </c>
      <c r="F112" s="143">
        <f>E112*D112</f>
        <v>5.81616</v>
      </c>
      <c r="G112" s="137"/>
    </row>
    <row r="113" spans="1:7">
      <c r="A113" s="137">
        <v>2</v>
      </c>
      <c r="B113" s="137" t="s">
        <v>967</v>
      </c>
      <c r="C113" s="142"/>
      <c r="D113" s="137"/>
      <c r="E113" s="140"/>
      <c r="F113" s="143">
        <f>SUM(F114:F117)</f>
        <v>0.20824</v>
      </c>
      <c r="G113" s="137"/>
    </row>
    <row r="114" spans="1:7">
      <c r="A114" s="137"/>
      <c r="B114" s="137" t="s">
        <v>1615</v>
      </c>
      <c r="C114" s="142" t="s">
        <v>90</v>
      </c>
      <c r="D114" s="137">
        <v>10</v>
      </c>
      <c r="E114" s="140"/>
      <c r="F114" s="143"/>
      <c r="G114" s="137"/>
    </row>
    <row r="115" spans="1:7">
      <c r="A115" s="137"/>
      <c r="B115" s="137" t="s">
        <v>1616</v>
      </c>
      <c r="C115" s="142" t="s">
        <v>184</v>
      </c>
      <c r="D115" s="137">
        <v>0.047</v>
      </c>
      <c r="E115" s="140">
        <v>3.88</v>
      </c>
      <c r="F115" s="143">
        <f t="shared" ref="F115:F125" si="13">D115*E115</f>
        <v>0.18236</v>
      </c>
      <c r="G115" s="137"/>
    </row>
    <row r="116" spans="1:7">
      <c r="A116" s="137"/>
      <c r="B116" s="137" t="s">
        <v>1617</v>
      </c>
      <c r="C116" s="142" t="s">
        <v>184</v>
      </c>
      <c r="D116" s="137">
        <v>0.002</v>
      </c>
      <c r="E116" s="140">
        <v>11.44</v>
      </c>
      <c r="F116" s="143">
        <f t="shared" si="13"/>
        <v>0.02288</v>
      </c>
      <c r="G116" s="137"/>
    </row>
    <row r="117" spans="1:7">
      <c r="A117" s="137"/>
      <c r="B117" s="137" t="s">
        <v>1163</v>
      </c>
      <c r="C117" s="137"/>
      <c r="D117" s="137">
        <v>0.003</v>
      </c>
      <c r="E117" s="140">
        <v>1</v>
      </c>
      <c r="F117" s="147">
        <f>E117*D117</f>
        <v>0.003</v>
      </c>
      <c r="G117" s="137"/>
    </row>
    <row r="118" spans="1:7">
      <c r="A118" s="137">
        <v>3</v>
      </c>
      <c r="B118" s="137" t="s">
        <v>974</v>
      </c>
      <c r="C118" s="137"/>
      <c r="D118" s="137"/>
      <c r="E118" s="140"/>
      <c r="F118" s="143">
        <f>F119</f>
        <v>70.38683</v>
      </c>
      <c r="G118" s="137"/>
    </row>
    <row r="119" spans="1:7">
      <c r="A119" s="137"/>
      <c r="B119" s="137" t="s">
        <v>1618</v>
      </c>
      <c r="C119" s="137" t="s">
        <v>988</v>
      </c>
      <c r="D119" s="137">
        <f>0.271*8</f>
        <v>2.168</v>
      </c>
      <c r="E119" s="140">
        <f>259.73/8</f>
        <v>32.46625</v>
      </c>
      <c r="F119" s="143">
        <f t="shared" si="13"/>
        <v>70.38683</v>
      </c>
      <c r="G119" s="137"/>
    </row>
    <row r="120" spans="1:7">
      <c r="A120" s="137" t="s">
        <v>1536</v>
      </c>
      <c r="B120" s="137" t="s">
        <v>977</v>
      </c>
      <c r="C120" s="144"/>
      <c r="D120" s="145">
        <f t="shared" ref="D120:D125" si="14">D96</f>
        <v>0</v>
      </c>
      <c r="E120" s="140">
        <f>F109</f>
        <v>95.46243</v>
      </c>
      <c r="F120" s="143">
        <f t="shared" si="13"/>
        <v>0</v>
      </c>
      <c r="G120" s="137"/>
    </row>
    <row r="121" spans="1:7">
      <c r="A121" s="137" t="s">
        <v>1595</v>
      </c>
      <c r="B121" s="137" t="s">
        <v>1191</v>
      </c>
      <c r="C121" s="144"/>
      <c r="D121" s="145">
        <f t="shared" si="14"/>
        <v>0.44</v>
      </c>
      <c r="E121" s="140">
        <f>F109</f>
        <v>95.46243</v>
      </c>
      <c r="F121" s="143">
        <f t="shared" si="13"/>
        <v>42.0034692</v>
      </c>
      <c r="G121" s="137"/>
    </row>
    <row r="122" spans="1:7">
      <c r="A122" s="137" t="s">
        <v>72</v>
      </c>
      <c r="B122" s="137" t="s">
        <v>973</v>
      </c>
      <c r="C122" s="144"/>
      <c r="D122" s="145">
        <f t="shared" si="14"/>
        <v>0.048</v>
      </c>
      <c r="E122" s="140">
        <f>F108</f>
        <v>137.4658992</v>
      </c>
      <c r="F122" s="143">
        <f t="shared" si="13"/>
        <v>6.5983631616</v>
      </c>
      <c r="G122" s="137"/>
    </row>
    <row r="123" spans="1:7">
      <c r="A123" s="137" t="s">
        <v>162</v>
      </c>
      <c r="B123" s="137" t="s">
        <v>975</v>
      </c>
      <c r="C123" s="145"/>
      <c r="D123" s="145">
        <f t="shared" si="14"/>
        <v>0</v>
      </c>
      <c r="E123" s="140">
        <f>F108+F122</f>
        <v>144.0642623616</v>
      </c>
      <c r="F123" s="143">
        <f t="shared" si="13"/>
        <v>0</v>
      </c>
      <c r="G123" s="137"/>
    </row>
    <row r="124" spans="1:7">
      <c r="A124" s="137" t="s">
        <v>214</v>
      </c>
      <c r="B124" s="137" t="s">
        <v>1596</v>
      </c>
      <c r="C124" s="145"/>
      <c r="D124" s="145">
        <f t="shared" si="14"/>
        <v>0.0725</v>
      </c>
      <c r="E124" s="140">
        <f>F108+F122+F123</f>
        <v>144.0642623616</v>
      </c>
      <c r="F124" s="143">
        <f t="shared" si="13"/>
        <v>10.444659021216</v>
      </c>
      <c r="G124" s="137"/>
    </row>
    <row r="125" spans="1:7">
      <c r="A125" s="137"/>
      <c r="B125" s="137" t="s">
        <v>1192</v>
      </c>
      <c r="C125" s="145"/>
      <c r="D125" s="145">
        <f t="shared" si="14"/>
        <v>0.05</v>
      </c>
      <c r="E125" s="140">
        <f>E124+F124</f>
        <v>154.508921382816</v>
      </c>
      <c r="F125" s="141">
        <f t="shared" si="13"/>
        <v>7.7254460691408</v>
      </c>
      <c r="G125" s="137"/>
    </row>
    <row r="126" spans="1:7">
      <c r="A126" s="137"/>
      <c r="B126" s="137" t="s">
        <v>1193</v>
      </c>
      <c r="C126" s="137"/>
      <c r="D126" s="137"/>
      <c r="E126" s="140"/>
      <c r="F126" s="141">
        <f>E125+F125</f>
        <v>162.234367451957</v>
      </c>
      <c r="G126" s="137"/>
    </row>
    <row r="127" spans="1:7">
      <c r="A127" s="128" t="s">
        <v>1612</v>
      </c>
      <c r="B127" s="128"/>
      <c r="C127" s="128"/>
      <c r="D127" s="128"/>
      <c r="E127" s="129"/>
      <c r="F127" s="128"/>
      <c r="G127" s="128"/>
    </row>
    <row r="128" spans="1:7">
      <c r="A128" s="130" t="s">
        <v>1619</v>
      </c>
      <c r="B128" s="130"/>
      <c r="C128" s="130"/>
      <c r="D128" s="130"/>
      <c r="E128" s="131"/>
      <c r="F128" s="130"/>
      <c r="G128" s="130"/>
    </row>
    <row r="129" spans="1:7">
      <c r="A129" s="146" t="s">
        <v>1620</v>
      </c>
      <c r="B129" s="146"/>
      <c r="C129" s="146"/>
      <c r="D129" s="146"/>
      <c r="E129" s="133"/>
      <c r="F129" s="134" t="s">
        <v>1614</v>
      </c>
      <c r="G129" s="134"/>
    </row>
    <row r="130" spans="1:7">
      <c r="A130" s="135" t="s">
        <v>1184</v>
      </c>
      <c r="B130" s="135"/>
      <c r="C130" s="135"/>
      <c r="D130" s="135"/>
      <c r="E130" s="136"/>
      <c r="F130" s="135"/>
      <c r="G130" s="135"/>
    </row>
    <row r="131" spans="1:7">
      <c r="A131" s="137" t="s">
        <v>354</v>
      </c>
      <c r="B131" s="137" t="s">
        <v>1586</v>
      </c>
      <c r="C131" s="137" t="s">
        <v>52</v>
      </c>
      <c r="D131" s="137" t="s">
        <v>53</v>
      </c>
      <c r="E131" s="138" t="s">
        <v>855</v>
      </c>
      <c r="F131" s="139" t="s">
        <v>306</v>
      </c>
      <c r="G131" s="137" t="s">
        <v>56</v>
      </c>
    </row>
    <row r="132" spans="1:7">
      <c r="A132" s="137" t="s">
        <v>57</v>
      </c>
      <c r="B132" s="137" t="s">
        <v>960</v>
      </c>
      <c r="C132" s="137"/>
      <c r="D132" s="137"/>
      <c r="E132" s="140"/>
      <c r="F132" s="141">
        <f>F133+F144+F145</f>
        <v>112.310064</v>
      </c>
      <c r="G132" s="137"/>
    </row>
    <row r="133" spans="1:7">
      <c r="A133" s="137" t="s">
        <v>1534</v>
      </c>
      <c r="B133" s="137" t="s">
        <v>957</v>
      </c>
      <c r="C133" s="137"/>
      <c r="D133" s="137"/>
      <c r="E133" s="140"/>
      <c r="F133" s="141">
        <f>F134+F137+F142</f>
        <v>77.9931</v>
      </c>
      <c r="G133" s="137"/>
    </row>
    <row r="134" spans="1:7">
      <c r="A134" s="137">
        <v>1</v>
      </c>
      <c r="B134" s="137" t="s">
        <v>963</v>
      </c>
      <c r="C134" s="142"/>
      <c r="D134" s="137"/>
      <c r="E134" s="140"/>
      <c r="F134" s="143">
        <f>SUM(F135:F136)</f>
        <v>21.25008</v>
      </c>
      <c r="G134" s="137"/>
    </row>
    <row r="135" spans="1:7">
      <c r="A135" s="137"/>
      <c r="B135" s="142" t="s">
        <v>966</v>
      </c>
      <c r="C135" s="142" t="s">
        <v>965</v>
      </c>
      <c r="D135" s="137">
        <f>(0.215+0.036)*8</f>
        <v>2.008</v>
      </c>
      <c r="E135" s="140">
        <v>8.1</v>
      </c>
      <c r="F135" s="143">
        <f>E135*D135</f>
        <v>16.2648</v>
      </c>
      <c r="G135" s="137"/>
    </row>
    <row r="136" spans="1:7">
      <c r="A136" s="137"/>
      <c r="B136" s="142" t="s">
        <v>968</v>
      </c>
      <c r="C136" s="142" t="s">
        <v>965</v>
      </c>
      <c r="D136" s="137">
        <f>0.108*8</f>
        <v>0.864</v>
      </c>
      <c r="E136" s="140">
        <v>5.77</v>
      </c>
      <c r="F136" s="143">
        <f>E136*D136</f>
        <v>4.98528</v>
      </c>
      <c r="G136" s="137"/>
    </row>
    <row r="137" spans="1:7">
      <c r="A137" s="137">
        <v>2</v>
      </c>
      <c r="B137" s="137" t="s">
        <v>967</v>
      </c>
      <c r="C137" s="142"/>
      <c r="D137" s="137"/>
      <c r="E137" s="140"/>
      <c r="F137" s="143">
        <f>SUM(F138:F141)</f>
        <v>0.12188</v>
      </c>
      <c r="G137" s="137"/>
    </row>
    <row r="138" spans="1:7">
      <c r="A138" s="137"/>
      <c r="B138" s="137" t="s">
        <v>1615</v>
      </c>
      <c r="C138" s="142" t="s">
        <v>90</v>
      </c>
      <c r="D138" s="137">
        <v>10</v>
      </c>
      <c r="E138" s="140"/>
      <c r="F138" s="143"/>
      <c r="G138" s="137"/>
    </row>
    <row r="139" spans="1:7">
      <c r="A139" s="137"/>
      <c r="B139" s="137" t="s">
        <v>1616</v>
      </c>
      <c r="C139" s="142" t="s">
        <v>184</v>
      </c>
      <c r="D139" s="137">
        <v>0.025</v>
      </c>
      <c r="E139" s="140">
        <v>3.88</v>
      </c>
      <c r="F139" s="143">
        <f t="shared" ref="F139:F149" si="15">D139*E139</f>
        <v>0.097</v>
      </c>
      <c r="G139" s="137"/>
    </row>
    <row r="140" spans="1:7">
      <c r="A140" s="137"/>
      <c r="B140" s="137" t="s">
        <v>1617</v>
      </c>
      <c r="C140" s="142" t="s">
        <v>184</v>
      </c>
      <c r="D140" s="137">
        <v>0.002</v>
      </c>
      <c r="E140" s="140">
        <v>11.44</v>
      </c>
      <c r="F140" s="143">
        <f t="shared" si="15"/>
        <v>0.02288</v>
      </c>
      <c r="G140" s="137"/>
    </row>
    <row r="141" spans="1:7">
      <c r="A141" s="137"/>
      <c r="B141" s="137" t="s">
        <v>1163</v>
      </c>
      <c r="C141" s="137"/>
      <c r="D141" s="137">
        <v>0.002</v>
      </c>
      <c r="E141" s="140">
        <v>1</v>
      </c>
      <c r="F141" s="147">
        <f>E141*D141</f>
        <v>0.002</v>
      </c>
      <c r="G141" s="137"/>
    </row>
    <row r="142" spans="1:7">
      <c r="A142" s="137">
        <v>3</v>
      </c>
      <c r="B142" s="137" t="s">
        <v>974</v>
      </c>
      <c r="C142" s="137"/>
      <c r="D142" s="137"/>
      <c r="E142" s="140"/>
      <c r="F142" s="143">
        <f>F143</f>
        <v>56.62114</v>
      </c>
      <c r="G142" s="137"/>
    </row>
    <row r="143" spans="1:7">
      <c r="A143" s="137"/>
      <c r="B143" s="137" t="s">
        <v>1618</v>
      </c>
      <c r="C143" s="137" t="s">
        <v>988</v>
      </c>
      <c r="D143" s="137">
        <f>0.218*8</f>
        <v>1.744</v>
      </c>
      <c r="E143" s="140">
        <f>259.73/8</f>
        <v>32.46625</v>
      </c>
      <c r="F143" s="143">
        <f t="shared" si="15"/>
        <v>56.62114</v>
      </c>
      <c r="G143" s="137"/>
    </row>
    <row r="144" spans="1:7">
      <c r="A144" s="137" t="s">
        <v>1536</v>
      </c>
      <c r="B144" s="137" t="s">
        <v>977</v>
      </c>
      <c r="C144" s="144"/>
      <c r="D144" s="145">
        <f t="shared" ref="D144:D149" si="16">D120</f>
        <v>0</v>
      </c>
      <c r="E144" s="140">
        <f>F133</f>
        <v>77.9931</v>
      </c>
      <c r="F144" s="143">
        <f t="shared" si="15"/>
        <v>0</v>
      </c>
      <c r="G144" s="137"/>
    </row>
    <row r="145" spans="1:7">
      <c r="A145" s="137" t="s">
        <v>1595</v>
      </c>
      <c r="B145" s="137" t="s">
        <v>1191</v>
      </c>
      <c r="C145" s="144"/>
      <c r="D145" s="145">
        <f t="shared" si="16"/>
        <v>0.44</v>
      </c>
      <c r="E145" s="140">
        <f>F133</f>
        <v>77.9931</v>
      </c>
      <c r="F145" s="143">
        <f t="shared" si="15"/>
        <v>34.316964</v>
      </c>
      <c r="G145" s="137"/>
    </row>
    <row r="146" spans="1:7">
      <c r="A146" s="137" t="s">
        <v>72</v>
      </c>
      <c r="B146" s="137" t="s">
        <v>973</v>
      </c>
      <c r="C146" s="144"/>
      <c r="D146" s="145">
        <f t="shared" si="16"/>
        <v>0.048</v>
      </c>
      <c r="E146" s="140">
        <f>F132</f>
        <v>112.310064</v>
      </c>
      <c r="F146" s="143">
        <f t="shared" si="15"/>
        <v>5.390883072</v>
      </c>
      <c r="G146" s="137"/>
    </row>
    <row r="147" spans="1:7">
      <c r="A147" s="137" t="s">
        <v>162</v>
      </c>
      <c r="B147" s="137" t="s">
        <v>975</v>
      </c>
      <c r="C147" s="145"/>
      <c r="D147" s="145">
        <f t="shared" si="16"/>
        <v>0</v>
      </c>
      <c r="E147" s="140">
        <f>F132+F146</f>
        <v>117.700947072</v>
      </c>
      <c r="F147" s="143">
        <f t="shared" si="15"/>
        <v>0</v>
      </c>
      <c r="G147" s="137"/>
    </row>
    <row r="148" spans="1:7">
      <c r="A148" s="137" t="s">
        <v>214</v>
      </c>
      <c r="B148" s="137" t="s">
        <v>1596</v>
      </c>
      <c r="C148" s="145"/>
      <c r="D148" s="145">
        <f t="shared" si="16"/>
        <v>0.0725</v>
      </c>
      <c r="E148" s="140">
        <f>F132+F146+F147</f>
        <v>117.700947072</v>
      </c>
      <c r="F148" s="143">
        <f t="shared" si="15"/>
        <v>8.53331866272</v>
      </c>
      <c r="G148" s="137"/>
    </row>
    <row r="149" spans="1:7">
      <c r="A149" s="137"/>
      <c r="B149" s="137" t="s">
        <v>1192</v>
      </c>
      <c r="C149" s="145"/>
      <c r="D149" s="145">
        <f t="shared" si="16"/>
        <v>0.05</v>
      </c>
      <c r="E149" s="140">
        <f>E148+F148</f>
        <v>126.23426573472</v>
      </c>
      <c r="F149" s="141">
        <f t="shared" si="15"/>
        <v>6.311713286736</v>
      </c>
      <c r="G149" s="137"/>
    </row>
    <row r="150" spans="1:7">
      <c r="A150" s="137"/>
      <c r="B150" s="137" t="s">
        <v>1193</v>
      </c>
      <c r="C150" s="137"/>
      <c r="D150" s="137"/>
      <c r="E150" s="140"/>
      <c r="F150" s="141">
        <f>E149+F149</f>
        <v>132.545979021456</v>
      </c>
      <c r="G150" s="137"/>
    </row>
    <row r="151" spans="1:7">
      <c r="A151" s="128" t="s">
        <v>1612</v>
      </c>
      <c r="B151" s="128"/>
      <c r="C151" s="128"/>
      <c r="D151" s="128"/>
      <c r="E151" s="129"/>
      <c r="F151" s="128"/>
      <c r="G151" s="128"/>
    </row>
    <row r="152" spans="1:7">
      <c r="A152" s="130" t="s">
        <v>1621</v>
      </c>
      <c r="B152" s="130"/>
      <c r="C152" s="130"/>
      <c r="D152" s="130"/>
      <c r="E152" s="131"/>
      <c r="F152" s="130"/>
      <c r="G152" s="130"/>
    </row>
    <row r="153" spans="1:7">
      <c r="A153" s="146" t="s">
        <v>1622</v>
      </c>
      <c r="B153" s="146"/>
      <c r="C153" s="146"/>
      <c r="D153" s="146"/>
      <c r="E153" s="133"/>
      <c r="F153" s="134" t="s">
        <v>1614</v>
      </c>
      <c r="G153" s="134"/>
    </row>
    <row r="154" spans="1:7">
      <c r="A154" s="135" t="s">
        <v>1184</v>
      </c>
      <c r="B154" s="135"/>
      <c r="C154" s="135"/>
      <c r="D154" s="135"/>
      <c r="E154" s="136"/>
      <c r="F154" s="135"/>
      <c r="G154" s="135"/>
    </row>
    <row r="155" spans="1:7">
      <c r="A155" s="137" t="s">
        <v>354</v>
      </c>
      <c r="B155" s="137" t="s">
        <v>1586</v>
      </c>
      <c r="C155" s="137" t="s">
        <v>52</v>
      </c>
      <c r="D155" s="137" t="s">
        <v>53</v>
      </c>
      <c r="E155" s="138" t="s">
        <v>855</v>
      </c>
      <c r="F155" s="139" t="s">
        <v>306</v>
      </c>
      <c r="G155" s="137" t="s">
        <v>56</v>
      </c>
    </row>
    <row r="156" spans="1:7">
      <c r="A156" s="137" t="s">
        <v>57</v>
      </c>
      <c r="B156" s="137" t="s">
        <v>960</v>
      </c>
      <c r="C156" s="137"/>
      <c r="D156" s="137"/>
      <c r="E156" s="140"/>
      <c r="F156" s="141">
        <f>F157+F168+F169</f>
        <v>87.1556688</v>
      </c>
      <c r="G156" s="137"/>
    </row>
    <row r="157" spans="1:7">
      <c r="A157" s="137" t="s">
        <v>1534</v>
      </c>
      <c r="B157" s="137" t="s">
        <v>957</v>
      </c>
      <c r="C157" s="137"/>
      <c r="D157" s="137"/>
      <c r="E157" s="140"/>
      <c r="F157" s="141">
        <f>F158+F161+F166</f>
        <v>60.52477</v>
      </c>
      <c r="G157" s="137"/>
    </row>
    <row r="158" spans="1:7">
      <c r="A158" s="137">
        <v>1</v>
      </c>
      <c r="B158" s="137" t="s">
        <v>963</v>
      </c>
      <c r="C158" s="142"/>
      <c r="D158" s="137"/>
      <c r="E158" s="140"/>
      <c r="F158" s="143">
        <f>SUM(F159:F160)</f>
        <v>17.6328</v>
      </c>
      <c r="G158" s="137"/>
    </row>
    <row r="159" spans="1:7">
      <c r="A159" s="137"/>
      <c r="B159" s="142" t="s">
        <v>966</v>
      </c>
      <c r="C159" s="142" t="s">
        <v>965</v>
      </c>
      <c r="D159" s="137">
        <f>(0.215+0.036-0.043)*8</f>
        <v>1.664</v>
      </c>
      <c r="E159" s="140">
        <v>8.1</v>
      </c>
      <c r="F159" s="143">
        <f>E159*D159</f>
        <v>13.4784</v>
      </c>
      <c r="G159" s="137"/>
    </row>
    <row r="160" spans="1:7">
      <c r="A160" s="137"/>
      <c r="B160" s="142" t="s">
        <v>968</v>
      </c>
      <c r="C160" s="142" t="s">
        <v>965</v>
      </c>
      <c r="D160" s="137">
        <f>0.108*8-0.018*8</f>
        <v>0.72</v>
      </c>
      <c r="E160" s="140">
        <v>5.77</v>
      </c>
      <c r="F160" s="143">
        <f>E160*D160</f>
        <v>4.1544</v>
      </c>
      <c r="G160" s="137"/>
    </row>
    <row r="161" spans="1:7">
      <c r="A161" s="137">
        <v>2</v>
      </c>
      <c r="B161" s="137" t="s">
        <v>967</v>
      </c>
      <c r="C161" s="142"/>
      <c r="D161" s="137"/>
      <c r="E161" s="140"/>
      <c r="F161" s="143">
        <f>SUM(F162:F165)</f>
        <v>0.03652</v>
      </c>
      <c r="G161" s="137"/>
    </row>
    <row r="162" spans="1:7">
      <c r="A162" s="137"/>
      <c r="B162" s="137" t="s">
        <v>1615</v>
      </c>
      <c r="C162" s="142" t="s">
        <v>90</v>
      </c>
      <c r="D162" s="137">
        <v>10</v>
      </c>
      <c r="E162" s="140"/>
      <c r="F162" s="143"/>
      <c r="G162" s="137"/>
    </row>
    <row r="163" spans="1:7">
      <c r="A163" s="137"/>
      <c r="B163" s="137" t="s">
        <v>1616</v>
      </c>
      <c r="C163" s="142" t="s">
        <v>184</v>
      </c>
      <c r="D163" s="137">
        <f>0.025-0.022</f>
        <v>0.003</v>
      </c>
      <c r="E163" s="140">
        <v>3.88</v>
      </c>
      <c r="F163" s="143">
        <f t="shared" ref="F163:F173" si="17">D163*E163</f>
        <v>0.01164</v>
      </c>
      <c r="G163" s="137"/>
    </row>
    <row r="164" spans="1:7">
      <c r="A164" s="137"/>
      <c r="B164" s="137" t="s">
        <v>1617</v>
      </c>
      <c r="C164" s="142" t="s">
        <v>184</v>
      </c>
      <c r="D164" s="137">
        <v>0.002</v>
      </c>
      <c r="E164" s="140">
        <v>11.44</v>
      </c>
      <c r="F164" s="143">
        <f t="shared" si="17"/>
        <v>0.02288</v>
      </c>
      <c r="G164" s="137"/>
    </row>
    <row r="165" spans="1:7">
      <c r="A165" s="137"/>
      <c r="B165" s="137" t="s">
        <v>1163</v>
      </c>
      <c r="C165" s="137"/>
      <c r="D165" s="137">
        <v>0.002</v>
      </c>
      <c r="E165" s="140">
        <v>1</v>
      </c>
      <c r="F165" s="147">
        <f>E165*D165</f>
        <v>0.002</v>
      </c>
      <c r="G165" s="137"/>
    </row>
    <row r="166" spans="1:7">
      <c r="A166" s="137">
        <v>3</v>
      </c>
      <c r="B166" s="137" t="s">
        <v>974</v>
      </c>
      <c r="C166" s="137"/>
      <c r="D166" s="137"/>
      <c r="E166" s="140"/>
      <c r="F166" s="143">
        <f>F167</f>
        <v>42.85545</v>
      </c>
      <c r="G166" s="137"/>
    </row>
    <row r="167" spans="1:7">
      <c r="A167" s="137"/>
      <c r="B167" s="137" t="s">
        <v>1618</v>
      </c>
      <c r="C167" s="137" t="s">
        <v>988</v>
      </c>
      <c r="D167" s="137">
        <f>0.218*8-0.053*8</f>
        <v>1.32</v>
      </c>
      <c r="E167" s="140">
        <f>259.73/8</f>
        <v>32.46625</v>
      </c>
      <c r="F167" s="143">
        <f t="shared" si="17"/>
        <v>42.85545</v>
      </c>
      <c r="G167" s="137"/>
    </row>
    <row r="168" spans="1:7">
      <c r="A168" s="137" t="s">
        <v>1536</v>
      </c>
      <c r="B168" s="137" t="s">
        <v>977</v>
      </c>
      <c r="C168" s="144"/>
      <c r="D168" s="145">
        <f t="shared" ref="D168:D173" si="18">D144</f>
        <v>0</v>
      </c>
      <c r="E168" s="140">
        <f>F157</f>
        <v>60.52477</v>
      </c>
      <c r="F168" s="143">
        <f t="shared" si="17"/>
        <v>0</v>
      </c>
      <c r="G168" s="137"/>
    </row>
    <row r="169" spans="1:7">
      <c r="A169" s="137" t="s">
        <v>1595</v>
      </c>
      <c r="B169" s="137" t="s">
        <v>1191</v>
      </c>
      <c r="C169" s="144"/>
      <c r="D169" s="145">
        <f t="shared" si="18"/>
        <v>0.44</v>
      </c>
      <c r="E169" s="140">
        <f>F157</f>
        <v>60.52477</v>
      </c>
      <c r="F169" s="143">
        <f t="shared" si="17"/>
        <v>26.6308988</v>
      </c>
      <c r="G169" s="137"/>
    </row>
    <row r="170" spans="1:7">
      <c r="A170" s="137" t="s">
        <v>72</v>
      </c>
      <c r="B170" s="137" t="s">
        <v>973</v>
      </c>
      <c r="C170" s="144"/>
      <c r="D170" s="145">
        <f t="shared" si="18"/>
        <v>0.048</v>
      </c>
      <c r="E170" s="140">
        <f>F156</f>
        <v>87.1556688</v>
      </c>
      <c r="F170" s="143">
        <f t="shared" si="17"/>
        <v>4.1834721024</v>
      </c>
      <c r="G170" s="137"/>
    </row>
    <row r="171" spans="1:7">
      <c r="A171" s="137" t="s">
        <v>162</v>
      </c>
      <c r="B171" s="137" t="s">
        <v>975</v>
      </c>
      <c r="C171" s="145"/>
      <c r="D171" s="145">
        <f t="shared" si="18"/>
        <v>0</v>
      </c>
      <c r="E171" s="140">
        <f>F156+F170</f>
        <v>91.3391409024</v>
      </c>
      <c r="F171" s="143">
        <f t="shared" si="17"/>
        <v>0</v>
      </c>
      <c r="G171" s="137"/>
    </row>
    <row r="172" spans="1:7">
      <c r="A172" s="137" t="s">
        <v>214</v>
      </c>
      <c r="B172" s="137" t="s">
        <v>1596</v>
      </c>
      <c r="C172" s="145"/>
      <c r="D172" s="145">
        <f t="shared" si="18"/>
        <v>0.0725</v>
      </c>
      <c r="E172" s="140">
        <f>F156+F170+F171</f>
        <v>91.3391409024</v>
      </c>
      <c r="F172" s="143">
        <f t="shared" si="17"/>
        <v>6.622087715424</v>
      </c>
      <c r="G172" s="137"/>
    </row>
    <row r="173" spans="1:7">
      <c r="A173" s="137"/>
      <c r="B173" s="137" t="s">
        <v>1192</v>
      </c>
      <c r="C173" s="145"/>
      <c r="D173" s="145">
        <f t="shared" si="18"/>
        <v>0.05</v>
      </c>
      <c r="E173" s="140">
        <f>E172+F172</f>
        <v>97.961228617824</v>
      </c>
      <c r="F173" s="141">
        <f t="shared" si="17"/>
        <v>4.8980614308912</v>
      </c>
      <c r="G173" s="137"/>
    </row>
    <row r="174" spans="1:7">
      <c r="A174" s="137"/>
      <c r="B174" s="137" t="s">
        <v>1193</v>
      </c>
      <c r="C174" s="137"/>
      <c r="D174" s="137"/>
      <c r="E174" s="140"/>
      <c r="F174" s="141">
        <f>E173+F173</f>
        <v>102.859290048715</v>
      </c>
      <c r="G174" s="137"/>
    </row>
    <row r="175" spans="1:7">
      <c r="A175" s="128" t="s">
        <v>1612</v>
      </c>
      <c r="B175" s="128"/>
      <c r="C175" s="128"/>
      <c r="D175" s="128"/>
      <c r="E175" s="129"/>
      <c r="F175" s="128"/>
      <c r="G175" s="128"/>
    </row>
    <row r="176" spans="1:7">
      <c r="A176" s="130" t="s">
        <v>1889</v>
      </c>
      <c r="B176" s="130"/>
      <c r="C176" s="130"/>
      <c r="D176" s="130"/>
      <c r="E176" s="131"/>
      <c r="F176" s="130"/>
      <c r="G176" s="130"/>
    </row>
    <row r="177" spans="1:7">
      <c r="A177" s="146" t="s">
        <v>1890</v>
      </c>
      <c r="B177" s="146"/>
      <c r="C177" s="146"/>
      <c r="D177" s="146"/>
      <c r="E177" s="133"/>
      <c r="F177" s="134" t="s">
        <v>1614</v>
      </c>
      <c r="G177" s="134"/>
    </row>
    <row r="178" spans="1:7">
      <c r="A178" s="135" t="s">
        <v>1184</v>
      </c>
      <c r="B178" s="135"/>
      <c r="C178" s="135"/>
      <c r="D178" s="135"/>
      <c r="E178" s="136"/>
      <c r="F178" s="135"/>
      <c r="G178" s="135"/>
    </row>
    <row r="179" spans="1:7">
      <c r="A179" s="137" t="s">
        <v>354</v>
      </c>
      <c r="B179" s="137" t="s">
        <v>1586</v>
      </c>
      <c r="C179" s="137" t="s">
        <v>52</v>
      </c>
      <c r="D179" s="137" t="s">
        <v>53</v>
      </c>
      <c r="E179" s="138" t="s">
        <v>855</v>
      </c>
      <c r="F179" s="139" t="s">
        <v>306</v>
      </c>
      <c r="G179" s="137" t="s">
        <v>56</v>
      </c>
    </row>
    <row r="180" spans="1:7">
      <c r="A180" s="137" t="s">
        <v>57</v>
      </c>
      <c r="B180" s="137" t="s">
        <v>960</v>
      </c>
      <c r="C180" s="137"/>
      <c r="D180" s="137"/>
      <c r="E180" s="140"/>
      <c r="F180" s="141">
        <f>F181+F189+F190</f>
        <v>158.5646167296</v>
      </c>
      <c r="G180" s="137"/>
    </row>
    <row r="181" spans="1:7">
      <c r="A181" s="137" t="s">
        <v>1534</v>
      </c>
      <c r="B181" s="137" t="s">
        <v>957</v>
      </c>
      <c r="C181" s="137"/>
      <c r="D181" s="137"/>
      <c r="E181" s="140"/>
      <c r="F181" s="141">
        <f>F182+F185</f>
        <v>151.3021152</v>
      </c>
      <c r="G181" s="137"/>
    </row>
    <row r="182" spans="1:7">
      <c r="A182" s="137">
        <v>1</v>
      </c>
      <c r="B182" s="137" t="s">
        <v>963</v>
      </c>
      <c r="C182" s="142"/>
      <c r="D182" s="137"/>
      <c r="E182" s="140"/>
      <c r="F182" s="143">
        <f>SUM(F183:F184)</f>
        <v>145.803</v>
      </c>
      <c r="G182" s="137"/>
    </row>
    <row r="183" spans="1:7">
      <c r="A183" s="137"/>
      <c r="B183" s="142" t="s">
        <v>966</v>
      </c>
      <c r="C183" s="142" t="s">
        <v>965</v>
      </c>
      <c r="D183" s="137">
        <v>2.4</v>
      </c>
      <c r="E183" s="140">
        <v>8.1</v>
      </c>
      <c r="F183" s="143">
        <f>E183*D183</f>
        <v>19.44</v>
      </c>
      <c r="G183" s="137"/>
    </row>
    <row r="184" spans="1:7">
      <c r="A184" s="137"/>
      <c r="B184" s="142" t="s">
        <v>968</v>
      </c>
      <c r="C184" s="142" t="s">
        <v>965</v>
      </c>
      <c r="D184" s="137">
        <v>21.9</v>
      </c>
      <c r="E184" s="140">
        <v>5.77</v>
      </c>
      <c r="F184" s="143">
        <f>E184*D184</f>
        <v>126.363</v>
      </c>
      <c r="G184" s="137"/>
    </row>
    <row r="185" spans="1:7">
      <c r="A185" s="137">
        <v>2</v>
      </c>
      <c r="B185" s="137" t="s">
        <v>967</v>
      </c>
      <c r="C185" s="142"/>
      <c r="D185" s="137"/>
      <c r="E185" s="140"/>
      <c r="F185" s="143">
        <f>SUM(F186:F188)</f>
        <v>5.4991152</v>
      </c>
      <c r="G185" s="137"/>
    </row>
    <row r="186" spans="1:7">
      <c r="A186" s="137"/>
      <c r="B186" s="137" t="s">
        <v>1891</v>
      </c>
      <c r="C186" s="142" t="s">
        <v>90</v>
      </c>
      <c r="D186" s="137">
        <v>10</v>
      </c>
      <c r="E186" s="140"/>
      <c r="F186" s="143"/>
      <c r="G186" s="137"/>
    </row>
    <row r="187" spans="1:7">
      <c r="A187" s="137"/>
      <c r="B187" s="137" t="s">
        <v>1892</v>
      </c>
      <c r="C187" s="142" t="s">
        <v>267</v>
      </c>
      <c r="D187" s="137">
        <v>1.72</v>
      </c>
      <c r="E187" s="140">
        <f>9.96*0.3</f>
        <v>2.988</v>
      </c>
      <c r="F187" s="143">
        <f t="shared" ref="F187:F194" si="19">D187*E187</f>
        <v>5.13936</v>
      </c>
      <c r="G187" s="137"/>
    </row>
    <row r="188" spans="1:7">
      <c r="A188" s="137"/>
      <c r="B188" s="137" t="s">
        <v>1163</v>
      </c>
      <c r="C188" s="137" t="s">
        <v>423</v>
      </c>
      <c r="D188" s="137">
        <v>7</v>
      </c>
      <c r="E188" s="140">
        <f>F187</f>
        <v>5.13936</v>
      </c>
      <c r="F188" s="143">
        <f>E188*D188%</f>
        <v>0.3597552</v>
      </c>
      <c r="G188" s="137"/>
    </row>
    <row r="189" spans="1:7">
      <c r="A189" s="137" t="s">
        <v>1536</v>
      </c>
      <c r="B189" s="137" t="s">
        <v>977</v>
      </c>
      <c r="C189" s="144"/>
      <c r="D189" s="144">
        <v>0.048</v>
      </c>
      <c r="E189" s="140">
        <f>F181</f>
        <v>151.3021152</v>
      </c>
      <c r="F189" s="143">
        <f t="shared" si="19"/>
        <v>7.2625015296</v>
      </c>
      <c r="G189" s="137"/>
    </row>
    <row r="190" spans="1:7">
      <c r="A190" s="137" t="s">
        <v>1595</v>
      </c>
      <c r="B190" s="137" t="s">
        <v>1191</v>
      </c>
      <c r="C190" s="144"/>
      <c r="D190" s="144">
        <v>0</v>
      </c>
      <c r="E190" s="140">
        <f>F181</f>
        <v>151.3021152</v>
      </c>
      <c r="F190" s="143">
        <f t="shared" si="19"/>
        <v>0</v>
      </c>
      <c r="G190" s="137"/>
    </row>
    <row r="191" spans="1:7">
      <c r="A191" s="137" t="s">
        <v>72</v>
      </c>
      <c r="B191" s="137" t="s">
        <v>973</v>
      </c>
      <c r="C191" s="144"/>
      <c r="D191" s="144">
        <v>0.04</v>
      </c>
      <c r="E191" s="140">
        <f>F180</f>
        <v>158.5646167296</v>
      </c>
      <c r="F191" s="143">
        <f t="shared" si="19"/>
        <v>6.342584669184</v>
      </c>
      <c r="G191" s="137"/>
    </row>
    <row r="192" spans="1:7">
      <c r="A192" s="137" t="s">
        <v>162</v>
      </c>
      <c r="B192" s="137" t="s">
        <v>975</v>
      </c>
      <c r="C192" s="145"/>
      <c r="D192" s="145">
        <v>0.07</v>
      </c>
      <c r="E192" s="140">
        <f>F180+F191</f>
        <v>164.907201398784</v>
      </c>
      <c r="F192" s="143">
        <f t="shared" si="19"/>
        <v>11.5435040979149</v>
      </c>
      <c r="G192" s="137"/>
    </row>
    <row r="193" spans="1:7">
      <c r="A193" s="137" t="s">
        <v>214</v>
      </c>
      <c r="B193" s="137" t="s">
        <v>1596</v>
      </c>
      <c r="C193" s="145"/>
      <c r="D193" s="145">
        <v>0.09</v>
      </c>
      <c r="E193" s="140">
        <f>F180+F191+F192</f>
        <v>176.450705496699</v>
      </c>
      <c r="F193" s="143">
        <f t="shared" si="19"/>
        <v>15.8805634947029</v>
      </c>
      <c r="G193" s="137"/>
    </row>
    <row r="194" spans="1:7">
      <c r="A194" s="137"/>
      <c r="B194" s="137" t="s">
        <v>1192</v>
      </c>
      <c r="C194" s="145"/>
      <c r="D194" s="145">
        <v>0</v>
      </c>
      <c r="E194" s="140">
        <f>E193+F193</f>
        <v>192.331268991402</v>
      </c>
      <c r="F194" s="141">
        <f t="shared" si="19"/>
        <v>0</v>
      </c>
      <c r="G194" s="137"/>
    </row>
    <row r="195" spans="1:7">
      <c r="A195" s="137"/>
      <c r="B195" s="137" t="s">
        <v>1193</v>
      </c>
      <c r="C195" s="137"/>
      <c r="D195" s="137"/>
      <c r="E195" s="140"/>
      <c r="F195" s="141">
        <f>E194+F194</f>
        <v>192.331268991402</v>
      </c>
      <c r="G195" s="137"/>
    </row>
    <row r="196" spans="1:15">
      <c r="A196" s="128" t="s">
        <v>1612</v>
      </c>
      <c r="B196" s="128"/>
      <c r="C196" s="128"/>
      <c r="D196" s="128"/>
      <c r="E196" s="129"/>
      <c r="F196" s="128"/>
      <c r="G196" s="128"/>
      <c r="I196" s="128" t="s">
        <v>1612</v>
      </c>
      <c r="J196" s="128"/>
      <c r="K196" s="128"/>
      <c r="L196" s="128"/>
      <c r="M196" s="129"/>
      <c r="N196" s="128"/>
      <c r="O196" s="128"/>
    </row>
    <row r="197" spans="1:15">
      <c r="A197" s="130" t="s">
        <v>1893</v>
      </c>
      <c r="B197" s="130"/>
      <c r="C197" s="130"/>
      <c r="D197" s="130"/>
      <c r="E197" s="131"/>
      <c r="F197" s="130"/>
      <c r="G197" s="130"/>
      <c r="I197" s="130" t="s">
        <v>1894</v>
      </c>
      <c r="J197" s="130"/>
      <c r="K197" s="130"/>
      <c r="L197" s="130"/>
      <c r="M197" s="131"/>
      <c r="N197" s="130"/>
      <c r="O197" s="130"/>
    </row>
    <row r="198" spans="1:15">
      <c r="A198" s="146" t="s">
        <v>1895</v>
      </c>
      <c r="B198" s="146"/>
      <c r="C198" s="146"/>
      <c r="D198" s="146"/>
      <c r="E198" s="133"/>
      <c r="F198" s="134" t="s">
        <v>1614</v>
      </c>
      <c r="G198" s="134"/>
      <c r="I198" s="146" t="s">
        <v>1896</v>
      </c>
      <c r="J198" s="146"/>
      <c r="K198" s="146"/>
      <c r="L198" s="146"/>
      <c r="M198" s="133"/>
      <c r="N198" s="134" t="s">
        <v>1614</v>
      </c>
      <c r="O198" s="134"/>
    </row>
    <row r="199" spans="1:15">
      <c r="A199" s="135" t="s">
        <v>1184</v>
      </c>
      <c r="B199" s="135"/>
      <c r="C199" s="135"/>
      <c r="D199" s="135"/>
      <c r="E199" s="136"/>
      <c r="F199" s="135"/>
      <c r="G199" s="135"/>
      <c r="I199" s="135" t="s">
        <v>1184</v>
      </c>
      <c r="J199" s="135"/>
      <c r="K199" s="135"/>
      <c r="L199" s="135"/>
      <c r="M199" s="136"/>
      <c r="N199" s="135"/>
      <c r="O199" s="135"/>
    </row>
    <row r="200" spans="1:15">
      <c r="A200" s="137" t="s">
        <v>354</v>
      </c>
      <c r="B200" s="137" t="s">
        <v>1586</v>
      </c>
      <c r="C200" s="137" t="s">
        <v>52</v>
      </c>
      <c r="D200" s="137" t="s">
        <v>53</v>
      </c>
      <c r="E200" s="138" t="s">
        <v>855</v>
      </c>
      <c r="F200" s="139" t="s">
        <v>306</v>
      </c>
      <c r="G200" s="137" t="s">
        <v>56</v>
      </c>
      <c r="I200" s="137" t="s">
        <v>354</v>
      </c>
      <c r="J200" s="137" t="s">
        <v>1586</v>
      </c>
      <c r="K200" s="137" t="s">
        <v>52</v>
      </c>
      <c r="L200" s="137" t="s">
        <v>53</v>
      </c>
      <c r="M200" s="138" t="s">
        <v>855</v>
      </c>
      <c r="N200" s="139" t="s">
        <v>306</v>
      </c>
      <c r="O200" s="137" t="s">
        <v>56</v>
      </c>
    </row>
    <row r="201" spans="1:15">
      <c r="A201" s="137" t="s">
        <v>57</v>
      </c>
      <c r="B201" s="137" t="s">
        <v>960</v>
      </c>
      <c r="C201" s="137"/>
      <c r="D201" s="137"/>
      <c r="E201" s="140"/>
      <c r="F201" s="141">
        <f>F202+F210+F211</f>
        <v>116.00857345664</v>
      </c>
      <c r="G201" s="137"/>
      <c r="I201" s="137" t="s">
        <v>57</v>
      </c>
      <c r="J201" s="137" t="s">
        <v>960</v>
      </c>
      <c r="K201" s="137"/>
      <c r="L201" s="137"/>
      <c r="M201" s="140"/>
      <c r="N201" s="141">
        <f>N202+N210+N211</f>
        <v>108.147567815188</v>
      </c>
      <c r="O201" s="137"/>
    </row>
    <row r="202" spans="1:15">
      <c r="A202" s="137" t="s">
        <v>1534</v>
      </c>
      <c r="B202" s="137" t="s">
        <v>957</v>
      </c>
      <c r="C202" s="137"/>
      <c r="D202" s="137"/>
      <c r="E202" s="140"/>
      <c r="F202" s="141">
        <f>F203+F206</f>
        <v>110.69520368</v>
      </c>
      <c r="G202" s="137"/>
      <c r="I202" s="137" t="s">
        <v>1534</v>
      </c>
      <c r="J202" s="137" t="s">
        <v>957</v>
      </c>
      <c r="K202" s="137"/>
      <c r="L202" s="137"/>
      <c r="M202" s="140"/>
      <c r="N202" s="141">
        <f>N203+N206</f>
        <v>103.194244098462</v>
      </c>
      <c r="O202" s="137"/>
    </row>
    <row r="203" spans="1:15">
      <c r="A203" s="137">
        <v>1</v>
      </c>
      <c r="B203" s="137" t="s">
        <v>963</v>
      </c>
      <c r="C203" s="142"/>
      <c r="D203" s="137"/>
      <c r="E203" s="140"/>
      <c r="F203" s="143">
        <f>SUM(F204:F205)</f>
        <v>105.746</v>
      </c>
      <c r="G203" s="137"/>
      <c r="I203" s="137">
        <v>1</v>
      </c>
      <c r="J203" s="137" t="s">
        <v>963</v>
      </c>
      <c r="K203" s="142"/>
      <c r="L203" s="137"/>
      <c r="M203" s="140"/>
      <c r="N203" s="143">
        <f>SUM(N204:N205)</f>
        <v>98.2236923076923</v>
      </c>
      <c r="O203" s="137"/>
    </row>
    <row r="204" spans="1:15">
      <c r="A204" s="137"/>
      <c r="B204" s="142" t="s">
        <v>966</v>
      </c>
      <c r="C204" s="142" t="s">
        <v>965</v>
      </c>
      <c r="D204" s="137">
        <v>1.8</v>
      </c>
      <c r="E204" s="140">
        <v>8.1</v>
      </c>
      <c r="F204" s="143">
        <f>E204*D204</f>
        <v>14.58</v>
      </c>
      <c r="G204" s="137"/>
      <c r="I204" s="137"/>
      <c r="J204" s="142" t="s">
        <v>966</v>
      </c>
      <c r="K204" s="142" t="s">
        <v>965</v>
      </c>
      <c r="L204" s="143">
        <f>1.5+((1.8-1.5)*(280-250)/(315-250))</f>
        <v>1.63846153846154</v>
      </c>
      <c r="M204" s="140">
        <v>8.1</v>
      </c>
      <c r="N204" s="143">
        <f>M204*L204</f>
        <v>13.2715384615385</v>
      </c>
      <c r="O204" s="137"/>
    </row>
    <row r="205" spans="1:15">
      <c r="A205" s="137"/>
      <c r="B205" s="142" t="s">
        <v>968</v>
      </c>
      <c r="C205" s="142" t="s">
        <v>965</v>
      </c>
      <c r="D205" s="137">
        <v>15.8</v>
      </c>
      <c r="E205" s="140">
        <v>5.77</v>
      </c>
      <c r="F205" s="143">
        <f>E205*D205</f>
        <v>91.166</v>
      </c>
      <c r="G205" s="137"/>
      <c r="I205" s="137"/>
      <c r="J205" s="142" t="s">
        <v>968</v>
      </c>
      <c r="K205" s="142" t="s">
        <v>965</v>
      </c>
      <c r="L205" s="143">
        <f>13.8+((15.8-13.8)*(280-250)/(315-250))</f>
        <v>14.7230769230769</v>
      </c>
      <c r="M205" s="140">
        <v>5.77</v>
      </c>
      <c r="N205" s="143">
        <f>M205*L205</f>
        <v>84.9521538461538</v>
      </c>
      <c r="O205" s="137"/>
    </row>
    <row r="206" spans="1:15">
      <c r="A206" s="137">
        <v>2</v>
      </c>
      <c r="B206" s="137" t="s">
        <v>967</v>
      </c>
      <c r="C206" s="142"/>
      <c r="D206" s="137"/>
      <c r="E206" s="140"/>
      <c r="F206" s="143">
        <f>SUM(F207:F209)</f>
        <v>4.94920368</v>
      </c>
      <c r="G206" s="137"/>
      <c r="I206" s="137">
        <v>2</v>
      </c>
      <c r="J206" s="137" t="s">
        <v>967</v>
      </c>
      <c r="K206" s="142"/>
      <c r="L206" s="137"/>
      <c r="M206" s="140"/>
      <c r="N206" s="143">
        <f>SUM(N207:N209)</f>
        <v>4.97055179076923</v>
      </c>
      <c r="O206" s="137"/>
    </row>
    <row r="207" spans="1:15">
      <c r="A207" s="137"/>
      <c r="B207" s="137" t="s">
        <v>1897</v>
      </c>
      <c r="C207" s="142" t="s">
        <v>90</v>
      </c>
      <c r="D207" s="137">
        <v>10</v>
      </c>
      <c r="E207" s="140"/>
      <c r="F207" s="143"/>
      <c r="G207" s="137"/>
      <c r="I207" s="137"/>
      <c r="J207" s="137" t="s">
        <v>1897</v>
      </c>
      <c r="K207" s="142" t="s">
        <v>90</v>
      </c>
      <c r="L207" s="137">
        <v>10</v>
      </c>
      <c r="M207" s="140"/>
      <c r="N207" s="143"/>
      <c r="O207" s="137"/>
    </row>
    <row r="208" spans="1:15">
      <c r="A208" s="137"/>
      <c r="B208" s="137" t="s">
        <v>1892</v>
      </c>
      <c r="C208" s="142" t="s">
        <v>267</v>
      </c>
      <c r="D208" s="137">
        <v>1.72</v>
      </c>
      <c r="E208" s="140">
        <f>8.964*0.3</f>
        <v>2.6892</v>
      </c>
      <c r="F208" s="143">
        <f t="shared" ref="F208:F215" si="20">D208*E208</f>
        <v>4.625424</v>
      </c>
      <c r="G208" s="137"/>
      <c r="I208" s="137"/>
      <c r="J208" s="137" t="s">
        <v>1892</v>
      </c>
      <c r="K208" s="142" t="s">
        <v>267</v>
      </c>
      <c r="L208" s="137">
        <v>1.72</v>
      </c>
      <c r="M208" s="140">
        <f>8.964*0.3</f>
        <v>2.6892</v>
      </c>
      <c r="N208" s="143">
        <f t="shared" ref="N208:N215" si="21">L208*M208</f>
        <v>4.625424</v>
      </c>
      <c r="O208" s="137"/>
    </row>
    <row r="209" spans="1:15">
      <c r="A209" s="137"/>
      <c r="B209" s="137" t="s">
        <v>1163</v>
      </c>
      <c r="C209" s="137" t="s">
        <v>423</v>
      </c>
      <c r="D209" s="137">
        <v>7</v>
      </c>
      <c r="E209" s="140">
        <f>F208</f>
        <v>4.625424</v>
      </c>
      <c r="F209" s="143">
        <f>E209*D209%</f>
        <v>0.32377968</v>
      </c>
      <c r="G209" s="137"/>
      <c r="I209" s="137"/>
      <c r="J209" s="137" t="s">
        <v>1163</v>
      </c>
      <c r="K209" s="137" t="s">
        <v>423</v>
      </c>
      <c r="L209" s="143">
        <f>7+((8-7)*(280-250)/(315-250))</f>
        <v>7.46153846153846</v>
      </c>
      <c r="M209" s="140">
        <f>N208</f>
        <v>4.625424</v>
      </c>
      <c r="N209" s="143">
        <f>M209*L209%</f>
        <v>0.345127790769231</v>
      </c>
      <c r="O209" s="137"/>
    </row>
    <row r="210" spans="1:15">
      <c r="A210" s="137" t="s">
        <v>1536</v>
      </c>
      <c r="B210" s="137" t="s">
        <v>977</v>
      </c>
      <c r="C210" s="144"/>
      <c r="D210" s="144">
        <v>0.048</v>
      </c>
      <c r="E210" s="140">
        <f>F202</f>
        <v>110.69520368</v>
      </c>
      <c r="F210" s="143">
        <f t="shared" si="20"/>
        <v>5.31336977664</v>
      </c>
      <c r="G210" s="137"/>
      <c r="I210" s="137" t="s">
        <v>1536</v>
      </c>
      <c r="J210" s="137" t="s">
        <v>977</v>
      </c>
      <c r="K210" s="144"/>
      <c r="L210" s="144">
        <v>0.048</v>
      </c>
      <c r="M210" s="140">
        <f>N202</f>
        <v>103.194244098462</v>
      </c>
      <c r="N210" s="143">
        <f t="shared" si="21"/>
        <v>4.95332371672615</v>
      </c>
      <c r="O210" s="137"/>
    </row>
    <row r="211" spans="1:15">
      <c r="A211" s="137" t="s">
        <v>1595</v>
      </c>
      <c r="B211" s="137" t="s">
        <v>1191</v>
      </c>
      <c r="C211" s="144"/>
      <c r="D211" s="144">
        <v>0</v>
      </c>
      <c r="E211" s="140">
        <f>F202</f>
        <v>110.69520368</v>
      </c>
      <c r="F211" s="143">
        <f t="shared" si="20"/>
        <v>0</v>
      </c>
      <c r="G211" s="137"/>
      <c r="I211" s="137" t="s">
        <v>1595</v>
      </c>
      <c r="J211" s="137" t="s">
        <v>1191</v>
      </c>
      <c r="K211" s="144"/>
      <c r="L211" s="144">
        <v>0</v>
      </c>
      <c r="M211" s="140">
        <f>N202</f>
        <v>103.194244098462</v>
      </c>
      <c r="N211" s="143">
        <f t="shared" si="21"/>
        <v>0</v>
      </c>
      <c r="O211" s="137"/>
    </row>
    <row r="212" spans="1:15">
      <c r="A212" s="137" t="s">
        <v>72</v>
      </c>
      <c r="B212" s="137" t="s">
        <v>973</v>
      </c>
      <c r="C212" s="144"/>
      <c r="D212" s="144">
        <v>0.04</v>
      </c>
      <c r="E212" s="140">
        <f>F201</f>
        <v>116.00857345664</v>
      </c>
      <c r="F212" s="143">
        <f t="shared" si="20"/>
        <v>4.6403429382656</v>
      </c>
      <c r="G212" s="137"/>
      <c r="I212" s="137" t="s">
        <v>72</v>
      </c>
      <c r="J212" s="137" t="s">
        <v>973</v>
      </c>
      <c r="K212" s="144"/>
      <c r="L212" s="144">
        <v>0.04</v>
      </c>
      <c r="M212" s="140">
        <f>N201</f>
        <v>108.147567815188</v>
      </c>
      <c r="N212" s="143">
        <f t="shared" si="21"/>
        <v>4.32590271260751</v>
      </c>
      <c r="O212" s="137"/>
    </row>
    <row r="213" spans="1:15">
      <c r="A213" s="137" t="s">
        <v>162</v>
      </c>
      <c r="B213" s="137" t="s">
        <v>975</v>
      </c>
      <c r="C213" s="145"/>
      <c r="D213" s="145">
        <v>0.07</v>
      </c>
      <c r="E213" s="140">
        <f>F201+F212</f>
        <v>120.648916394906</v>
      </c>
      <c r="F213" s="143">
        <f t="shared" si="20"/>
        <v>8.44542414764339</v>
      </c>
      <c r="G213" s="137"/>
      <c r="I213" s="137" t="s">
        <v>162</v>
      </c>
      <c r="J213" s="137" t="s">
        <v>975</v>
      </c>
      <c r="K213" s="145"/>
      <c r="L213" s="145">
        <v>0.07</v>
      </c>
      <c r="M213" s="140">
        <f>N201+N212</f>
        <v>112.473470527795</v>
      </c>
      <c r="N213" s="143">
        <f t="shared" si="21"/>
        <v>7.87314293694566</v>
      </c>
      <c r="O213" s="137"/>
    </row>
    <row r="214" spans="1:15">
      <c r="A214" s="137" t="s">
        <v>214</v>
      </c>
      <c r="B214" s="137" t="s">
        <v>1596</v>
      </c>
      <c r="C214" s="145"/>
      <c r="D214" s="145">
        <v>0.09</v>
      </c>
      <c r="E214" s="140">
        <f>F201+F212+F213</f>
        <v>129.094340542549</v>
      </c>
      <c r="F214" s="143">
        <f t="shared" si="20"/>
        <v>11.6184906488294</v>
      </c>
      <c r="G214" s="137"/>
      <c r="I214" s="137" t="s">
        <v>214</v>
      </c>
      <c r="J214" s="137" t="s">
        <v>1596</v>
      </c>
      <c r="K214" s="145"/>
      <c r="L214" s="145">
        <v>0.09</v>
      </c>
      <c r="M214" s="140">
        <f>N201+N212+N213</f>
        <v>120.346613464741</v>
      </c>
      <c r="N214" s="143">
        <f t="shared" si="21"/>
        <v>10.8311952118267</v>
      </c>
      <c r="O214" s="137"/>
    </row>
    <row r="215" spans="1:15">
      <c r="A215" s="137"/>
      <c r="B215" s="137" t="s">
        <v>1192</v>
      </c>
      <c r="C215" s="145"/>
      <c r="D215" s="145">
        <v>0</v>
      </c>
      <c r="E215" s="140">
        <f>E214+F214</f>
        <v>140.712831191378</v>
      </c>
      <c r="F215" s="141">
        <f t="shared" si="20"/>
        <v>0</v>
      </c>
      <c r="G215" s="137"/>
      <c r="I215" s="137"/>
      <c r="J215" s="137" t="s">
        <v>1192</v>
      </c>
      <c r="K215" s="145"/>
      <c r="L215" s="145">
        <v>0</v>
      </c>
      <c r="M215" s="140">
        <f>M214+N214</f>
        <v>131.177808676568</v>
      </c>
      <c r="N215" s="141">
        <f t="shared" si="21"/>
        <v>0</v>
      </c>
      <c r="O215" s="137"/>
    </row>
    <row r="216" spans="1:15">
      <c r="A216" s="137"/>
      <c r="B216" s="137" t="s">
        <v>1193</v>
      </c>
      <c r="C216" s="137"/>
      <c r="D216" s="137"/>
      <c r="E216" s="140"/>
      <c r="F216" s="141">
        <f>E215+F215</f>
        <v>140.712831191378</v>
      </c>
      <c r="G216" s="137"/>
      <c r="I216" s="137"/>
      <c r="J216" s="137" t="s">
        <v>1193</v>
      </c>
      <c r="K216" s="137"/>
      <c r="L216" s="137"/>
      <c r="M216" s="140"/>
      <c r="N216" s="141">
        <f>M215+N215</f>
        <v>131.177808676568</v>
      </c>
      <c r="O216" s="137"/>
    </row>
    <row r="217" spans="1:15">
      <c r="A217" s="128" t="s">
        <v>1612</v>
      </c>
      <c r="B217" s="128"/>
      <c r="C217" s="128"/>
      <c r="D217" s="128"/>
      <c r="E217" s="129"/>
      <c r="F217" s="128"/>
      <c r="G217" s="128"/>
      <c r="I217" s="128" t="s">
        <v>1612</v>
      </c>
      <c r="J217" s="128"/>
      <c r="K217" s="128"/>
      <c r="L217" s="128"/>
      <c r="M217" s="129"/>
      <c r="N217" s="128"/>
      <c r="O217" s="128"/>
    </row>
    <row r="218" spans="1:15">
      <c r="A218" s="130" t="s">
        <v>1898</v>
      </c>
      <c r="B218" s="130"/>
      <c r="C218" s="130"/>
      <c r="D218" s="130"/>
      <c r="E218" s="131"/>
      <c r="F218" s="130"/>
      <c r="G218" s="130"/>
      <c r="I218" s="130" t="s">
        <v>1899</v>
      </c>
      <c r="J218" s="130"/>
      <c r="K218" s="130"/>
      <c r="L218" s="130"/>
      <c r="M218" s="131"/>
      <c r="N218" s="130"/>
      <c r="O218" s="130"/>
    </row>
    <row r="219" spans="1:15">
      <c r="A219" s="146" t="s">
        <v>1900</v>
      </c>
      <c r="B219" s="146"/>
      <c r="C219" s="146"/>
      <c r="D219" s="146"/>
      <c r="E219" s="133"/>
      <c r="F219" s="134" t="s">
        <v>1614</v>
      </c>
      <c r="G219" s="134"/>
      <c r="I219" s="146" t="s">
        <v>1901</v>
      </c>
      <c r="J219" s="146"/>
      <c r="K219" s="146"/>
      <c r="L219" s="146"/>
      <c r="M219" s="133"/>
      <c r="N219" s="134" t="s">
        <v>1614</v>
      </c>
      <c r="O219" s="134"/>
    </row>
    <row r="220" spans="1:15">
      <c r="A220" s="135" t="s">
        <v>1184</v>
      </c>
      <c r="B220" s="135"/>
      <c r="C220" s="135"/>
      <c r="D220" s="135"/>
      <c r="E220" s="136"/>
      <c r="F220" s="135"/>
      <c r="G220" s="135"/>
      <c r="I220" s="135" t="s">
        <v>1184</v>
      </c>
      <c r="J220" s="135"/>
      <c r="K220" s="135"/>
      <c r="L220" s="135"/>
      <c r="M220" s="136"/>
      <c r="N220" s="135"/>
      <c r="O220" s="135"/>
    </row>
    <row r="221" spans="1:17">
      <c r="A221" s="137" t="s">
        <v>354</v>
      </c>
      <c r="B221" s="137" t="s">
        <v>1586</v>
      </c>
      <c r="C221" s="137" t="s">
        <v>52</v>
      </c>
      <c r="D221" s="137" t="s">
        <v>53</v>
      </c>
      <c r="E221" s="138" t="s">
        <v>855</v>
      </c>
      <c r="F221" s="139" t="s">
        <v>306</v>
      </c>
      <c r="G221" s="137" t="s">
        <v>56</v>
      </c>
      <c r="I221" s="137" t="s">
        <v>354</v>
      </c>
      <c r="J221" s="137" t="s">
        <v>1586</v>
      </c>
      <c r="K221" s="137" t="s">
        <v>52</v>
      </c>
      <c r="L221" s="137" t="s">
        <v>53</v>
      </c>
      <c r="M221" s="138" t="s">
        <v>855</v>
      </c>
      <c r="N221" s="139" t="s">
        <v>306</v>
      </c>
      <c r="O221" s="137" t="s">
        <v>56</v>
      </c>
      <c r="Q221"/>
    </row>
    <row r="222" spans="1:17">
      <c r="A222" s="137" t="s">
        <v>57</v>
      </c>
      <c r="B222" s="137" t="s">
        <v>960</v>
      </c>
      <c r="C222" s="137"/>
      <c r="D222" s="137"/>
      <c r="E222" s="140"/>
      <c r="F222" s="141">
        <f>F223+F231+F232</f>
        <v>101.2673332704</v>
      </c>
      <c r="G222" s="137"/>
      <c r="I222" s="137" t="s">
        <v>57</v>
      </c>
      <c r="J222" s="137" t="s">
        <v>960</v>
      </c>
      <c r="K222" s="137"/>
      <c r="L222" s="137"/>
      <c r="M222" s="140"/>
      <c r="N222" s="141">
        <f>N223+N231+N232</f>
        <v>90.3188772704</v>
      </c>
      <c r="O222" s="137"/>
      <c r="Q222"/>
    </row>
    <row r="223" spans="1:15">
      <c r="A223" s="137" t="s">
        <v>1534</v>
      </c>
      <c r="B223" s="137" t="s">
        <v>957</v>
      </c>
      <c r="C223" s="137"/>
      <c r="D223" s="137"/>
      <c r="E223" s="140"/>
      <c r="F223" s="141">
        <f>F224+F227</f>
        <v>96.6291348</v>
      </c>
      <c r="G223" s="137"/>
      <c r="I223" s="137" t="s">
        <v>1534</v>
      </c>
      <c r="J223" s="137" t="s">
        <v>957</v>
      </c>
      <c r="K223" s="137"/>
      <c r="L223" s="137"/>
      <c r="M223" s="140"/>
      <c r="N223" s="141">
        <f>N224+N227</f>
        <v>86.1821348</v>
      </c>
      <c r="O223" s="137"/>
    </row>
    <row r="224" spans="1:15">
      <c r="A224" s="137">
        <v>1</v>
      </c>
      <c r="B224" s="137" t="s">
        <v>963</v>
      </c>
      <c r="C224" s="142"/>
      <c r="D224" s="137"/>
      <c r="E224" s="140"/>
      <c r="F224" s="143">
        <f>SUM(F225:F226)</f>
        <v>91.776</v>
      </c>
      <c r="G224" s="137"/>
      <c r="I224" s="137">
        <v>1</v>
      </c>
      <c r="J224" s="137" t="s">
        <v>963</v>
      </c>
      <c r="K224" s="142"/>
      <c r="L224" s="137"/>
      <c r="M224" s="140"/>
      <c r="N224" s="143">
        <f>SUM(N225:N226)</f>
        <v>81.329</v>
      </c>
      <c r="O224" s="137"/>
    </row>
    <row r="225" spans="1:17">
      <c r="A225" s="137"/>
      <c r="B225" s="142" t="s">
        <v>966</v>
      </c>
      <c r="C225" s="142" t="s">
        <v>965</v>
      </c>
      <c r="D225" s="137">
        <v>1.5</v>
      </c>
      <c r="E225" s="140">
        <v>8.1</v>
      </c>
      <c r="F225" s="143">
        <f>E225*D225</f>
        <v>12.15</v>
      </c>
      <c r="G225" s="137"/>
      <c r="I225" s="137"/>
      <c r="J225" s="142" t="s">
        <v>966</v>
      </c>
      <c r="K225" s="142" t="s">
        <v>965</v>
      </c>
      <c r="L225" s="137">
        <f>1.2+((1.5-1.2)*(225-200)/(250-200))</f>
        <v>1.35</v>
      </c>
      <c r="M225" s="140">
        <v>8.1</v>
      </c>
      <c r="N225" s="143">
        <f>M225*L225</f>
        <v>10.935</v>
      </c>
      <c r="O225" s="137"/>
      <c r="Q225" s="148"/>
    </row>
    <row r="226" spans="1:15">
      <c r="A226" s="137"/>
      <c r="B226" s="142" t="s">
        <v>968</v>
      </c>
      <c r="C226" s="142" t="s">
        <v>965</v>
      </c>
      <c r="D226" s="137">
        <v>13.8</v>
      </c>
      <c r="E226" s="140">
        <v>5.77</v>
      </c>
      <c r="F226" s="143">
        <f>E226*D226</f>
        <v>79.626</v>
      </c>
      <c r="G226" s="137"/>
      <c r="I226" s="137"/>
      <c r="J226" s="142" t="s">
        <v>968</v>
      </c>
      <c r="K226" s="142" t="s">
        <v>965</v>
      </c>
      <c r="L226" s="137">
        <f>10.6+((13.8-10.6)*(225-200)/(250-200))</f>
        <v>12.2</v>
      </c>
      <c r="M226" s="140">
        <v>5.77</v>
      </c>
      <c r="N226" s="143">
        <f>M226*L226</f>
        <v>70.394</v>
      </c>
      <c r="O226" s="137"/>
    </row>
    <row r="227" spans="1:15">
      <c r="A227" s="137">
        <v>2</v>
      </c>
      <c r="B227" s="137" t="s">
        <v>967</v>
      </c>
      <c r="C227" s="142"/>
      <c r="D227" s="137"/>
      <c r="E227" s="140"/>
      <c r="F227" s="143">
        <f>SUM(F228:F230)</f>
        <v>4.8531348</v>
      </c>
      <c r="G227" s="137"/>
      <c r="I227" s="137">
        <v>2</v>
      </c>
      <c r="J227" s="137" t="s">
        <v>967</v>
      </c>
      <c r="K227" s="142"/>
      <c r="L227" s="137"/>
      <c r="M227" s="140"/>
      <c r="N227" s="143">
        <f>SUM(N228:N230)</f>
        <v>4.8531348</v>
      </c>
      <c r="O227" s="137"/>
    </row>
    <row r="228" spans="1:15">
      <c r="A228" s="137"/>
      <c r="B228" s="137" t="s">
        <v>1902</v>
      </c>
      <c r="C228" s="142" t="s">
        <v>90</v>
      </c>
      <c r="D228" s="137">
        <v>10</v>
      </c>
      <c r="E228" s="140"/>
      <c r="F228" s="143"/>
      <c r="G228" s="137"/>
      <c r="I228" s="137"/>
      <c r="J228" s="137" t="s">
        <v>1902</v>
      </c>
      <c r="K228" s="142" t="s">
        <v>90</v>
      </c>
      <c r="L228" s="137">
        <v>10</v>
      </c>
      <c r="M228" s="140"/>
      <c r="N228" s="143"/>
      <c r="O228" s="137"/>
    </row>
    <row r="229" spans="1:15">
      <c r="A229" s="137"/>
      <c r="B229" s="137" t="s">
        <v>1892</v>
      </c>
      <c r="C229" s="142" t="s">
        <v>267</v>
      </c>
      <c r="D229" s="137">
        <v>1.72</v>
      </c>
      <c r="E229" s="140">
        <f>8.79*0.3</f>
        <v>2.637</v>
      </c>
      <c r="F229" s="143">
        <f t="shared" ref="F229:F236" si="22">D229*E229</f>
        <v>4.53564</v>
      </c>
      <c r="G229" s="137"/>
      <c r="I229" s="137"/>
      <c r="J229" s="137" t="s">
        <v>1892</v>
      </c>
      <c r="K229" s="142" t="s">
        <v>267</v>
      </c>
      <c r="L229" s="137">
        <v>1.72</v>
      </c>
      <c r="M229" s="140">
        <f>8.79*0.3</f>
        <v>2.637</v>
      </c>
      <c r="N229" s="143">
        <f t="shared" ref="N229:N236" si="23">L229*M229</f>
        <v>4.53564</v>
      </c>
      <c r="O229" s="137"/>
    </row>
    <row r="230" spans="1:15">
      <c r="A230" s="137"/>
      <c r="B230" s="137" t="s">
        <v>1163</v>
      </c>
      <c r="C230" s="137" t="s">
        <v>423</v>
      </c>
      <c r="D230" s="137">
        <v>7</v>
      </c>
      <c r="E230" s="140">
        <f>F229</f>
        <v>4.53564</v>
      </c>
      <c r="F230" s="143">
        <f>E230*D230%</f>
        <v>0.3174948</v>
      </c>
      <c r="G230" s="137"/>
      <c r="I230" s="137"/>
      <c r="J230" s="137" t="s">
        <v>1163</v>
      </c>
      <c r="K230" s="137" t="s">
        <v>423</v>
      </c>
      <c r="L230" s="137">
        <v>7</v>
      </c>
      <c r="M230" s="140">
        <f>N229</f>
        <v>4.53564</v>
      </c>
      <c r="N230" s="143">
        <f>M230*L230%</f>
        <v>0.3174948</v>
      </c>
      <c r="O230" s="137"/>
    </row>
    <row r="231" spans="1:15">
      <c r="A231" s="137" t="s">
        <v>1536</v>
      </c>
      <c r="B231" s="137" t="s">
        <v>977</v>
      </c>
      <c r="C231" s="144"/>
      <c r="D231" s="144">
        <v>0.048</v>
      </c>
      <c r="E231" s="140">
        <f>F223</f>
        <v>96.6291348</v>
      </c>
      <c r="F231" s="143">
        <f t="shared" si="22"/>
        <v>4.6381984704</v>
      </c>
      <c r="G231" s="137"/>
      <c r="I231" s="137" t="s">
        <v>1536</v>
      </c>
      <c r="J231" s="137" t="s">
        <v>977</v>
      </c>
      <c r="K231" s="144"/>
      <c r="L231" s="144">
        <v>0.048</v>
      </c>
      <c r="M231" s="140">
        <f>N223</f>
        <v>86.1821348</v>
      </c>
      <c r="N231" s="143">
        <f t="shared" si="23"/>
        <v>4.1367424704</v>
      </c>
      <c r="O231" s="137"/>
    </row>
    <row r="232" spans="1:15">
      <c r="A232" s="137" t="s">
        <v>1595</v>
      </c>
      <c r="B232" s="137" t="s">
        <v>1191</v>
      </c>
      <c r="C232" s="144"/>
      <c r="D232" s="144">
        <v>0</v>
      </c>
      <c r="E232" s="140">
        <f>F223</f>
        <v>96.6291348</v>
      </c>
      <c r="F232" s="143">
        <f t="shared" si="22"/>
        <v>0</v>
      </c>
      <c r="G232" s="137"/>
      <c r="I232" s="137" t="s">
        <v>1595</v>
      </c>
      <c r="J232" s="137" t="s">
        <v>1191</v>
      </c>
      <c r="K232" s="144"/>
      <c r="L232" s="144">
        <v>0</v>
      </c>
      <c r="M232" s="140">
        <f>N223</f>
        <v>86.1821348</v>
      </c>
      <c r="N232" s="143">
        <f t="shared" si="23"/>
        <v>0</v>
      </c>
      <c r="O232" s="137"/>
    </row>
    <row r="233" spans="1:15">
      <c r="A233" s="137" t="s">
        <v>72</v>
      </c>
      <c r="B233" s="137" t="s">
        <v>973</v>
      </c>
      <c r="C233" s="144"/>
      <c r="D233" s="144">
        <v>0.04</v>
      </c>
      <c r="E233" s="140">
        <f>F222</f>
        <v>101.2673332704</v>
      </c>
      <c r="F233" s="143">
        <f t="shared" si="22"/>
        <v>4.050693330816</v>
      </c>
      <c r="G233" s="137"/>
      <c r="I233" s="137" t="s">
        <v>72</v>
      </c>
      <c r="J233" s="137" t="s">
        <v>973</v>
      </c>
      <c r="K233" s="144"/>
      <c r="L233" s="144">
        <v>0.04</v>
      </c>
      <c r="M233" s="140">
        <f>N222</f>
        <v>90.3188772704</v>
      </c>
      <c r="N233" s="143">
        <f t="shared" si="23"/>
        <v>3.612755090816</v>
      </c>
      <c r="O233" s="137"/>
    </row>
    <row r="234" spans="1:15">
      <c r="A234" s="137" t="s">
        <v>162</v>
      </c>
      <c r="B234" s="137" t="s">
        <v>975</v>
      </c>
      <c r="C234" s="145"/>
      <c r="D234" s="145">
        <v>0.07</v>
      </c>
      <c r="E234" s="140">
        <f>F222+F233</f>
        <v>105.318026601216</v>
      </c>
      <c r="F234" s="143">
        <f t="shared" si="22"/>
        <v>7.37226186208512</v>
      </c>
      <c r="G234" s="137"/>
      <c r="I234" s="137" t="s">
        <v>162</v>
      </c>
      <c r="J234" s="137" t="s">
        <v>975</v>
      </c>
      <c r="K234" s="145"/>
      <c r="L234" s="145">
        <v>0.07</v>
      </c>
      <c r="M234" s="140">
        <f>N222+N233</f>
        <v>93.931632361216</v>
      </c>
      <c r="N234" s="143">
        <f t="shared" si="23"/>
        <v>6.57521426528512</v>
      </c>
      <c r="O234" s="137"/>
    </row>
    <row r="235" spans="1:15">
      <c r="A235" s="137" t="s">
        <v>214</v>
      </c>
      <c r="B235" s="137" t="s">
        <v>1596</v>
      </c>
      <c r="C235" s="145"/>
      <c r="D235" s="145">
        <v>0.09</v>
      </c>
      <c r="E235" s="140">
        <f>F222+F233+F234</f>
        <v>112.690288463301</v>
      </c>
      <c r="F235" s="143">
        <f t="shared" si="22"/>
        <v>10.1421259616971</v>
      </c>
      <c r="G235" s="137"/>
      <c r="I235" s="137" t="s">
        <v>214</v>
      </c>
      <c r="J235" s="137" t="s">
        <v>1596</v>
      </c>
      <c r="K235" s="145"/>
      <c r="L235" s="145">
        <v>0.09</v>
      </c>
      <c r="M235" s="140">
        <f>N222+N233+N234</f>
        <v>100.506846626501</v>
      </c>
      <c r="N235" s="143">
        <f t="shared" si="23"/>
        <v>9.0456161963851</v>
      </c>
      <c r="O235" s="137"/>
    </row>
    <row r="236" spans="1:15">
      <c r="A236" s="137"/>
      <c r="B236" s="137" t="s">
        <v>1192</v>
      </c>
      <c r="C236" s="145"/>
      <c r="D236" s="145">
        <v>0</v>
      </c>
      <c r="E236" s="140">
        <f>E235+F235</f>
        <v>122.832414424998</v>
      </c>
      <c r="F236" s="141">
        <f t="shared" si="22"/>
        <v>0</v>
      </c>
      <c r="G236" s="137"/>
      <c r="I236" s="137"/>
      <c r="J236" s="137" t="s">
        <v>1192</v>
      </c>
      <c r="K236" s="145"/>
      <c r="L236" s="145">
        <v>0</v>
      </c>
      <c r="M236" s="140">
        <f>M235+N235</f>
        <v>109.552462822886</v>
      </c>
      <c r="N236" s="141">
        <f t="shared" si="23"/>
        <v>0</v>
      </c>
      <c r="O236" s="137"/>
    </row>
    <row r="237" spans="1:15">
      <c r="A237" s="137"/>
      <c r="B237" s="137" t="s">
        <v>1193</v>
      </c>
      <c r="C237" s="137"/>
      <c r="D237" s="137"/>
      <c r="E237" s="140"/>
      <c r="F237" s="141">
        <f>E236+F236</f>
        <v>122.832414424998</v>
      </c>
      <c r="G237" s="137"/>
      <c r="I237" s="137"/>
      <c r="J237" s="137" t="s">
        <v>1193</v>
      </c>
      <c r="K237" s="137"/>
      <c r="L237" s="137"/>
      <c r="M237" s="140"/>
      <c r="N237" s="141">
        <f>M236+N236</f>
        <v>109.552462822886</v>
      </c>
      <c r="O237" s="137"/>
    </row>
    <row r="238" spans="1:7">
      <c r="A238" s="128" t="s">
        <v>1612</v>
      </c>
      <c r="B238" s="128"/>
      <c r="C238" s="128"/>
      <c r="D238" s="128"/>
      <c r="E238" s="129"/>
      <c r="F238" s="128"/>
      <c r="G238" s="128"/>
    </row>
    <row r="239" spans="1:7">
      <c r="A239" s="130" t="s">
        <v>1903</v>
      </c>
      <c r="B239" s="130"/>
      <c r="C239" s="130"/>
      <c r="D239" s="130"/>
      <c r="E239" s="131"/>
      <c r="F239" s="130"/>
      <c r="G239" s="130"/>
    </row>
    <row r="240" spans="1:7">
      <c r="A240" s="146" t="s">
        <v>1904</v>
      </c>
      <c r="B240" s="146"/>
      <c r="C240" s="146"/>
      <c r="D240" s="146"/>
      <c r="E240" s="133"/>
      <c r="F240" s="134" t="s">
        <v>1614</v>
      </c>
      <c r="G240" s="134"/>
    </row>
    <row r="241" spans="1:7">
      <c r="A241" s="135" t="s">
        <v>1184</v>
      </c>
      <c r="B241" s="135"/>
      <c r="C241" s="135"/>
      <c r="D241" s="135"/>
      <c r="E241" s="136"/>
      <c r="F241" s="135"/>
      <c r="G241" s="135"/>
    </row>
    <row r="242" spans="1:7">
      <c r="A242" s="137" t="s">
        <v>354</v>
      </c>
      <c r="B242" s="137" t="s">
        <v>1586</v>
      </c>
      <c r="C242" s="137" t="s">
        <v>52</v>
      </c>
      <c r="D242" s="137" t="s">
        <v>53</v>
      </c>
      <c r="E242" s="138" t="s">
        <v>855</v>
      </c>
      <c r="F242" s="139" t="s">
        <v>306</v>
      </c>
      <c r="G242" s="137" t="s">
        <v>56</v>
      </c>
    </row>
    <row r="243" spans="1:7">
      <c r="A243" s="137" t="s">
        <v>57</v>
      </c>
      <c r="B243" s="137" t="s">
        <v>960</v>
      </c>
      <c r="C243" s="137"/>
      <c r="D243" s="137"/>
      <c r="E243" s="140"/>
      <c r="F243" s="141">
        <f>F244+F252+F253</f>
        <v>76.1706429376</v>
      </c>
      <c r="G243" s="137"/>
    </row>
    <row r="244" spans="1:7">
      <c r="A244" s="137" t="s">
        <v>1534</v>
      </c>
      <c r="B244" s="137" t="s">
        <v>957</v>
      </c>
      <c r="C244" s="137"/>
      <c r="D244" s="137"/>
      <c r="E244" s="140"/>
      <c r="F244" s="141">
        <f>F245+F248</f>
        <v>72.6819112</v>
      </c>
      <c r="G244" s="137"/>
    </row>
    <row r="245" spans="1:7">
      <c r="A245" s="137">
        <v>1</v>
      </c>
      <c r="B245" s="137" t="s">
        <v>963</v>
      </c>
      <c r="C245" s="142"/>
      <c r="D245" s="137"/>
      <c r="E245" s="140"/>
      <c r="F245" s="143">
        <f>SUM(F246:F247)</f>
        <v>70.882</v>
      </c>
      <c r="G245" s="137"/>
    </row>
    <row r="246" spans="1:7">
      <c r="A246" s="137"/>
      <c r="B246" s="142" t="s">
        <v>966</v>
      </c>
      <c r="C246" s="142" t="s">
        <v>965</v>
      </c>
      <c r="D246" s="137">
        <v>1.2</v>
      </c>
      <c r="E246" s="140">
        <v>8.1</v>
      </c>
      <c r="F246" s="143">
        <f>E246*D246</f>
        <v>9.72</v>
      </c>
      <c r="G246" s="137"/>
    </row>
    <row r="247" spans="1:7">
      <c r="A247" s="137"/>
      <c r="B247" s="142" t="s">
        <v>968</v>
      </c>
      <c r="C247" s="142" t="s">
        <v>965</v>
      </c>
      <c r="D247" s="137">
        <v>10.6</v>
      </c>
      <c r="E247" s="140">
        <v>5.77</v>
      </c>
      <c r="F247" s="143">
        <f>E247*D247</f>
        <v>61.162</v>
      </c>
      <c r="G247" s="137"/>
    </row>
    <row r="248" spans="1:7">
      <c r="A248" s="137">
        <v>2</v>
      </c>
      <c r="B248" s="137" t="s">
        <v>967</v>
      </c>
      <c r="C248" s="142"/>
      <c r="D248" s="137"/>
      <c r="E248" s="140"/>
      <c r="F248" s="143">
        <f>SUM(F249:F251)</f>
        <v>1.7999112</v>
      </c>
      <c r="G248" s="137"/>
    </row>
    <row r="249" spans="1:7">
      <c r="A249" s="137"/>
      <c r="B249" s="137" t="s">
        <v>1905</v>
      </c>
      <c r="C249" s="142" t="s">
        <v>90</v>
      </c>
      <c r="D249" s="137">
        <v>10</v>
      </c>
      <c r="E249" s="140"/>
      <c r="F249" s="143"/>
      <c r="G249" s="137"/>
    </row>
    <row r="250" spans="1:7">
      <c r="A250" s="137"/>
      <c r="B250" s="137" t="s">
        <v>1892</v>
      </c>
      <c r="C250" s="142" t="s">
        <v>267</v>
      </c>
      <c r="D250" s="137">
        <v>1.72</v>
      </c>
      <c r="E250" s="140">
        <f>3.26*0.3</f>
        <v>0.978</v>
      </c>
      <c r="F250" s="143">
        <f t="shared" ref="F250:F257" si="24">D250*E250</f>
        <v>1.68216</v>
      </c>
      <c r="G250" s="137"/>
    </row>
    <row r="251" spans="1:7">
      <c r="A251" s="137"/>
      <c r="B251" s="137" t="s">
        <v>1163</v>
      </c>
      <c r="C251" s="137" t="s">
        <v>423</v>
      </c>
      <c r="D251" s="137">
        <v>7</v>
      </c>
      <c r="E251" s="140">
        <f>F250</f>
        <v>1.68216</v>
      </c>
      <c r="F251" s="143">
        <f>E251*D251%</f>
        <v>0.1177512</v>
      </c>
      <c r="G251" s="137"/>
    </row>
    <row r="252" spans="1:7">
      <c r="A252" s="137" t="s">
        <v>1536</v>
      </c>
      <c r="B252" s="137" t="s">
        <v>977</v>
      </c>
      <c r="C252" s="144"/>
      <c r="D252" s="144">
        <v>0.048</v>
      </c>
      <c r="E252" s="140">
        <f>F244</f>
        <v>72.6819112</v>
      </c>
      <c r="F252" s="143">
        <f t="shared" si="24"/>
        <v>3.4887317376</v>
      </c>
      <c r="G252" s="137"/>
    </row>
    <row r="253" spans="1:7">
      <c r="A253" s="137" t="s">
        <v>1595</v>
      </c>
      <c r="B253" s="137" t="s">
        <v>1191</v>
      </c>
      <c r="C253" s="144"/>
      <c r="D253" s="144">
        <v>0</v>
      </c>
      <c r="E253" s="140">
        <f>F244</f>
        <v>72.6819112</v>
      </c>
      <c r="F253" s="143">
        <f t="shared" si="24"/>
        <v>0</v>
      </c>
      <c r="G253" s="137"/>
    </row>
    <row r="254" spans="1:7">
      <c r="A254" s="137" t="s">
        <v>72</v>
      </c>
      <c r="B254" s="137" t="s">
        <v>973</v>
      </c>
      <c r="C254" s="144"/>
      <c r="D254" s="144">
        <v>0.04</v>
      </c>
      <c r="E254" s="140">
        <f>F243</f>
        <v>76.1706429376</v>
      </c>
      <c r="F254" s="143">
        <f t="shared" si="24"/>
        <v>3.046825717504</v>
      </c>
      <c r="G254" s="137"/>
    </row>
    <row r="255" spans="1:7">
      <c r="A255" s="137" t="s">
        <v>162</v>
      </c>
      <c r="B255" s="137" t="s">
        <v>975</v>
      </c>
      <c r="C255" s="145"/>
      <c r="D255" s="145">
        <v>0.07</v>
      </c>
      <c r="E255" s="140">
        <f>F243+F254</f>
        <v>79.217468655104</v>
      </c>
      <c r="F255" s="143">
        <f t="shared" si="24"/>
        <v>5.54522280585728</v>
      </c>
      <c r="G255" s="137"/>
    </row>
    <row r="256" spans="1:7">
      <c r="A256" s="137" t="s">
        <v>214</v>
      </c>
      <c r="B256" s="137" t="s">
        <v>1596</v>
      </c>
      <c r="C256" s="145"/>
      <c r="D256" s="145">
        <v>0.09</v>
      </c>
      <c r="E256" s="140">
        <f>F243+F254+F255</f>
        <v>84.7626914609613</v>
      </c>
      <c r="F256" s="143">
        <f t="shared" si="24"/>
        <v>7.62864223148651</v>
      </c>
      <c r="G256" s="137"/>
    </row>
    <row r="257" spans="1:7">
      <c r="A257" s="137"/>
      <c r="B257" s="137" t="s">
        <v>1192</v>
      </c>
      <c r="C257" s="145"/>
      <c r="D257" s="145">
        <v>0</v>
      </c>
      <c r="E257" s="140">
        <f>E256+F256</f>
        <v>92.3913336924478</v>
      </c>
      <c r="F257" s="141">
        <f t="shared" si="24"/>
        <v>0</v>
      </c>
      <c r="G257" s="137"/>
    </row>
    <row r="258" spans="1:7">
      <c r="A258" s="137"/>
      <c r="B258" s="137" t="s">
        <v>1193</v>
      </c>
      <c r="C258" s="137"/>
      <c r="D258" s="137"/>
      <c r="E258" s="140"/>
      <c r="F258" s="141">
        <f>E257+F257</f>
        <v>92.3913336924478</v>
      </c>
      <c r="G258" s="137"/>
    </row>
    <row r="259" spans="1:7">
      <c r="A259" s="128" t="s">
        <v>1612</v>
      </c>
      <c r="B259" s="128"/>
      <c r="C259" s="128"/>
      <c r="D259" s="128"/>
      <c r="E259" s="129"/>
      <c r="F259" s="128"/>
      <c r="G259" s="128"/>
    </row>
    <row r="260" spans="1:7">
      <c r="A260" s="130" t="s">
        <v>1906</v>
      </c>
      <c r="B260" s="130"/>
      <c r="C260" s="130"/>
      <c r="D260" s="130"/>
      <c r="E260" s="131"/>
      <c r="F260" s="130"/>
      <c r="G260" s="130"/>
    </row>
    <row r="261" spans="1:7">
      <c r="A261" s="146" t="s">
        <v>1907</v>
      </c>
      <c r="B261" s="146"/>
      <c r="C261" s="146"/>
      <c r="D261" s="146"/>
      <c r="E261" s="133"/>
      <c r="F261" s="134" t="s">
        <v>1614</v>
      </c>
      <c r="G261" s="134"/>
    </row>
    <row r="262" spans="1:7">
      <c r="A262" s="135" t="s">
        <v>1184</v>
      </c>
      <c r="B262" s="135"/>
      <c r="C262" s="135"/>
      <c r="D262" s="135"/>
      <c r="E262" s="136"/>
      <c r="F262" s="135"/>
      <c r="G262" s="135"/>
    </row>
    <row r="263" spans="1:7">
      <c r="A263" s="137" t="s">
        <v>354</v>
      </c>
      <c r="B263" s="137" t="s">
        <v>1586</v>
      </c>
      <c r="C263" s="137" t="s">
        <v>52</v>
      </c>
      <c r="D263" s="137" t="s">
        <v>53</v>
      </c>
      <c r="E263" s="138" t="s">
        <v>855</v>
      </c>
      <c r="F263" s="139" t="s">
        <v>306</v>
      </c>
      <c r="G263" s="137" t="s">
        <v>56</v>
      </c>
    </row>
    <row r="264" spans="1:7">
      <c r="A264" s="137" t="s">
        <v>57</v>
      </c>
      <c r="B264" s="137" t="s">
        <v>960</v>
      </c>
      <c r="C264" s="137"/>
      <c r="D264" s="137"/>
      <c r="E264" s="140"/>
      <c r="F264" s="141">
        <f>F265+F273+F274</f>
        <v>57.9916295712</v>
      </c>
      <c r="G264" s="137"/>
    </row>
    <row r="265" spans="1:7">
      <c r="A265" s="137" t="s">
        <v>1534</v>
      </c>
      <c r="B265" s="137" t="s">
        <v>957</v>
      </c>
      <c r="C265" s="137"/>
      <c r="D265" s="137"/>
      <c r="E265" s="140"/>
      <c r="F265" s="141">
        <f>F266+F269</f>
        <v>55.3355244</v>
      </c>
      <c r="G265" s="137"/>
    </row>
    <row r="266" spans="1:7">
      <c r="A266" s="137">
        <v>1</v>
      </c>
      <c r="B266" s="137" t="s">
        <v>963</v>
      </c>
      <c r="C266" s="142"/>
      <c r="D266" s="137"/>
      <c r="E266" s="140"/>
      <c r="F266" s="143">
        <f>SUM(F267:F268)</f>
        <v>54.027</v>
      </c>
      <c r="G266" s="137"/>
    </row>
    <row r="267" spans="1:7">
      <c r="A267" s="137"/>
      <c r="B267" s="142" t="s">
        <v>966</v>
      </c>
      <c r="C267" s="142" t="s">
        <v>965</v>
      </c>
      <c r="D267" s="137">
        <v>0.9</v>
      </c>
      <c r="E267" s="140">
        <v>8.1</v>
      </c>
      <c r="F267" s="143">
        <f>E267*D267</f>
        <v>7.29</v>
      </c>
      <c r="G267" s="137"/>
    </row>
    <row r="268" spans="1:7">
      <c r="A268" s="137"/>
      <c r="B268" s="142" t="s">
        <v>968</v>
      </c>
      <c r="C268" s="142" t="s">
        <v>965</v>
      </c>
      <c r="D268" s="137">
        <v>8.1</v>
      </c>
      <c r="E268" s="140">
        <v>5.77</v>
      </c>
      <c r="F268" s="143">
        <f>E268*D268</f>
        <v>46.737</v>
      </c>
      <c r="G268" s="137"/>
    </row>
    <row r="269" spans="1:7">
      <c r="A269" s="137">
        <v>2</v>
      </c>
      <c r="B269" s="137" t="s">
        <v>967</v>
      </c>
      <c r="C269" s="142"/>
      <c r="D269" s="137"/>
      <c r="E269" s="140"/>
      <c r="F269" s="143">
        <f>SUM(F270:F272)</f>
        <v>1.3085244</v>
      </c>
      <c r="G269" s="137"/>
    </row>
    <row r="270" spans="1:7">
      <c r="A270" s="137"/>
      <c r="B270" s="137" t="s">
        <v>1905</v>
      </c>
      <c r="C270" s="142" t="s">
        <v>90</v>
      </c>
      <c r="D270" s="137">
        <v>10</v>
      </c>
      <c r="E270" s="140"/>
      <c r="F270" s="143"/>
      <c r="G270" s="137"/>
    </row>
    <row r="271" spans="1:7">
      <c r="A271" s="137"/>
      <c r="B271" s="137" t="s">
        <v>1892</v>
      </c>
      <c r="C271" s="142" t="s">
        <v>267</v>
      </c>
      <c r="D271" s="137">
        <v>1.72</v>
      </c>
      <c r="E271" s="140">
        <f>2.37*0.3</f>
        <v>0.711</v>
      </c>
      <c r="F271" s="143">
        <f t="shared" ref="F271:F278" si="25">D271*E271</f>
        <v>1.22292</v>
      </c>
      <c r="G271" s="137"/>
    </row>
    <row r="272" spans="1:7">
      <c r="A272" s="137"/>
      <c r="B272" s="137" t="s">
        <v>1163</v>
      </c>
      <c r="C272" s="137" t="s">
        <v>423</v>
      </c>
      <c r="D272" s="137">
        <v>7</v>
      </c>
      <c r="E272" s="140">
        <f>F271</f>
        <v>1.22292</v>
      </c>
      <c r="F272" s="143">
        <f>E272*D272%</f>
        <v>0.0856044</v>
      </c>
      <c r="G272" s="137"/>
    </row>
    <row r="273" spans="1:7">
      <c r="A273" s="137" t="s">
        <v>1536</v>
      </c>
      <c r="B273" s="137" t="s">
        <v>977</v>
      </c>
      <c r="C273" s="144"/>
      <c r="D273" s="144">
        <v>0.048</v>
      </c>
      <c r="E273" s="140">
        <f>F265</f>
        <v>55.3355244</v>
      </c>
      <c r="F273" s="143">
        <f t="shared" si="25"/>
        <v>2.6561051712</v>
      </c>
      <c r="G273" s="137"/>
    </row>
    <row r="274" spans="1:7">
      <c r="A274" s="137" t="s">
        <v>1595</v>
      </c>
      <c r="B274" s="137" t="s">
        <v>1191</v>
      </c>
      <c r="C274" s="144"/>
      <c r="D274" s="144">
        <v>0</v>
      </c>
      <c r="E274" s="140">
        <f>F265</f>
        <v>55.3355244</v>
      </c>
      <c r="F274" s="143">
        <f t="shared" si="25"/>
        <v>0</v>
      </c>
      <c r="G274" s="137"/>
    </row>
    <row r="275" spans="1:7">
      <c r="A275" s="137" t="s">
        <v>72</v>
      </c>
      <c r="B275" s="137" t="s">
        <v>973</v>
      </c>
      <c r="C275" s="144"/>
      <c r="D275" s="144">
        <v>0.04</v>
      </c>
      <c r="E275" s="140">
        <f>F264</f>
        <v>57.9916295712</v>
      </c>
      <c r="F275" s="143">
        <f t="shared" si="25"/>
        <v>2.319665182848</v>
      </c>
      <c r="G275" s="137"/>
    </row>
    <row r="276" spans="1:7">
      <c r="A276" s="137" t="s">
        <v>162</v>
      </c>
      <c r="B276" s="137" t="s">
        <v>975</v>
      </c>
      <c r="C276" s="145"/>
      <c r="D276" s="145">
        <v>0.07</v>
      </c>
      <c r="E276" s="140">
        <f>F264+F275</f>
        <v>60.311294754048</v>
      </c>
      <c r="F276" s="143">
        <f t="shared" si="25"/>
        <v>4.22179063278336</v>
      </c>
      <c r="G276" s="137"/>
    </row>
    <row r="277" spans="1:7">
      <c r="A277" s="137" t="s">
        <v>214</v>
      </c>
      <c r="B277" s="137" t="s">
        <v>1596</v>
      </c>
      <c r="C277" s="145"/>
      <c r="D277" s="145">
        <v>0.09</v>
      </c>
      <c r="E277" s="140">
        <f>F264+F275+F276</f>
        <v>64.5330853868313</v>
      </c>
      <c r="F277" s="143">
        <f t="shared" si="25"/>
        <v>5.80797768481482</v>
      </c>
      <c r="G277" s="137"/>
    </row>
    <row r="278" spans="1:7">
      <c r="A278" s="137"/>
      <c r="B278" s="137" t="s">
        <v>1192</v>
      </c>
      <c r="C278" s="145"/>
      <c r="D278" s="145">
        <v>0</v>
      </c>
      <c r="E278" s="140">
        <f>E277+F277</f>
        <v>70.3410630716462</v>
      </c>
      <c r="F278" s="141">
        <f t="shared" si="25"/>
        <v>0</v>
      </c>
      <c r="G278" s="137"/>
    </row>
    <row r="279" spans="1:7">
      <c r="A279" s="137"/>
      <c r="B279" s="137" t="s">
        <v>1193</v>
      </c>
      <c r="C279" s="137"/>
      <c r="D279" s="137"/>
      <c r="E279" s="140"/>
      <c r="F279" s="141">
        <f>E278+F278</f>
        <v>70.3410630716462</v>
      </c>
      <c r="G279" s="137"/>
    </row>
    <row r="280" spans="1:23">
      <c r="A280" s="128" t="s">
        <v>1612</v>
      </c>
      <c r="B280" s="128"/>
      <c r="C280" s="128"/>
      <c r="D280" s="128"/>
      <c r="E280" s="129"/>
      <c r="F280" s="128"/>
      <c r="G280" s="128"/>
      <c r="I280" s="128" t="s">
        <v>1612</v>
      </c>
      <c r="J280" s="128"/>
      <c r="K280" s="128"/>
      <c r="L280" s="128"/>
      <c r="M280" s="129"/>
      <c r="N280" s="128"/>
      <c r="O280" s="128"/>
      <c r="Q280" s="128" t="s">
        <v>1612</v>
      </c>
      <c r="R280" s="128"/>
      <c r="S280" s="128"/>
      <c r="T280" s="128"/>
      <c r="U280" s="129"/>
      <c r="V280" s="128"/>
      <c r="W280" s="128"/>
    </row>
    <row r="281" spans="1:23">
      <c r="A281" s="130" t="s">
        <v>1908</v>
      </c>
      <c r="B281" s="130"/>
      <c r="C281" s="130"/>
      <c r="D281" s="130"/>
      <c r="E281" s="131"/>
      <c r="F281" s="130"/>
      <c r="G281" s="130"/>
      <c r="I281" s="130" t="s">
        <v>1908</v>
      </c>
      <c r="J281" s="130"/>
      <c r="K281" s="130"/>
      <c r="L281" s="130"/>
      <c r="M281" s="131"/>
      <c r="N281" s="130"/>
      <c r="O281" s="130"/>
      <c r="Q281" s="130" t="s">
        <v>1908</v>
      </c>
      <c r="R281" s="130"/>
      <c r="S281" s="130"/>
      <c r="T281" s="130"/>
      <c r="U281" s="131"/>
      <c r="V281" s="130"/>
      <c r="W281" s="130"/>
    </row>
    <row r="282" spans="1:23">
      <c r="A282" s="146" t="s">
        <v>1909</v>
      </c>
      <c r="B282" s="146"/>
      <c r="C282" s="146"/>
      <c r="D282" s="146"/>
      <c r="E282" s="133"/>
      <c r="F282" s="134" t="s">
        <v>1614</v>
      </c>
      <c r="G282" s="134"/>
      <c r="I282" s="146" t="s">
        <v>1909</v>
      </c>
      <c r="J282" s="146"/>
      <c r="K282" s="146"/>
      <c r="L282" s="146"/>
      <c r="M282" s="133"/>
      <c r="N282" s="134" t="s">
        <v>1614</v>
      </c>
      <c r="O282" s="134"/>
      <c r="Q282" s="146" t="s">
        <v>1909</v>
      </c>
      <c r="R282" s="146"/>
      <c r="S282" s="146"/>
      <c r="T282" s="146"/>
      <c r="U282" s="133"/>
      <c r="V282" s="134" t="s">
        <v>1614</v>
      </c>
      <c r="W282" s="134"/>
    </row>
    <row r="283" spans="1:23">
      <c r="A283" s="135" t="s">
        <v>1184</v>
      </c>
      <c r="B283" s="135"/>
      <c r="C283" s="135"/>
      <c r="D283" s="135"/>
      <c r="E283" s="136"/>
      <c r="F283" s="135"/>
      <c r="G283" s="135"/>
      <c r="I283" s="135" t="s">
        <v>1184</v>
      </c>
      <c r="J283" s="135"/>
      <c r="K283" s="135"/>
      <c r="L283" s="135"/>
      <c r="M283" s="136"/>
      <c r="N283" s="135"/>
      <c r="O283" s="135"/>
      <c r="Q283" s="135" t="s">
        <v>1184</v>
      </c>
      <c r="R283" s="135"/>
      <c r="S283" s="135"/>
      <c r="T283" s="135"/>
      <c r="U283" s="136"/>
      <c r="V283" s="135"/>
      <c r="W283" s="135"/>
    </row>
    <row r="284" spans="1:23">
      <c r="A284" s="137" t="s">
        <v>354</v>
      </c>
      <c r="B284" s="137" t="s">
        <v>1586</v>
      </c>
      <c r="C284" s="137" t="s">
        <v>52</v>
      </c>
      <c r="D284" s="137" t="s">
        <v>53</v>
      </c>
      <c r="E284" s="138" t="s">
        <v>855</v>
      </c>
      <c r="F284" s="139" t="s">
        <v>306</v>
      </c>
      <c r="G284" s="137" t="s">
        <v>56</v>
      </c>
      <c r="I284" s="137" t="s">
        <v>354</v>
      </c>
      <c r="J284" s="137" t="s">
        <v>1586</v>
      </c>
      <c r="K284" s="137" t="s">
        <v>52</v>
      </c>
      <c r="L284" s="137" t="s">
        <v>53</v>
      </c>
      <c r="M284" s="138" t="s">
        <v>855</v>
      </c>
      <c r="N284" s="139" t="s">
        <v>306</v>
      </c>
      <c r="O284" s="137" t="s">
        <v>56</v>
      </c>
      <c r="Q284" s="137" t="s">
        <v>354</v>
      </c>
      <c r="R284" s="137" t="s">
        <v>1586</v>
      </c>
      <c r="S284" s="137" t="s">
        <v>52</v>
      </c>
      <c r="T284" s="137" t="s">
        <v>53</v>
      </c>
      <c r="U284" s="138" t="s">
        <v>855</v>
      </c>
      <c r="V284" s="139" t="s">
        <v>306</v>
      </c>
      <c r="W284" s="137" t="s">
        <v>56</v>
      </c>
    </row>
    <row r="285" spans="1:23">
      <c r="A285" s="137" t="s">
        <v>57</v>
      </c>
      <c r="B285" s="137" t="s">
        <v>960</v>
      </c>
      <c r="C285" s="137"/>
      <c r="D285" s="137"/>
      <c r="E285" s="140"/>
      <c r="F285" s="141">
        <f>F286+F294+F295</f>
        <v>45.21206781184</v>
      </c>
      <c r="G285" s="137"/>
      <c r="I285" s="137" t="s">
        <v>57</v>
      </c>
      <c r="J285" s="137" t="s">
        <v>960</v>
      </c>
      <c r="K285" s="137"/>
      <c r="L285" s="137"/>
      <c r="M285" s="140"/>
      <c r="N285" s="141">
        <f>N286+N294+N295</f>
        <v>71.99769021184</v>
      </c>
      <c r="O285" s="137"/>
      <c r="Q285" s="137" t="s">
        <v>57</v>
      </c>
      <c r="R285" s="137" t="s">
        <v>960</v>
      </c>
      <c r="S285" s="137"/>
      <c r="T285" s="137"/>
      <c r="U285" s="140"/>
      <c r="V285" s="141">
        <f>V286+V294+V295</f>
        <v>56.37274381184</v>
      </c>
      <c r="W285" s="137"/>
    </row>
    <row r="286" spans="1:23">
      <c r="A286" s="137" t="s">
        <v>1534</v>
      </c>
      <c r="B286" s="137" t="s">
        <v>957</v>
      </c>
      <c r="C286" s="137"/>
      <c r="D286" s="137"/>
      <c r="E286" s="140"/>
      <c r="F286" s="141">
        <f>F287+F290</f>
        <v>43.14128608</v>
      </c>
      <c r="G286" s="137"/>
      <c r="I286" s="137" t="s">
        <v>1534</v>
      </c>
      <c r="J286" s="137" t="s">
        <v>957</v>
      </c>
      <c r="K286" s="137"/>
      <c r="L286" s="137"/>
      <c r="M286" s="140"/>
      <c r="N286" s="141">
        <f>N287+N290</f>
        <v>68.70008608</v>
      </c>
      <c r="O286" s="137"/>
      <c r="Q286" s="137" t="s">
        <v>1534</v>
      </c>
      <c r="R286" s="137" t="s">
        <v>957</v>
      </c>
      <c r="S286" s="137"/>
      <c r="T286" s="137"/>
      <c r="U286" s="140"/>
      <c r="V286" s="141">
        <f>V287+V290</f>
        <v>53.79078608</v>
      </c>
      <c r="W286" s="137"/>
    </row>
    <row r="287" spans="1:23">
      <c r="A287" s="137">
        <v>1</v>
      </c>
      <c r="B287" s="137" t="s">
        <v>963</v>
      </c>
      <c r="C287" s="142"/>
      <c r="D287" s="137"/>
      <c r="E287" s="140"/>
      <c r="F287" s="143">
        <f>SUM(F288:F289)</f>
        <v>42.598</v>
      </c>
      <c r="G287" s="137"/>
      <c r="I287" s="137">
        <v>1</v>
      </c>
      <c r="J287" s="137" t="s">
        <v>963</v>
      </c>
      <c r="K287" s="142"/>
      <c r="L287" s="137"/>
      <c r="M287" s="140"/>
      <c r="N287" s="143">
        <f>SUM(N288:N289)</f>
        <v>68.1568</v>
      </c>
      <c r="O287" s="137"/>
      <c r="Q287" s="137">
        <v>1</v>
      </c>
      <c r="R287" s="137" t="s">
        <v>963</v>
      </c>
      <c r="S287" s="142"/>
      <c r="T287" s="137"/>
      <c r="U287" s="140"/>
      <c r="V287" s="143">
        <f>SUM(V288:V289)</f>
        <v>53.2475</v>
      </c>
      <c r="W287" s="137"/>
    </row>
    <row r="288" spans="1:23">
      <c r="A288" s="137"/>
      <c r="B288" s="142" t="s">
        <v>966</v>
      </c>
      <c r="C288" s="142" t="s">
        <v>965</v>
      </c>
      <c r="D288" s="137">
        <v>0.7</v>
      </c>
      <c r="E288" s="140">
        <v>8.1</v>
      </c>
      <c r="F288" s="143">
        <f>E288*D288</f>
        <v>5.67</v>
      </c>
      <c r="G288" s="137"/>
      <c r="I288" s="137"/>
      <c r="J288" s="142" t="s">
        <v>966</v>
      </c>
      <c r="K288" s="142" t="s">
        <v>965</v>
      </c>
      <c r="L288" s="137">
        <f>1.6*0.7</f>
        <v>1.12</v>
      </c>
      <c r="M288" s="140">
        <v>8.1</v>
      </c>
      <c r="N288" s="143">
        <f>M288*L288</f>
        <v>9.072</v>
      </c>
      <c r="O288" s="137"/>
      <c r="Q288" s="137"/>
      <c r="R288" s="142" t="s">
        <v>966</v>
      </c>
      <c r="S288" s="142" t="s">
        <v>965</v>
      </c>
      <c r="T288" s="137">
        <f>1.25*0.7</f>
        <v>0.875</v>
      </c>
      <c r="U288" s="140">
        <v>8.1</v>
      </c>
      <c r="V288" s="143">
        <f>U288*T288</f>
        <v>7.0875</v>
      </c>
      <c r="W288" s="137"/>
    </row>
    <row r="289" spans="1:23">
      <c r="A289" s="137"/>
      <c r="B289" s="142" t="s">
        <v>968</v>
      </c>
      <c r="C289" s="142" t="s">
        <v>965</v>
      </c>
      <c r="D289" s="137">
        <v>6.4</v>
      </c>
      <c r="E289" s="140">
        <v>5.77</v>
      </c>
      <c r="F289" s="143">
        <f>E289*D289</f>
        <v>36.928</v>
      </c>
      <c r="G289" s="137"/>
      <c r="I289" s="137"/>
      <c r="J289" s="142" t="s">
        <v>968</v>
      </c>
      <c r="K289" s="142" t="s">
        <v>965</v>
      </c>
      <c r="L289" s="137">
        <f>1.6*6.4</f>
        <v>10.24</v>
      </c>
      <c r="M289" s="140">
        <v>5.77</v>
      </c>
      <c r="N289" s="143">
        <f>M289*L289</f>
        <v>59.0848</v>
      </c>
      <c r="O289" s="137"/>
      <c r="Q289" s="137"/>
      <c r="R289" s="142" t="s">
        <v>968</v>
      </c>
      <c r="S289" s="142" t="s">
        <v>965</v>
      </c>
      <c r="T289" s="137">
        <f>1.25*6.4</f>
        <v>8</v>
      </c>
      <c r="U289" s="140">
        <v>5.77</v>
      </c>
      <c r="V289" s="143">
        <f>U289*T289</f>
        <v>46.16</v>
      </c>
      <c r="W289" s="137"/>
    </row>
    <row r="290" spans="1:23">
      <c r="A290" s="137">
        <v>2</v>
      </c>
      <c r="B290" s="137" t="s">
        <v>967</v>
      </c>
      <c r="C290" s="142"/>
      <c r="D290" s="137"/>
      <c r="E290" s="140"/>
      <c r="F290" s="143">
        <f>SUM(F291:F293)</f>
        <v>0.54328608</v>
      </c>
      <c r="G290" s="137"/>
      <c r="I290" s="137">
        <v>2</v>
      </c>
      <c r="J290" s="137" t="s">
        <v>967</v>
      </c>
      <c r="K290" s="142"/>
      <c r="L290" s="137"/>
      <c r="M290" s="140"/>
      <c r="N290" s="143">
        <f>SUM(N291:N293)</f>
        <v>0.54328608</v>
      </c>
      <c r="O290" s="137"/>
      <c r="Q290" s="137">
        <v>2</v>
      </c>
      <c r="R290" s="137" t="s">
        <v>967</v>
      </c>
      <c r="S290" s="142"/>
      <c r="T290" s="137"/>
      <c r="U290" s="140"/>
      <c r="V290" s="143">
        <f>SUM(V291:V293)</f>
        <v>0.54328608</v>
      </c>
      <c r="W290" s="137"/>
    </row>
    <row r="291" spans="1:23">
      <c r="A291" s="137"/>
      <c r="B291" s="137" t="s">
        <v>1910</v>
      </c>
      <c r="C291" s="142" t="s">
        <v>90</v>
      </c>
      <c r="D291" s="137">
        <v>10</v>
      </c>
      <c r="E291" s="140"/>
      <c r="F291" s="143"/>
      <c r="G291" s="137"/>
      <c r="I291" s="137"/>
      <c r="J291" s="137" t="s">
        <v>1910</v>
      </c>
      <c r="K291" s="142" t="s">
        <v>90</v>
      </c>
      <c r="L291" s="137">
        <v>10</v>
      </c>
      <c r="M291" s="140"/>
      <c r="N291" s="143"/>
      <c r="O291" s="137"/>
      <c r="Q291" s="137"/>
      <c r="R291" s="137" t="s">
        <v>1910</v>
      </c>
      <c r="S291" s="142" t="s">
        <v>90</v>
      </c>
      <c r="T291" s="137">
        <v>10</v>
      </c>
      <c r="U291" s="140"/>
      <c r="V291" s="143"/>
      <c r="W291" s="137"/>
    </row>
    <row r="292" spans="1:23">
      <c r="A292" s="137"/>
      <c r="B292" s="137" t="s">
        <v>1892</v>
      </c>
      <c r="C292" s="142" t="s">
        <v>267</v>
      </c>
      <c r="D292" s="137">
        <v>1.72</v>
      </c>
      <c r="E292" s="140">
        <f>0.984*0.3</f>
        <v>0.2952</v>
      </c>
      <c r="F292" s="143">
        <f t="shared" ref="F292:F299" si="26">D292*E292</f>
        <v>0.507744</v>
      </c>
      <c r="G292" s="137"/>
      <c r="I292" s="137"/>
      <c r="J292" s="137" t="s">
        <v>1892</v>
      </c>
      <c r="K292" s="142" t="s">
        <v>267</v>
      </c>
      <c r="L292" s="137">
        <v>1.72</v>
      </c>
      <c r="M292" s="140">
        <f>0.984*0.3</f>
        <v>0.2952</v>
      </c>
      <c r="N292" s="143">
        <f t="shared" ref="N292:N299" si="27">L292*M292</f>
        <v>0.507744</v>
      </c>
      <c r="O292" s="137"/>
      <c r="Q292" s="137"/>
      <c r="R292" s="137" t="s">
        <v>1892</v>
      </c>
      <c r="S292" s="142" t="s">
        <v>267</v>
      </c>
      <c r="T292" s="137">
        <v>1.72</v>
      </c>
      <c r="U292" s="140">
        <f>0.984*0.3</f>
        <v>0.2952</v>
      </c>
      <c r="V292" s="143">
        <f t="shared" ref="V292:V299" si="28">T292*U292</f>
        <v>0.507744</v>
      </c>
      <c r="W292" s="137"/>
    </row>
    <row r="293" spans="1:23">
      <c r="A293" s="137"/>
      <c r="B293" s="137" t="s">
        <v>1163</v>
      </c>
      <c r="C293" s="137" t="s">
        <v>423</v>
      </c>
      <c r="D293" s="137">
        <v>7</v>
      </c>
      <c r="E293" s="140">
        <f>F292</f>
        <v>0.507744</v>
      </c>
      <c r="F293" s="143">
        <f>E293*D293%</f>
        <v>0.03554208</v>
      </c>
      <c r="G293" s="137"/>
      <c r="I293" s="137"/>
      <c r="J293" s="137" t="s">
        <v>1163</v>
      </c>
      <c r="K293" s="137" t="s">
        <v>423</v>
      </c>
      <c r="L293" s="137">
        <v>7</v>
      </c>
      <c r="M293" s="140">
        <f>N292</f>
        <v>0.507744</v>
      </c>
      <c r="N293" s="143">
        <f>M293*L293%</f>
        <v>0.03554208</v>
      </c>
      <c r="O293" s="137"/>
      <c r="Q293" s="137"/>
      <c r="R293" s="137" t="s">
        <v>1163</v>
      </c>
      <c r="S293" s="137" t="s">
        <v>423</v>
      </c>
      <c r="T293" s="137">
        <v>7</v>
      </c>
      <c r="U293" s="140">
        <f>V292</f>
        <v>0.507744</v>
      </c>
      <c r="V293" s="143">
        <f>U293*T293%</f>
        <v>0.03554208</v>
      </c>
      <c r="W293" s="137"/>
    </row>
    <row r="294" spans="1:23">
      <c r="A294" s="137" t="s">
        <v>1536</v>
      </c>
      <c r="B294" s="137" t="s">
        <v>977</v>
      </c>
      <c r="C294" s="144"/>
      <c r="D294" s="144">
        <v>0.048</v>
      </c>
      <c r="E294" s="140">
        <f>F286</f>
        <v>43.14128608</v>
      </c>
      <c r="F294" s="143">
        <f t="shared" si="26"/>
        <v>2.07078173184</v>
      </c>
      <c r="G294" s="137"/>
      <c r="I294" s="137" t="s">
        <v>1536</v>
      </c>
      <c r="J294" s="137" t="s">
        <v>977</v>
      </c>
      <c r="K294" s="144"/>
      <c r="L294" s="144">
        <v>0.048</v>
      </c>
      <c r="M294" s="140">
        <f>N286</f>
        <v>68.70008608</v>
      </c>
      <c r="N294" s="143">
        <f t="shared" si="27"/>
        <v>3.29760413184</v>
      </c>
      <c r="O294" s="137"/>
      <c r="Q294" s="137" t="s">
        <v>1536</v>
      </c>
      <c r="R294" s="137" t="s">
        <v>977</v>
      </c>
      <c r="S294" s="144"/>
      <c r="T294" s="144">
        <v>0.048</v>
      </c>
      <c r="U294" s="140">
        <f>V286</f>
        <v>53.79078608</v>
      </c>
      <c r="V294" s="143">
        <f t="shared" si="28"/>
        <v>2.58195773184</v>
      </c>
      <c r="W294" s="137"/>
    </row>
    <row r="295" spans="1:23">
      <c r="A295" s="137" t="s">
        <v>1595</v>
      </c>
      <c r="B295" s="137" t="s">
        <v>1191</v>
      </c>
      <c r="C295" s="144"/>
      <c r="D295" s="144">
        <v>0</v>
      </c>
      <c r="E295" s="140">
        <f>F286</f>
        <v>43.14128608</v>
      </c>
      <c r="F295" s="143">
        <f t="shared" si="26"/>
        <v>0</v>
      </c>
      <c r="G295" s="137"/>
      <c r="I295" s="137" t="s">
        <v>1595</v>
      </c>
      <c r="J295" s="137" t="s">
        <v>1191</v>
      </c>
      <c r="K295" s="144"/>
      <c r="L295" s="144">
        <v>0</v>
      </c>
      <c r="M295" s="140">
        <f>N286</f>
        <v>68.70008608</v>
      </c>
      <c r="N295" s="143">
        <f t="shared" si="27"/>
        <v>0</v>
      </c>
      <c r="O295" s="137"/>
      <c r="Q295" s="137" t="s">
        <v>1595</v>
      </c>
      <c r="R295" s="137" t="s">
        <v>1191</v>
      </c>
      <c r="S295" s="144"/>
      <c r="T295" s="144">
        <v>0</v>
      </c>
      <c r="U295" s="140">
        <f>V286</f>
        <v>53.79078608</v>
      </c>
      <c r="V295" s="143">
        <f t="shared" si="28"/>
        <v>0</v>
      </c>
      <c r="W295" s="137"/>
    </row>
    <row r="296" spans="1:23">
      <c r="A296" s="137" t="s">
        <v>72</v>
      </c>
      <c r="B296" s="137" t="s">
        <v>973</v>
      </c>
      <c r="C296" s="144"/>
      <c r="D296" s="144">
        <v>0.04</v>
      </c>
      <c r="E296" s="140">
        <f>F285</f>
        <v>45.21206781184</v>
      </c>
      <c r="F296" s="143">
        <f t="shared" si="26"/>
        <v>1.8084827124736</v>
      </c>
      <c r="G296" s="137"/>
      <c r="I296" s="137" t="s">
        <v>72</v>
      </c>
      <c r="J296" s="137" t="s">
        <v>973</v>
      </c>
      <c r="K296" s="144"/>
      <c r="L296" s="144">
        <v>0.04</v>
      </c>
      <c r="M296" s="140">
        <f>N285</f>
        <v>71.99769021184</v>
      </c>
      <c r="N296" s="143">
        <f t="shared" si="27"/>
        <v>2.8799076084736</v>
      </c>
      <c r="O296" s="137"/>
      <c r="Q296" s="137" t="s">
        <v>72</v>
      </c>
      <c r="R296" s="137" t="s">
        <v>973</v>
      </c>
      <c r="S296" s="144"/>
      <c r="T296" s="144">
        <v>0.04</v>
      </c>
      <c r="U296" s="140">
        <f>V285</f>
        <v>56.37274381184</v>
      </c>
      <c r="V296" s="143">
        <f t="shared" si="28"/>
        <v>2.2549097524736</v>
      </c>
      <c r="W296" s="137"/>
    </row>
    <row r="297" spans="1:23">
      <c r="A297" s="137" t="s">
        <v>162</v>
      </c>
      <c r="B297" s="137" t="s">
        <v>975</v>
      </c>
      <c r="C297" s="145"/>
      <c r="D297" s="145">
        <v>0.07</v>
      </c>
      <c r="E297" s="140">
        <f>F285+F296</f>
        <v>47.0205505243136</v>
      </c>
      <c r="F297" s="143">
        <f t="shared" si="26"/>
        <v>3.29143853670195</v>
      </c>
      <c r="G297" s="137"/>
      <c r="I297" s="137" t="s">
        <v>162</v>
      </c>
      <c r="J297" s="137" t="s">
        <v>975</v>
      </c>
      <c r="K297" s="145"/>
      <c r="L297" s="145">
        <v>0.07</v>
      </c>
      <c r="M297" s="140">
        <f>N285+N296</f>
        <v>74.8775978203136</v>
      </c>
      <c r="N297" s="143">
        <f t="shared" si="27"/>
        <v>5.24143184742195</v>
      </c>
      <c r="O297" s="137"/>
      <c r="Q297" s="137" t="s">
        <v>162</v>
      </c>
      <c r="R297" s="137" t="s">
        <v>975</v>
      </c>
      <c r="S297" s="145"/>
      <c r="T297" s="145">
        <v>0.07</v>
      </c>
      <c r="U297" s="140">
        <f>V285+V296</f>
        <v>58.6276535643136</v>
      </c>
      <c r="V297" s="143">
        <f t="shared" si="28"/>
        <v>4.10393574950195</v>
      </c>
      <c r="W297" s="137"/>
    </row>
    <row r="298" spans="1:23">
      <c r="A298" s="137" t="s">
        <v>214</v>
      </c>
      <c r="B298" s="137" t="s">
        <v>1596</v>
      </c>
      <c r="C298" s="145"/>
      <c r="D298" s="145">
        <v>0.09</v>
      </c>
      <c r="E298" s="140">
        <f>F285+F296+F297</f>
        <v>50.3119890610156</v>
      </c>
      <c r="F298" s="143">
        <f t="shared" si="26"/>
        <v>4.5280790154914</v>
      </c>
      <c r="G298" s="137"/>
      <c r="I298" s="137" t="s">
        <v>214</v>
      </c>
      <c r="J298" s="137" t="s">
        <v>1596</v>
      </c>
      <c r="K298" s="145"/>
      <c r="L298" s="145">
        <v>0.09</v>
      </c>
      <c r="M298" s="140">
        <f>N285+N296+N297</f>
        <v>80.1190296677356</v>
      </c>
      <c r="N298" s="143">
        <f t="shared" si="27"/>
        <v>7.2107126700962</v>
      </c>
      <c r="O298" s="137"/>
      <c r="Q298" s="137" t="s">
        <v>214</v>
      </c>
      <c r="R298" s="137" t="s">
        <v>1596</v>
      </c>
      <c r="S298" s="145"/>
      <c r="T298" s="145">
        <v>0.09</v>
      </c>
      <c r="U298" s="140">
        <f>V285+V296+V297</f>
        <v>62.7315893138155</v>
      </c>
      <c r="V298" s="143">
        <f t="shared" si="28"/>
        <v>5.6458430382434</v>
      </c>
      <c r="W298" s="137"/>
    </row>
    <row r="299" spans="1:23">
      <c r="A299" s="137"/>
      <c r="B299" s="137" t="s">
        <v>1192</v>
      </c>
      <c r="C299" s="145"/>
      <c r="D299" s="145">
        <v>0</v>
      </c>
      <c r="E299" s="140">
        <f>E298+F298</f>
        <v>54.840068076507</v>
      </c>
      <c r="F299" s="141">
        <f t="shared" si="26"/>
        <v>0</v>
      </c>
      <c r="G299" s="137"/>
      <c r="I299" s="137"/>
      <c r="J299" s="137" t="s">
        <v>1192</v>
      </c>
      <c r="K299" s="145"/>
      <c r="L299" s="145">
        <v>0</v>
      </c>
      <c r="M299" s="140">
        <f>M298+N298</f>
        <v>87.3297423378318</v>
      </c>
      <c r="N299" s="141">
        <f t="shared" si="27"/>
        <v>0</v>
      </c>
      <c r="O299" s="137"/>
      <c r="Q299" s="137"/>
      <c r="R299" s="137" t="s">
        <v>1192</v>
      </c>
      <c r="S299" s="145"/>
      <c r="T299" s="145">
        <v>0</v>
      </c>
      <c r="U299" s="140">
        <f>U298+V298</f>
        <v>68.3774323520589</v>
      </c>
      <c r="V299" s="141">
        <f t="shared" si="28"/>
        <v>0</v>
      </c>
      <c r="W299" s="137"/>
    </row>
    <row r="300" spans="1:23">
      <c r="A300" s="137"/>
      <c r="B300" s="137" t="s">
        <v>1193</v>
      </c>
      <c r="C300" s="137"/>
      <c r="D300" s="137"/>
      <c r="E300" s="140"/>
      <c r="F300" s="141">
        <f>E299+F299</f>
        <v>54.840068076507</v>
      </c>
      <c r="G300" s="137"/>
      <c r="I300" s="137"/>
      <c r="J300" s="137" t="s">
        <v>1193</v>
      </c>
      <c r="K300" s="137"/>
      <c r="L300" s="137"/>
      <c r="M300" s="140"/>
      <c r="N300" s="141">
        <f>M299+N299</f>
        <v>87.3297423378318</v>
      </c>
      <c r="O300" s="137"/>
      <c r="Q300" s="137"/>
      <c r="R300" s="137" t="s">
        <v>1193</v>
      </c>
      <c r="S300" s="137"/>
      <c r="T300" s="137"/>
      <c r="U300" s="140"/>
      <c r="V300" s="141">
        <f>U299+V299</f>
        <v>68.3774323520589</v>
      </c>
      <c r="W300" s="137"/>
    </row>
    <row r="301" spans="1:15">
      <c r="A301" s="128" t="s">
        <v>1612</v>
      </c>
      <c r="B301" s="128"/>
      <c r="C301" s="128"/>
      <c r="D301" s="128"/>
      <c r="E301" s="128"/>
      <c r="F301" s="128"/>
      <c r="G301" s="128"/>
      <c r="I301" s="128" t="s">
        <v>1612</v>
      </c>
      <c r="J301" s="128"/>
      <c r="K301" s="128"/>
      <c r="L301" s="128"/>
      <c r="M301" s="128"/>
      <c r="N301" s="128"/>
      <c r="O301" s="128"/>
    </row>
    <row r="302" spans="1:15">
      <c r="A302" s="130" t="s">
        <v>1911</v>
      </c>
      <c r="B302" s="130"/>
      <c r="C302" s="130"/>
      <c r="D302" s="130"/>
      <c r="E302" s="131"/>
      <c r="F302" s="130"/>
      <c r="G302" s="130"/>
      <c r="I302" s="130" t="s">
        <v>1911</v>
      </c>
      <c r="J302" s="130"/>
      <c r="K302" s="130"/>
      <c r="L302" s="130"/>
      <c r="M302" s="131"/>
      <c r="N302" s="130"/>
      <c r="O302" s="130"/>
    </row>
    <row r="303" spans="1:15">
      <c r="A303" s="146" t="s">
        <v>1912</v>
      </c>
      <c r="B303" s="146"/>
      <c r="C303" s="146"/>
      <c r="D303" s="146"/>
      <c r="E303" s="133"/>
      <c r="F303" s="134" t="s">
        <v>1614</v>
      </c>
      <c r="G303" s="134"/>
      <c r="I303" s="146" t="s">
        <v>1912</v>
      </c>
      <c r="J303" s="146"/>
      <c r="K303" s="146"/>
      <c r="L303" s="146"/>
      <c r="M303" s="133"/>
      <c r="N303" s="134" t="s">
        <v>1614</v>
      </c>
      <c r="O303" s="134"/>
    </row>
    <row r="304" spans="1:15">
      <c r="A304" s="135" t="s">
        <v>1184</v>
      </c>
      <c r="B304" s="135"/>
      <c r="C304" s="135"/>
      <c r="D304" s="135"/>
      <c r="E304" s="136"/>
      <c r="F304" s="135"/>
      <c r="G304" s="135"/>
      <c r="I304" s="135" t="s">
        <v>1184</v>
      </c>
      <c r="J304" s="135"/>
      <c r="K304" s="135"/>
      <c r="L304" s="135"/>
      <c r="M304" s="136"/>
      <c r="N304" s="135"/>
      <c r="O304" s="135"/>
    </row>
    <row r="305" spans="1:15">
      <c r="A305" s="137" t="s">
        <v>354</v>
      </c>
      <c r="B305" s="137" t="s">
        <v>1586</v>
      </c>
      <c r="C305" s="137" t="s">
        <v>52</v>
      </c>
      <c r="D305" s="137" t="s">
        <v>53</v>
      </c>
      <c r="E305" s="138" t="s">
        <v>855</v>
      </c>
      <c r="F305" s="139" t="s">
        <v>306</v>
      </c>
      <c r="G305" s="137" t="s">
        <v>56</v>
      </c>
      <c r="I305" s="137" t="s">
        <v>354</v>
      </c>
      <c r="J305" s="137" t="s">
        <v>1586</v>
      </c>
      <c r="K305" s="137" t="s">
        <v>52</v>
      </c>
      <c r="L305" s="137" t="s">
        <v>53</v>
      </c>
      <c r="M305" s="138" t="s">
        <v>855</v>
      </c>
      <c r="N305" s="139" t="s">
        <v>306</v>
      </c>
      <c r="O305" s="137" t="s">
        <v>56</v>
      </c>
    </row>
    <row r="306" spans="1:15">
      <c r="A306" s="137" t="s">
        <v>57</v>
      </c>
      <c r="B306" s="137" t="s">
        <v>960</v>
      </c>
      <c r="C306" s="137"/>
      <c r="D306" s="137"/>
      <c r="E306" s="140"/>
      <c r="F306" s="141">
        <f>F307+F315+F316</f>
        <v>39.491255808</v>
      </c>
      <c r="G306" s="137"/>
      <c r="I306" s="137" t="s">
        <v>57</v>
      </c>
      <c r="J306" s="137" t="s">
        <v>960</v>
      </c>
      <c r="K306" s="137"/>
      <c r="L306" s="137"/>
      <c r="M306" s="140"/>
      <c r="N306" s="141">
        <f>N307+N315+N316</f>
        <v>49.230319808</v>
      </c>
      <c r="O306" s="137"/>
    </row>
    <row r="307" spans="1:15">
      <c r="A307" s="137" t="s">
        <v>1534</v>
      </c>
      <c r="B307" s="137" t="s">
        <v>957</v>
      </c>
      <c r="C307" s="137"/>
      <c r="D307" s="137"/>
      <c r="E307" s="140"/>
      <c r="F307" s="141">
        <f>F308+F311</f>
        <v>37.682496</v>
      </c>
      <c r="G307" s="137"/>
      <c r="I307" s="137" t="s">
        <v>1534</v>
      </c>
      <c r="J307" s="137" t="s">
        <v>957</v>
      </c>
      <c r="K307" s="137"/>
      <c r="L307" s="137"/>
      <c r="M307" s="140"/>
      <c r="N307" s="141">
        <f>N308+N311</f>
        <v>46.975496</v>
      </c>
      <c r="O307" s="137"/>
    </row>
    <row r="308" spans="1:15">
      <c r="A308" s="137">
        <v>1</v>
      </c>
      <c r="B308" s="137" t="s">
        <v>963</v>
      </c>
      <c r="C308" s="142"/>
      <c r="D308" s="137"/>
      <c r="E308" s="140"/>
      <c r="F308" s="143">
        <f>SUM(F309:F310)</f>
        <v>37.172</v>
      </c>
      <c r="G308" s="137"/>
      <c r="I308" s="137">
        <v>1</v>
      </c>
      <c r="J308" s="137" t="s">
        <v>963</v>
      </c>
      <c r="K308" s="142"/>
      <c r="L308" s="137"/>
      <c r="M308" s="140"/>
      <c r="N308" s="143">
        <f>SUM(N309:N310)</f>
        <v>46.465</v>
      </c>
      <c r="O308" s="137"/>
    </row>
    <row r="309" spans="1:15">
      <c r="A309" s="137"/>
      <c r="B309" s="142" t="s">
        <v>966</v>
      </c>
      <c r="C309" s="142" t="s">
        <v>965</v>
      </c>
      <c r="D309" s="137">
        <v>0.6</v>
      </c>
      <c r="E309" s="140">
        <v>8.1</v>
      </c>
      <c r="F309" s="143">
        <f>E309*D309</f>
        <v>4.86</v>
      </c>
      <c r="G309" s="137"/>
      <c r="I309" s="137"/>
      <c r="J309" s="142" t="s">
        <v>966</v>
      </c>
      <c r="K309" s="142" t="s">
        <v>965</v>
      </c>
      <c r="L309" s="137">
        <f>1.25*0.6</f>
        <v>0.75</v>
      </c>
      <c r="M309" s="140">
        <v>8.1</v>
      </c>
      <c r="N309" s="143">
        <f>M309*L309</f>
        <v>6.075</v>
      </c>
      <c r="O309" s="137"/>
    </row>
    <row r="310" spans="1:15">
      <c r="A310" s="137"/>
      <c r="B310" s="142" t="s">
        <v>968</v>
      </c>
      <c r="C310" s="142" t="s">
        <v>965</v>
      </c>
      <c r="D310" s="137">
        <v>5.6</v>
      </c>
      <c r="E310" s="140">
        <v>5.77</v>
      </c>
      <c r="F310" s="143">
        <f>E310*D310</f>
        <v>32.312</v>
      </c>
      <c r="G310" s="137"/>
      <c r="I310" s="137"/>
      <c r="J310" s="142" t="s">
        <v>968</v>
      </c>
      <c r="K310" s="142" t="s">
        <v>965</v>
      </c>
      <c r="L310" s="137">
        <f>1.25*5.6</f>
        <v>7</v>
      </c>
      <c r="M310" s="140">
        <v>5.77</v>
      </c>
      <c r="N310" s="143">
        <f>M310*L310</f>
        <v>40.39</v>
      </c>
      <c r="O310" s="137"/>
    </row>
    <row r="311" spans="1:15">
      <c r="A311" s="137">
        <v>2</v>
      </c>
      <c r="B311" s="137" t="s">
        <v>967</v>
      </c>
      <c r="C311" s="142"/>
      <c r="D311" s="137"/>
      <c r="E311" s="140"/>
      <c r="F311" s="143">
        <f>SUM(F312:F314)</f>
        <v>0.510496</v>
      </c>
      <c r="G311" s="137"/>
      <c r="I311" s="137">
        <v>2</v>
      </c>
      <c r="J311" s="137" t="s">
        <v>967</v>
      </c>
      <c r="K311" s="142"/>
      <c r="L311" s="137"/>
      <c r="M311" s="140"/>
      <c r="N311" s="143">
        <f>SUM(N312:N314)</f>
        <v>0.510496</v>
      </c>
      <c r="O311" s="137"/>
    </row>
    <row r="312" spans="1:15">
      <c r="A312" s="137"/>
      <c r="B312" s="137" t="s">
        <v>1913</v>
      </c>
      <c r="C312" s="142" t="s">
        <v>90</v>
      </c>
      <c r="D312" s="137">
        <v>10</v>
      </c>
      <c r="E312" s="140"/>
      <c r="F312" s="143"/>
      <c r="G312" s="137"/>
      <c r="I312" s="137"/>
      <c r="J312" s="137" t="s">
        <v>1913</v>
      </c>
      <c r="K312" s="142" t="s">
        <v>90</v>
      </c>
      <c r="L312" s="137">
        <v>10</v>
      </c>
      <c r="M312" s="140"/>
      <c r="N312" s="143"/>
      <c r="O312" s="137"/>
    </row>
    <row r="313" spans="1:15">
      <c r="A313" s="137"/>
      <c r="B313" s="137" t="s">
        <v>1892</v>
      </c>
      <c r="C313" s="142" t="s">
        <v>267</v>
      </c>
      <c r="D313" s="137">
        <v>1.72</v>
      </c>
      <c r="E313" s="140">
        <f>0.56*0.5</f>
        <v>0.28</v>
      </c>
      <c r="F313" s="143">
        <f t="shared" ref="F313:F320" si="29">D313*E313</f>
        <v>0.4816</v>
      </c>
      <c r="G313" s="137"/>
      <c r="I313" s="137"/>
      <c r="J313" s="137" t="s">
        <v>1892</v>
      </c>
      <c r="K313" s="142" t="s">
        <v>267</v>
      </c>
      <c r="L313" s="137">
        <v>1.72</v>
      </c>
      <c r="M313" s="140">
        <f>0.56*0.5</f>
        <v>0.28</v>
      </c>
      <c r="N313" s="143">
        <f t="shared" ref="N313:N320" si="30">L313*M313</f>
        <v>0.4816</v>
      </c>
      <c r="O313" s="137"/>
    </row>
    <row r="314" spans="1:15">
      <c r="A314" s="137"/>
      <c r="B314" s="137" t="s">
        <v>1163</v>
      </c>
      <c r="C314" s="137" t="s">
        <v>423</v>
      </c>
      <c r="D314" s="137">
        <v>6</v>
      </c>
      <c r="E314" s="140">
        <f>F313</f>
        <v>0.4816</v>
      </c>
      <c r="F314" s="143">
        <f>E314*D314%</f>
        <v>0.028896</v>
      </c>
      <c r="G314" s="137"/>
      <c r="I314" s="137"/>
      <c r="J314" s="137" t="s">
        <v>1163</v>
      </c>
      <c r="K314" s="137" t="s">
        <v>423</v>
      </c>
      <c r="L314" s="137">
        <v>6</v>
      </c>
      <c r="M314" s="140">
        <f>N313</f>
        <v>0.4816</v>
      </c>
      <c r="N314" s="143">
        <f>M314*L314%</f>
        <v>0.028896</v>
      </c>
      <c r="O314" s="137"/>
    </row>
    <row r="315" spans="1:15">
      <c r="A315" s="137" t="s">
        <v>1536</v>
      </c>
      <c r="B315" s="137" t="s">
        <v>977</v>
      </c>
      <c r="C315" s="144"/>
      <c r="D315" s="144">
        <f t="shared" ref="D315:D320" si="31">D294</f>
        <v>0.048</v>
      </c>
      <c r="E315" s="140">
        <f>F307</f>
        <v>37.682496</v>
      </c>
      <c r="F315" s="143">
        <f t="shared" si="29"/>
        <v>1.808759808</v>
      </c>
      <c r="G315" s="137"/>
      <c r="I315" s="137" t="s">
        <v>1536</v>
      </c>
      <c r="J315" s="137" t="s">
        <v>977</v>
      </c>
      <c r="K315" s="144"/>
      <c r="L315" s="144">
        <f t="shared" ref="L315:L320" si="32">L294</f>
        <v>0.048</v>
      </c>
      <c r="M315" s="140">
        <f>N307</f>
        <v>46.975496</v>
      </c>
      <c r="N315" s="143">
        <f t="shared" si="30"/>
        <v>2.254823808</v>
      </c>
      <c r="O315" s="137"/>
    </row>
    <row r="316" spans="1:15">
      <c r="A316" s="137" t="s">
        <v>1595</v>
      </c>
      <c r="B316" s="137" t="s">
        <v>1191</v>
      </c>
      <c r="C316" s="144"/>
      <c r="D316" s="144">
        <f t="shared" si="31"/>
        <v>0</v>
      </c>
      <c r="E316" s="140">
        <f>F307</f>
        <v>37.682496</v>
      </c>
      <c r="F316" s="143">
        <f t="shared" si="29"/>
        <v>0</v>
      </c>
      <c r="G316" s="137"/>
      <c r="I316" s="137" t="s">
        <v>1595</v>
      </c>
      <c r="J316" s="137" t="s">
        <v>1191</v>
      </c>
      <c r="K316" s="144"/>
      <c r="L316" s="144">
        <f t="shared" si="32"/>
        <v>0</v>
      </c>
      <c r="M316" s="140">
        <f>N307</f>
        <v>46.975496</v>
      </c>
      <c r="N316" s="143">
        <f t="shared" si="30"/>
        <v>0</v>
      </c>
      <c r="O316" s="137"/>
    </row>
    <row r="317" spans="1:15">
      <c r="A317" s="137" t="s">
        <v>72</v>
      </c>
      <c r="B317" s="137" t="s">
        <v>973</v>
      </c>
      <c r="C317" s="144"/>
      <c r="D317" s="144">
        <f t="shared" si="31"/>
        <v>0.04</v>
      </c>
      <c r="E317" s="140">
        <f>F306</f>
        <v>39.491255808</v>
      </c>
      <c r="F317" s="143">
        <f t="shared" si="29"/>
        <v>1.57965023232</v>
      </c>
      <c r="G317" s="137"/>
      <c r="I317" s="137" t="s">
        <v>72</v>
      </c>
      <c r="J317" s="137" t="s">
        <v>973</v>
      </c>
      <c r="K317" s="144"/>
      <c r="L317" s="144">
        <f t="shared" si="32"/>
        <v>0.04</v>
      </c>
      <c r="M317" s="140">
        <f>N306</f>
        <v>49.230319808</v>
      </c>
      <c r="N317" s="143">
        <f t="shared" si="30"/>
        <v>1.96921279232</v>
      </c>
      <c r="O317" s="137"/>
    </row>
    <row r="318" spans="1:15">
      <c r="A318" s="137" t="s">
        <v>162</v>
      </c>
      <c r="B318" s="137" t="s">
        <v>975</v>
      </c>
      <c r="C318" s="144"/>
      <c r="D318" s="144">
        <f t="shared" si="31"/>
        <v>0.07</v>
      </c>
      <c r="E318" s="140">
        <f>F306+F317</f>
        <v>41.07090604032</v>
      </c>
      <c r="F318" s="143">
        <f t="shared" si="29"/>
        <v>2.8749634228224</v>
      </c>
      <c r="G318" s="137"/>
      <c r="I318" s="137" t="s">
        <v>162</v>
      </c>
      <c r="J318" s="137" t="s">
        <v>975</v>
      </c>
      <c r="K318" s="144"/>
      <c r="L318" s="144">
        <f t="shared" si="32"/>
        <v>0.07</v>
      </c>
      <c r="M318" s="140">
        <f>N306+N317</f>
        <v>51.19953260032</v>
      </c>
      <c r="N318" s="143">
        <f t="shared" si="30"/>
        <v>3.5839672820224</v>
      </c>
      <c r="O318" s="137"/>
    </row>
    <row r="319" spans="1:15">
      <c r="A319" s="137" t="s">
        <v>214</v>
      </c>
      <c r="B319" s="137" t="s">
        <v>1596</v>
      </c>
      <c r="C319" s="145"/>
      <c r="D319" s="144">
        <f t="shared" si="31"/>
        <v>0.09</v>
      </c>
      <c r="E319" s="140">
        <f>F306+F317+F318</f>
        <v>43.9458694631424</v>
      </c>
      <c r="F319" s="143">
        <f t="shared" si="29"/>
        <v>3.95512825168282</v>
      </c>
      <c r="G319" s="137"/>
      <c r="I319" s="137" t="s">
        <v>214</v>
      </c>
      <c r="J319" s="137" t="s">
        <v>1596</v>
      </c>
      <c r="K319" s="145"/>
      <c r="L319" s="144">
        <f t="shared" si="32"/>
        <v>0.09</v>
      </c>
      <c r="M319" s="140">
        <f>N306+N317+N318</f>
        <v>54.7834998823424</v>
      </c>
      <c r="N319" s="143">
        <f t="shared" si="30"/>
        <v>4.93051498941082</v>
      </c>
      <c r="O319" s="137"/>
    </row>
    <row r="320" spans="1:15">
      <c r="A320" s="137"/>
      <c r="B320" s="137" t="s">
        <v>1192</v>
      </c>
      <c r="C320" s="145"/>
      <c r="D320" s="144">
        <f t="shared" si="31"/>
        <v>0</v>
      </c>
      <c r="E320" s="140">
        <f>E319+F319</f>
        <v>47.9009977148252</v>
      </c>
      <c r="F320" s="141">
        <f t="shared" si="29"/>
        <v>0</v>
      </c>
      <c r="G320" s="137"/>
      <c r="I320" s="137"/>
      <c r="J320" s="137" t="s">
        <v>1192</v>
      </c>
      <c r="K320" s="145"/>
      <c r="L320" s="144">
        <f t="shared" si="32"/>
        <v>0</v>
      </c>
      <c r="M320" s="140">
        <f>M319+N319</f>
        <v>59.7140148717532</v>
      </c>
      <c r="N320" s="141">
        <f t="shared" si="30"/>
        <v>0</v>
      </c>
      <c r="O320" s="137"/>
    </row>
    <row r="321" spans="1:15">
      <c r="A321" s="137"/>
      <c r="B321" s="137" t="s">
        <v>1193</v>
      </c>
      <c r="C321" s="137"/>
      <c r="D321" s="137"/>
      <c r="E321" s="140"/>
      <c r="F321" s="141">
        <f>E320+F320</f>
        <v>47.9009977148252</v>
      </c>
      <c r="G321" s="137"/>
      <c r="I321" s="137"/>
      <c r="J321" s="137" t="s">
        <v>1193</v>
      </c>
      <c r="K321" s="137"/>
      <c r="L321" s="137"/>
      <c r="M321" s="140"/>
      <c r="N321" s="141">
        <f>M320+N320</f>
        <v>59.7140148717532</v>
      </c>
      <c r="O321" s="137"/>
    </row>
    <row r="322" spans="1:7">
      <c r="A322" s="128" t="s">
        <v>1612</v>
      </c>
      <c r="B322" s="128"/>
      <c r="C322" s="128"/>
      <c r="D322" s="128"/>
      <c r="E322" s="128"/>
      <c r="F322" s="128"/>
      <c r="G322" s="128"/>
    </row>
    <row r="323" spans="1:7">
      <c r="A323" s="130" t="s">
        <v>1914</v>
      </c>
      <c r="B323" s="130"/>
      <c r="C323" s="130"/>
      <c r="D323" s="130"/>
      <c r="E323" s="131"/>
      <c r="F323" s="130"/>
      <c r="G323" s="130"/>
    </row>
    <row r="324" spans="1:7">
      <c r="A324" s="146" t="s">
        <v>1915</v>
      </c>
      <c r="B324" s="146"/>
      <c r="C324" s="146"/>
      <c r="D324" s="146"/>
      <c r="E324" s="133"/>
      <c r="F324" s="134" t="s">
        <v>1614</v>
      </c>
      <c r="G324" s="134"/>
    </row>
    <row r="325" spans="1:7">
      <c r="A325" s="135" t="s">
        <v>1184</v>
      </c>
      <c r="B325" s="135"/>
      <c r="C325" s="135"/>
      <c r="D325" s="135"/>
      <c r="E325" s="136"/>
      <c r="F325" s="135"/>
      <c r="G325" s="135"/>
    </row>
    <row r="326" spans="1:7">
      <c r="A326" s="137" t="s">
        <v>354</v>
      </c>
      <c r="B326" s="137" t="s">
        <v>1586</v>
      </c>
      <c r="C326" s="137" t="s">
        <v>52</v>
      </c>
      <c r="D326" s="137" t="s">
        <v>53</v>
      </c>
      <c r="E326" s="138" t="s">
        <v>855</v>
      </c>
      <c r="F326" s="139" t="s">
        <v>306</v>
      </c>
      <c r="G326" s="137" t="s">
        <v>56</v>
      </c>
    </row>
    <row r="327" spans="1:7">
      <c r="A327" s="137" t="s">
        <v>57</v>
      </c>
      <c r="B327" s="137" t="s">
        <v>960</v>
      </c>
      <c r="C327" s="137"/>
      <c r="D327" s="137"/>
      <c r="E327" s="140"/>
      <c r="F327" s="141">
        <f>F328+F336+F337</f>
        <v>30.018997936</v>
      </c>
      <c r="G327" s="137"/>
    </row>
    <row r="328" spans="1:7">
      <c r="A328" s="137" t="s">
        <v>1534</v>
      </c>
      <c r="B328" s="137" t="s">
        <v>957</v>
      </c>
      <c r="C328" s="137"/>
      <c r="D328" s="137"/>
      <c r="E328" s="140"/>
      <c r="F328" s="141">
        <f>F329+F332</f>
        <v>28.644082</v>
      </c>
      <c r="G328" s="137"/>
    </row>
    <row r="329" spans="1:7">
      <c r="A329" s="137">
        <v>1</v>
      </c>
      <c r="B329" s="137" t="s">
        <v>963</v>
      </c>
      <c r="C329" s="142"/>
      <c r="D329" s="137"/>
      <c r="E329" s="140"/>
      <c r="F329" s="143">
        <f>SUM(F330:F331)</f>
        <v>28.284</v>
      </c>
      <c r="G329" s="137"/>
    </row>
    <row r="330" spans="1:7">
      <c r="A330" s="137"/>
      <c r="B330" s="142" t="s">
        <v>966</v>
      </c>
      <c r="C330" s="142" t="s">
        <v>965</v>
      </c>
      <c r="D330" s="137">
        <v>0.5</v>
      </c>
      <c r="E330" s="140">
        <v>8.1</v>
      </c>
      <c r="F330" s="143">
        <f>E330*D330</f>
        <v>4.05</v>
      </c>
      <c r="G330" s="137"/>
    </row>
    <row r="331" spans="1:7">
      <c r="A331" s="137"/>
      <c r="B331" s="142" t="s">
        <v>968</v>
      </c>
      <c r="C331" s="142" t="s">
        <v>965</v>
      </c>
      <c r="D331" s="137">
        <v>4.2</v>
      </c>
      <c r="E331" s="140">
        <v>5.77</v>
      </c>
      <c r="F331" s="143">
        <f>E331*D331</f>
        <v>24.234</v>
      </c>
      <c r="G331" s="137"/>
    </row>
    <row r="332" spans="1:7">
      <c r="A332" s="137">
        <v>2</v>
      </c>
      <c r="B332" s="137" t="s">
        <v>967</v>
      </c>
      <c r="C332" s="142"/>
      <c r="D332" s="137"/>
      <c r="E332" s="140"/>
      <c r="F332" s="143">
        <f>SUM(F333:F335)</f>
        <v>0.360082</v>
      </c>
      <c r="G332" s="137"/>
    </row>
    <row r="333" spans="1:7">
      <c r="A333" s="137"/>
      <c r="B333" s="137" t="s">
        <v>1916</v>
      </c>
      <c r="C333" s="142" t="s">
        <v>90</v>
      </c>
      <c r="D333" s="137">
        <v>10</v>
      </c>
      <c r="E333" s="140"/>
      <c r="F333" s="143"/>
      <c r="G333" s="137"/>
    </row>
    <row r="334" spans="1:7">
      <c r="A334" s="137"/>
      <c r="B334" s="137" t="s">
        <v>1892</v>
      </c>
      <c r="C334" s="142" t="s">
        <v>267</v>
      </c>
      <c r="D334" s="137">
        <v>1.72</v>
      </c>
      <c r="E334" s="140">
        <f>0.395*0.5</f>
        <v>0.1975</v>
      </c>
      <c r="F334" s="143">
        <f t="shared" ref="F334:F341" si="33">D334*E334</f>
        <v>0.3397</v>
      </c>
      <c r="G334" s="137"/>
    </row>
    <row r="335" spans="1:7">
      <c r="A335" s="137"/>
      <c r="B335" s="137" t="s">
        <v>1163</v>
      </c>
      <c r="C335" s="137" t="s">
        <v>423</v>
      </c>
      <c r="D335" s="137">
        <v>6</v>
      </c>
      <c r="E335" s="140">
        <f>F334</f>
        <v>0.3397</v>
      </c>
      <c r="F335" s="143">
        <f>E335*D335%</f>
        <v>0.020382</v>
      </c>
      <c r="G335" s="137"/>
    </row>
    <row r="336" spans="1:7">
      <c r="A336" s="137" t="s">
        <v>1536</v>
      </c>
      <c r="B336" s="137" t="s">
        <v>977</v>
      </c>
      <c r="C336" s="144"/>
      <c r="D336" s="144">
        <f t="shared" ref="D336:D341" si="34">D315</f>
        <v>0.048</v>
      </c>
      <c r="E336" s="140">
        <f>F328</f>
        <v>28.644082</v>
      </c>
      <c r="F336" s="143">
        <f t="shared" si="33"/>
        <v>1.374915936</v>
      </c>
      <c r="G336" s="137"/>
    </row>
    <row r="337" spans="1:7">
      <c r="A337" s="137" t="s">
        <v>1595</v>
      </c>
      <c r="B337" s="137" t="s">
        <v>1191</v>
      </c>
      <c r="C337" s="144"/>
      <c r="D337" s="144">
        <f t="shared" si="34"/>
        <v>0</v>
      </c>
      <c r="E337" s="140">
        <f>F328</f>
        <v>28.644082</v>
      </c>
      <c r="F337" s="143">
        <f t="shared" si="33"/>
        <v>0</v>
      </c>
      <c r="G337" s="137"/>
    </row>
    <row r="338" spans="1:7">
      <c r="A338" s="137" t="s">
        <v>72</v>
      </c>
      <c r="B338" s="137" t="s">
        <v>973</v>
      </c>
      <c r="C338" s="144"/>
      <c r="D338" s="144">
        <f t="shared" si="34"/>
        <v>0.04</v>
      </c>
      <c r="E338" s="140">
        <f>F327</f>
        <v>30.018997936</v>
      </c>
      <c r="F338" s="143">
        <f t="shared" si="33"/>
        <v>1.20075991744</v>
      </c>
      <c r="G338" s="137"/>
    </row>
    <row r="339" spans="1:7">
      <c r="A339" s="137" t="s">
        <v>162</v>
      </c>
      <c r="B339" s="137" t="s">
        <v>975</v>
      </c>
      <c r="C339" s="144"/>
      <c r="D339" s="144">
        <f t="shared" si="34"/>
        <v>0.07</v>
      </c>
      <c r="E339" s="140">
        <f>F327+F338</f>
        <v>31.21975785344</v>
      </c>
      <c r="F339" s="143">
        <f t="shared" si="33"/>
        <v>2.1853830497408</v>
      </c>
      <c r="G339" s="137"/>
    </row>
    <row r="340" spans="1:7">
      <c r="A340" s="137" t="s">
        <v>214</v>
      </c>
      <c r="B340" s="137" t="s">
        <v>1596</v>
      </c>
      <c r="C340" s="145"/>
      <c r="D340" s="144">
        <f t="shared" si="34"/>
        <v>0.09</v>
      </c>
      <c r="E340" s="140">
        <f>F327+F338+F339</f>
        <v>33.4051409031808</v>
      </c>
      <c r="F340" s="143">
        <f t="shared" si="33"/>
        <v>3.00646268128627</v>
      </c>
      <c r="G340" s="137"/>
    </row>
    <row r="341" spans="1:7">
      <c r="A341" s="137"/>
      <c r="B341" s="137" t="s">
        <v>1192</v>
      </c>
      <c r="C341" s="145"/>
      <c r="D341" s="144">
        <f t="shared" si="34"/>
        <v>0</v>
      </c>
      <c r="E341" s="140">
        <f>E340+F340</f>
        <v>36.4116035844671</v>
      </c>
      <c r="F341" s="141">
        <f t="shared" si="33"/>
        <v>0</v>
      </c>
      <c r="G341" s="137"/>
    </row>
    <row r="342" spans="1:7">
      <c r="A342" s="137"/>
      <c r="B342" s="137" t="s">
        <v>1193</v>
      </c>
      <c r="C342" s="137"/>
      <c r="D342" s="137"/>
      <c r="E342" s="140"/>
      <c r="F342" s="141">
        <f>E341+F341</f>
        <v>36.4116035844671</v>
      </c>
      <c r="G342" s="137"/>
    </row>
    <row r="343" spans="1:7">
      <c r="A343" s="128" t="s">
        <v>1612</v>
      </c>
      <c r="B343" s="128"/>
      <c r="C343" s="128"/>
      <c r="D343" s="128"/>
      <c r="E343" s="129"/>
      <c r="F343" s="128"/>
      <c r="G343" s="128"/>
    </row>
    <row r="344" spans="1:7">
      <c r="A344" s="130" t="s">
        <v>1917</v>
      </c>
      <c r="B344" s="130"/>
      <c r="C344" s="130"/>
      <c r="D344" s="130"/>
      <c r="E344" s="131"/>
      <c r="F344" s="130"/>
      <c r="G344" s="130"/>
    </row>
    <row r="345" spans="1:7">
      <c r="A345" s="146" t="s">
        <v>1918</v>
      </c>
      <c r="B345" s="146"/>
      <c r="C345" s="146"/>
      <c r="D345" s="146"/>
      <c r="E345" s="133"/>
      <c r="F345" s="134" t="s">
        <v>1614</v>
      </c>
      <c r="G345" s="134"/>
    </row>
    <row r="346" spans="1:7">
      <c r="A346" s="135" t="s">
        <v>1184</v>
      </c>
      <c r="B346" s="135"/>
      <c r="C346" s="135"/>
      <c r="D346" s="135"/>
      <c r="E346" s="136"/>
      <c r="F346" s="135"/>
      <c r="G346" s="135"/>
    </row>
    <row r="347" spans="1:7">
      <c r="A347" s="137" t="s">
        <v>354</v>
      </c>
      <c r="B347" s="137" t="s">
        <v>1586</v>
      </c>
      <c r="C347" s="137" t="s">
        <v>52</v>
      </c>
      <c r="D347" s="137" t="s">
        <v>53</v>
      </c>
      <c r="E347" s="138" t="s">
        <v>855</v>
      </c>
      <c r="F347" s="139" t="s">
        <v>306</v>
      </c>
      <c r="G347" s="137" t="s">
        <v>56</v>
      </c>
    </row>
    <row r="348" spans="1:7">
      <c r="A348" s="137" t="s">
        <v>57</v>
      </c>
      <c r="B348" s="137" t="s">
        <v>960</v>
      </c>
      <c r="C348" s="137"/>
      <c r="D348" s="137"/>
      <c r="E348" s="140"/>
      <c r="F348" s="141">
        <f>F349+F357+F358</f>
        <v>24.55988</v>
      </c>
      <c r="G348" s="137"/>
    </row>
    <row r="349" spans="1:7">
      <c r="A349" s="137" t="s">
        <v>1534</v>
      </c>
      <c r="B349" s="137" t="s">
        <v>957</v>
      </c>
      <c r="C349" s="137"/>
      <c r="D349" s="137"/>
      <c r="E349" s="140"/>
      <c r="F349" s="141">
        <f>F350+F353</f>
        <v>23.435</v>
      </c>
      <c r="G349" s="137"/>
    </row>
    <row r="350" spans="1:7">
      <c r="A350" s="137">
        <v>1</v>
      </c>
      <c r="B350" s="137" t="s">
        <v>963</v>
      </c>
      <c r="C350" s="142"/>
      <c r="D350" s="137"/>
      <c r="E350" s="140"/>
      <c r="F350" s="143">
        <f>SUM(F351:F352)</f>
        <v>23.435</v>
      </c>
      <c r="G350" s="137"/>
    </row>
    <row r="351" spans="1:7">
      <c r="A351" s="137"/>
      <c r="B351" s="142" t="s">
        <v>966</v>
      </c>
      <c r="C351" s="142" t="s">
        <v>965</v>
      </c>
      <c r="D351" s="137">
        <v>0.4</v>
      </c>
      <c r="E351" s="140">
        <v>8.1</v>
      </c>
      <c r="F351" s="143">
        <f>E351*D351</f>
        <v>3.24</v>
      </c>
      <c r="G351" s="137"/>
    </row>
    <row r="352" spans="1:7">
      <c r="A352" s="137"/>
      <c r="B352" s="142" t="s">
        <v>968</v>
      </c>
      <c r="C352" s="142" t="s">
        <v>965</v>
      </c>
      <c r="D352" s="137">
        <v>3.5</v>
      </c>
      <c r="E352" s="140">
        <v>5.77</v>
      </c>
      <c r="F352" s="143">
        <f>E352*D352</f>
        <v>20.195</v>
      </c>
      <c r="G352" s="137"/>
    </row>
    <row r="353" spans="1:7">
      <c r="A353" s="137">
        <v>2</v>
      </c>
      <c r="B353" s="137" t="s">
        <v>967</v>
      </c>
      <c r="C353" s="142"/>
      <c r="D353" s="137"/>
      <c r="E353" s="140"/>
      <c r="F353" s="143">
        <f>SUM(F355:F356)</f>
        <v>0</v>
      </c>
      <c r="G353" s="137"/>
    </row>
    <row r="354" spans="1:7">
      <c r="A354" s="137"/>
      <c r="B354" s="137" t="s">
        <v>1892</v>
      </c>
      <c r="C354" s="142" t="s">
        <v>267</v>
      </c>
      <c r="D354" s="137">
        <v>1.72</v>
      </c>
      <c r="E354" s="140">
        <f>0.225*0.5</f>
        <v>0.1125</v>
      </c>
      <c r="F354" s="143">
        <f t="shared" ref="F354:F362" si="35">D354*E354</f>
        <v>0.1935</v>
      </c>
      <c r="G354" s="137"/>
    </row>
    <row r="355" spans="1:7">
      <c r="A355" s="137"/>
      <c r="B355" s="137" t="s">
        <v>1919</v>
      </c>
      <c r="C355" s="142" t="s">
        <v>90</v>
      </c>
      <c r="D355" s="137">
        <v>10</v>
      </c>
      <c r="E355" s="140"/>
      <c r="F355" s="143"/>
      <c r="G355" s="137"/>
    </row>
    <row r="356" spans="1:7">
      <c r="A356" s="137"/>
      <c r="B356" s="137" t="s">
        <v>1163</v>
      </c>
      <c r="C356" s="137" t="s">
        <v>423</v>
      </c>
      <c r="D356" s="137">
        <v>6</v>
      </c>
      <c r="E356" s="140">
        <v>0</v>
      </c>
      <c r="F356" s="143">
        <f>E356*D356%</f>
        <v>0</v>
      </c>
      <c r="G356" s="137"/>
    </row>
    <row r="357" spans="1:7">
      <c r="A357" s="137" t="s">
        <v>1536</v>
      </c>
      <c r="B357" s="137" t="s">
        <v>977</v>
      </c>
      <c r="C357" s="144"/>
      <c r="D357" s="144">
        <f t="shared" ref="D357:D362" si="36">D315</f>
        <v>0.048</v>
      </c>
      <c r="E357" s="140">
        <f>F349</f>
        <v>23.435</v>
      </c>
      <c r="F357" s="143">
        <f t="shared" si="35"/>
        <v>1.12488</v>
      </c>
      <c r="G357" s="137"/>
    </row>
    <row r="358" spans="1:7">
      <c r="A358" s="137" t="s">
        <v>1595</v>
      </c>
      <c r="B358" s="137" t="s">
        <v>1191</v>
      </c>
      <c r="C358" s="144"/>
      <c r="D358" s="144">
        <f t="shared" si="36"/>
        <v>0</v>
      </c>
      <c r="E358" s="140">
        <f>F349</f>
        <v>23.435</v>
      </c>
      <c r="F358" s="143">
        <f t="shared" si="35"/>
        <v>0</v>
      </c>
      <c r="G358" s="137"/>
    </row>
    <row r="359" spans="1:7">
      <c r="A359" s="137" t="s">
        <v>72</v>
      </c>
      <c r="B359" s="137" t="s">
        <v>973</v>
      </c>
      <c r="C359" s="144"/>
      <c r="D359" s="144">
        <f t="shared" si="36"/>
        <v>0.04</v>
      </c>
      <c r="E359" s="140">
        <f>F348</f>
        <v>24.55988</v>
      </c>
      <c r="F359" s="143">
        <f t="shared" si="35"/>
        <v>0.9823952</v>
      </c>
      <c r="G359" s="137"/>
    </row>
    <row r="360" spans="1:7">
      <c r="A360" s="137" t="s">
        <v>162</v>
      </c>
      <c r="B360" s="137" t="s">
        <v>975</v>
      </c>
      <c r="C360" s="144"/>
      <c r="D360" s="144">
        <f t="shared" si="36"/>
        <v>0.07</v>
      </c>
      <c r="E360" s="140">
        <f>F348+F359</f>
        <v>25.5422752</v>
      </c>
      <c r="F360" s="143">
        <f t="shared" si="35"/>
        <v>1.787959264</v>
      </c>
      <c r="G360" s="137"/>
    </row>
    <row r="361" spans="1:7">
      <c r="A361" s="137" t="s">
        <v>214</v>
      </c>
      <c r="B361" s="137" t="s">
        <v>1596</v>
      </c>
      <c r="C361" s="145"/>
      <c r="D361" s="144">
        <f t="shared" si="36"/>
        <v>0.09</v>
      </c>
      <c r="E361" s="140">
        <f>F348+F359+F360</f>
        <v>27.330234464</v>
      </c>
      <c r="F361" s="143">
        <f t="shared" si="35"/>
        <v>2.45972110176</v>
      </c>
      <c r="G361" s="137"/>
    </row>
    <row r="362" spans="1:7">
      <c r="A362" s="137"/>
      <c r="B362" s="137" t="s">
        <v>1192</v>
      </c>
      <c r="C362" s="145"/>
      <c r="D362" s="144">
        <f t="shared" si="36"/>
        <v>0</v>
      </c>
      <c r="E362" s="140">
        <f>E361+F361</f>
        <v>29.78995556576</v>
      </c>
      <c r="F362" s="143">
        <f t="shared" si="35"/>
        <v>0</v>
      </c>
      <c r="G362" s="137"/>
    </row>
    <row r="363" spans="1:7">
      <c r="A363" s="137"/>
      <c r="B363" s="137" t="s">
        <v>1193</v>
      </c>
      <c r="C363" s="137"/>
      <c r="D363" s="137"/>
      <c r="E363" s="140"/>
      <c r="F363" s="141">
        <f>E362+F362</f>
        <v>29.78995556576</v>
      </c>
      <c r="G363" s="137"/>
    </row>
    <row r="364" spans="1:7">
      <c r="A364" s="128" t="s">
        <v>1612</v>
      </c>
      <c r="B364" s="128"/>
      <c r="C364" s="128"/>
      <c r="D364" s="128"/>
      <c r="E364" s="129"/>
      <c r="F364" s="128"/>
      <c r="G364" s="128"/>
    </row>
    <row r="365" spans="1:7">
      <c r="A365" s="130" t="s">
        <v>1920</v>
      </c>
      <c r="B365" s="130"/>
      <c r="C365" s="130"/>
      <c r="D365" s="130"/>
      <c r="E365" s="131"/>
      <c r="F365" s="130"/>
      <c r="G365" s="130"/>
    </row>
    <row r="366" spans="1:7">
      <c r="A366" s="146" t="s">
        <v>1921</v>
      </c>
      <c r="B366" s="146"/>
      <c r="C366" s="146"/>
      <c r="D366" s="146"/>
      <c r="E366" s="133"/>
      <c r="F366" s="134" t="s">
        <v>1614</v>
      </c>
      <c r="G366" s="134"/>
    </row>
    <row r="367" spans="1:7">
      <c r="A367" s="135" t="s">
        <v>1184</v>
      </c>
      <c r="B367" s="135"/>
      <c r="C367" s="135"/>
      <c r="D367" s="135"/>
      <c r="E367" s="136"/>
      <c r="F367" s="135"/>
      <c r="G367" s="135"/>
    </row>
    <row r="368" spans="1:7">
      <c r="A368" s="137" t="s">
        <v>354</v>
      </c>
      <c r="B368" s="137" t="s">
        <v>1586</v>
      </c>
      <c r="C368" s="137" t="s">
        <v>52</v>
      </c>
      <c r="D368" s="137" t="s">
        <v>53</v>
      </c>
      <c r="E368" s="138" t="s">
        <v>855</v>
      </c>
      <c r="F368" s="139" t="s">
        <v>306</v>
      </c>
      <c r="G368" s="137" t="s">
        <v>56</v>
      </c>
    </row>
    <row r="369" spans="1:7">
      <c r="A369" s="137" t="s">
        <v>57</v>
      </c>
      <c r="B369" s="137" t="s">
        <v>960</v>
      </c>
      <c r="C369" s="137"/>
      <c r="D369" s="137"/>
      <c r="E369" s="140"/>
      <c r="F369" s="141">
        <f>F370+F377+F378</f>
        <v>13.186984</v>
      </c>
      <c r="G369" s="137"/>
    </row>
    <row r="370" spans="1:7">
      <c r="A370" s="137" t="s">
        <v>1534</v>
      </c>
      <c r="B370" s="137" t="s">
        <v>957</v>
      </c>
      <c r="C370" s="137"/>
      <c r="D370" s="137"/>
      <c r="E370" s="140"/>
      <c r="F370" s="141">
        <f>F371+F374</f>
        <v>12.583</v>
      </c>
      <c r="G370" s="137"/>
    </row>
    <row r="371" spans="1:7">
      <c r="A371" s="137">
        <v>1</v>
      </c>
      <c r="B371" s="137" t="s">
        <v>963</v>
      </c>
      <c r="C371" s="142"/>
      <c r="D371" s="137"/>
      <c r="E371" s="140"/>
      <c r="F371" s="143">
        <f>SUM(F372:F373)</f>
        <v>12.583</v>
      </c>
      <c r="G371" s="137"/>
    </row>
    <row r="372" spans="1:7">
      <c r="A372" s="137"/>
      <c r="B372" s="142" t="s">
        <v>966</v>
      </c>
      <c r="C372" s="142" t="s">
        <v>965</v>
      </c>
      <c r="D372" s="137">
        <v>0.2</v>
      </c>
      <c r="E372" s="140">
        <v>8.1</v>
      </c>
      <c r="F372" s="143">
        <f>E372*D372</f>
        <v>1.62</v>
      </c>
      <c r="G372" s="137"/>
    </row>
    <row r="373" spans="1:7">
      <c r="A373" s="137"/>
      <c r="B373" s="142" t="s">
        <v>968</v>
      </c>
      <c r="C373" s="142" t="s">
        <v>965</v>
      </c>
      <c r="D373" s="137">
        <v>1.9</v>
      </c>
      <c r="E373" s="140">
        <v>5.77</v>
      </c>
      <c r="F373" s="143">
        <f>E373*D373</f>
        <v>10.963</v>
      </c>
      <c r="G373" s="137"/>
    </row>
    <row r="374" spans="1:7">
      <c r="A374" s="137">
        <v>2</v>
      </c>
      <c r="B374" s="137" t="s">
        <v>967</v>
      </c>
      <c r="C374" s="142"/>
      <c r="D374" s="137"/>
      <c r="E374" s="140"/>
      <c r="F374" s="143">
        <f>SUM(F375:F376)</f>
        <v>0</v>
      </c>
      <c r="G374" s="137"/>
    </row>
    <row r="375" spans="1:7">
      <c r="A375" s="137"/>
      <c r="B375" s="137" t="s">
        <v>1919</v>
      </c>
      <c r="C375" s="142" t="s">
        <v>90</v>
      </c>
      <c r="D375" s="137">
        <v>10</v>
      </c>
      <c r="E375" s="140"/>
      <c r="F375" s="143"/>
      <c r="G375" s="137"/>
    </row>
    <row r="376" spans="1:7">
      <c r="A376" s="137"/>
      <c r="B376" s="137" t="s">
        <v>1163</v>
      </c>
      <c r="C376" s="137" t="s">
        <v>423</v>
      </c>
      <c r="D376" s="137">
        <v>5</v>
      </c>
      <c r="E376" s="140">
        <v>0</v>
      </c>
      <c r="F376" s="143">
        <f>E376*D376%</f>
        <v>0</v>
      </c>
      <c r="G376" s="137"/>
    </row>
    <row r="377" spans="1:7">
      <c r="A377" s="137" t="s">
        <v>1536</v>
      </c>
      <c r="B377" s="137" t="s">
        <v>977</v>
      </c>
      <c r="C377" s="144"/>
      <c r="D377" s="144">
        <f t="shared" ref="D377:D382" si="37">D357</f>
        <v>0.048</v>
      </c>
      <c r="E377" s="140">
        <f>F370</f>
        <v>12.583</v>
      </c>
      <c r="F377" s="143">
        <f t="shared" ref="F377:F382" si="38">D377*E377</f>
        <v>0.603984</v>
      </c>
      <c r="G377" s="137"/>
    </row>
    <row r="378" spans="1:7">
      <c r="A378" s="137" t="s">
        <v>1595</v>
      </c>
      <c r="B378" s="137" t="s">
        <v>1191</v>
      </c>
      <c r="C378" s="144"/>
      <c r="D378" s="144">
        <f t="shared" si="37"/>
        <v>0</v>
      </c>
      <c r="E378" s="140">
        <f>F370</f>
        <v>12.583</v>
      </c>
      <c r="F378" s="143">
        <f t="shared" si="38"/>
        <v>0</v>
      </c>
      <c r="G378" s="137"/>
    </row>
    <row r="379" spans="1:7">
      <c r="A379" s="137" t="s">
        <v>72</v>
      </c>
      <c r="B379" s="137" t="s">
        <v>973</v>
      </c>
      <c r="C379" s="144"/>
      <c r="D379" s="144">
        <f t="shared" si="37"/>
        <v>0.04</v>
      </c>
      <c r="E379" s="140">
        <f>F369</f>
        <v>13.186984</v>
      </c>
      <c r="F379" s="143">
        <f t="shared" si="38"/>
        <v>0.52747936</v>
      </c>
      <c r="G379" s="137"/>
    </row>
    <row r="380" spans="1:7">
      <c r="A380" s="137" t="s">
        <v>162</v>
      </c>
      <c r="B380" s="137" t="s">
        <v>975</v>
      </c>
      <c r="C380" s="144"/>
      <c r="D380" s="144">
        <f t="shared" si="37"/>
        <v>0.07</v>
      </c>
      <c r="E380" s="140">
        <f>F369+F379</f>
        <v>13.71446336</v>
      </c>
      <c r="F380" s="143">
        <f t="shared" si="38"/>
        <v>0.9600124352</v>
      </c>
      <c r="G380" s="137"/>
    </row>
    <row r="381" spans="1:7">
      <c r="A381" s="137" t="s">
        <v>214</v>
      </c>
      <c r="B381" s="137" t="s">
        <v>1596</v>
      </c>
      <c r="C381" s="145"/>
      <c r="D381" s="144">
        <f t="shared" si="37"/>
        <v>0.09</v>
      </c>
      <c r="E381" s="140">
        <f>F369+F379+F380</f>
        <v>14.6744757952</v>
      </c>
      <c r="F381" s="143">
        <f t="shared" si="38"/>
        <v>1.320702821568</v>
      </c>
      <c r="G381" s="137"/>
    </row>
    <row r="382" spans="1:7">
      <c r="A382" s="137"/>
      <c r="B382" s="137" t="s">
        <v>1192</v>
      </c>
      <c r="C382" s="145"/>
      <c r="D382" s="144">
        <f t="shared" si="37"/>
        <v>0</v>
      </c>
      <c r="E382" s="140">
        <f>E381+F381</f>
        <v>15.995178616768</v>
      </c>
      <c r="F382" s="143">
        <f t="shared" si="38"/>
        <v>0</v>
      </c>
      <c r="G382" s="137"/>
    </row>
    <row r="383" spans="1:7">
      <c r="A383" s="137"/>
      <c r="B383" s="137" t="s">
        <v>1193</v>
      </c>
      <c r="C383" s="137"/>
      <c r="D383" s="137"/>
      <c r="E383" s="140"/>
      <c r="F383" s="141">
        <f>E382+F382</f>
        <v>15.995178616768</v>
      </c>
      <c r="G383" s="137"/>
    </row>
    <row r="384" spans="1:7">
      <c r="A384" s="128" t="s">
        <v>1612</v>
      </c>
      <c r="B384" s="128"/>
      <c r="C384" s="128"/>
      <c r="D384" s="128"/>
      <c r="E384" s="129"/>
      <c r="F384" s="128"/>
      <c r="G384" s="128"/>
    </row>
    <row r="385" spans="1:7">
      <c r="A385" s="130" t="s">
        <v>1922</v>
      </c>
      <c r="B385" s="130"/>
      <c r="C385" s="130"/>
      <c r="D385" s="130"/>
      <c r="E385" s="131"/>
      <c r="F385" s="130"/>
      <c r="G385" s="130"/>
    </row>
    <row r="386" spans="1:7">
      <c r="A386" s="146" t="s">
        <v>1918</v>
      </c>
      <c r="B386" s="146"/>
      <c r="C386" s="146"/>
      <c r="D386" s="146"/>
      <c r="E386" s="133"/>
      <c r="F386" s="134" t="s">
        <v>1614</v>
      </c>
      <c r="G386" s="134"/>
    </row>
    <row r="387" spans="1:7">
      <c r="A387" s="135" t="s">
        <v>1184</v>
      </c>
      <c r="B387" s="135"/>
      <c r="C387" s="135"/>
      <c r="D387" s="135"/>
      <c r="E387" s="136"/>
      <c r="F387" s="135"/>
      <c r="G387" s="135"/>
    </row>
    <row r="388" spans="1:7">
      <c r="A388" s="137" t="s">
        <v>354</v>
      </c>
      <c r="B388" s="137" t="s">
        <v>1586</v>
      </c>
      <c r="C388" s="137" t="s">
        <v>52</v>
      </c>
      <c r="D388" s="137" t="s">
        <v>53</v>
      </c>
      <c r="E388" s="138" t="s">
        <v>855</v>
      </c>
      <c r="F388" s="139" t="s">
        <v>306</v>
      </c>
      <c r="G388" s="137" t="s">
        <v>56</v>
      </c>
    </row>
    <row r="389" spans="1:7">
      <c r="A389" s="137" t="s">
        <v>57</v>
      </c>
      <c r="B389" s="137" t="s">
        <v>960</v>
      </c>
      <c r="C389" s="137"/>
      <c r="D389" s="137"/>
      <c r="E389" s="140"/>
      <c r="F389" s="141">
        <f>F390+F397+F398</f>
        <v>23.66935</v>
      </c>
      <c r="G389" s="137"/>
    </row>
    <row r="390" spans="1:7">
      <c r="A390" s="137" t="s">
        <v>1534</v>
      </c>
      <c r="B390" s="137" t="s">
        <v>957</v>
      </c>
      <c r="C390" s="137"/>
      <c r="D390" s="137"/>
      <c r="E390" s="140"/>
      <c r="F390" s="141">
        <f>F391+F394</f>
        <v>23.435</v>
      </c>
      <c r="G390" s="137"/>
    </row>
    <row r="391" spans="1:7">
      <c r="A391" s="137">
        <v>1</v>
      </c>
      <c r="B391" s="137" t="s">
        <v>963</v>
      </c>
      <c r="C391" s="142"/>
      <c r="D391" s="137"/>
      <c r="E391" s="140"/>
      <c r="F391" s="143">
        <f>SUM(F392:F393)</f>
        <v>23.435</v>
      </c>
      <c r="G391" s="137"/>
    </row>
    <row r="392" spans="1:7">
      <c r="A392" s="137"/>
      <c r="B392" s="142" t="s">
        <v>966</v>
      </c>
      <c r="C392" s="142" t="s">
        <v>965</v>
      </c>
      <c r="D392" s="137">
        <v>0.4</v>
      </c>
      <c r="E392" s="140">
        <v>8.1</v>
      </c>
      <c r="F392" s="143">
        <f>E392*D392</f>
        <v>3.24</v>
      </c>
      <c r="G392" s="137"/>
    </row>
    <row r="393" spans="1:7">
      <c r="A393" s="137"/>
      <c r="B393" s="142" t="s">
        <v>968</v>
      </c>
      <c r="C393" s="142" t="s">
        <v>965</v>
      </c>
      <c r="D393" s="137">
        <v>3.5</v>
      </c>
      <c r="E393" s="140">
        <v>5.77</v>
      </c>
      <c r="F393" s="143">
        <f>E393*D393</f>
        <v>20.195</v>
      </c>
      <c r="G393" s="137"/>
    </row>
    <row r="394" spans="1:7">
      <c r="A394" s="137">
        <v>2</v>
      </c>
      <c r="B394" s="137" t="s">
        <v>967</v>
      </c>
      <c r="C394" s="142"/>
      <c r="D394" s="137"/>
      <c r="E394" s="140"/>
      <c r="F394" s="143">
        <f>SUM(F395:F396)</f>
        <v>0</v>
      </c>
      <c r="G394" s="137"/>
    </row>
    <row r="395" spans="1:7">
      <c r="A395" s="137"/>
      <c r="B395" s="137" t="s">
        <v>1919</v>
      </c>
      <c r="C395" s="142" t="s">
        <v>90</v>
      </c>
      <c r="D395" s="137">
        <v>10</v>
      </c>
      <c r="E395" s="140"/>
      <c r="F395" s="143"/>
      <c r="G395" s="137"/>
    </row>
    <row r="396" spans="1:7">
      <c r="A396" s="137"/>
      <c r="B396" s="137" t="s">
        <v>1163</v>
      </c>
      <c r="C396" s="137" t="s">
        <v>423</v>
      </c>
      <c r="D396" s="137">
        <v>6</v>
      </c>
      <c r="E396" s="140">
        <v>0</v>
      </c>
      <c r="F396" s="143">
        <f>E396*D396%</f>
        <v>0</v>
      </c>
      <c r="G396" s="137"/>
    </row>
    <row r="397" spans="1:7">
      <c r="A397" s="137" t="s">
        <v>1536</v>
      </c>
      <c r="B397" s="137" t="s">
        <v>977</v>
      </c>
      <c r="C397" s="144" t="str">
        <f t="shared" ref="C397:C400" si="39">C356</f>
        <v>%</v>
      </c>
      <c r="D397" s="137"/>
      <c r="E397" s="140"/>
      <c r="F397" s="143">
        <f>F390/100</f>
        <v>0.23435</v>
      </c>
      <c r="G397" s="137"/>
    </row>
    <row r="398" spans="1:7">
      <c r="A398" s="137" t="s">
        <v>1595</v>
      </c>
      <c r="B398" s="137" t="s">
        <v>1191</v>
      </c>
      <c r="C398" s="144">
        <f t="shared" si="39"/>
        <v>0</v>
      </c>
      <c r="D398" s="137"/>
      <c r="E398" s="140"/>
      <c r="F398" s="143">
        <f>F390*C398</f>
        <v>0</v>
      </c>
      <c r="G398" s="137"/>
    </row>
    <row r="399" spans="1:7">
      <c r="A399" s="137" t="s">
        <v>72</v>
      </c>
      <c r="B399" s="137" t="s">
        <v>973</v>
      </c>
      <c r="C399" s="144">
        <f t="shared" si="39"/>
        <v>0</v>
      </c>
      <c r="D399" s="137"/>
      <c r="E399" s="140"/>
      <c r="F399" s="143">
        <f>F389*C399</f>
        <v>0</v>
      </c>
      <c r="G399" s="137"/>
    </row>
    <row r="400" spans="1:7">
      <c r="A400" s="137" t="s">
        <v>162</v>
      </c>
      <c r="B400" s="137" t="s">
        <v>975</v>
      </c>
      <c r="C400" s="144">
        <f t="shared" si="39"/>
        <v>0</v>
      </c>
      <c r="D400" s="137"/>
      <c r="E400" s="140"/>
      <c r="F400" s="143">
        <f>(F389+F399)*C400</f>
        <v>0</v>
      </c>
      <c r="G400" s="137"/>
    </row>
    <row r="401" spans="1:7">
      <c r="A401" s="137" t="s">
        <v>214</v>
      </c>
      <c r="B401" s="137" t="s">
        <v>1596</v>
      </c>
      <c r="C401" s="145">
        <f>C361</f>
        <v>0</v>
      </c>
      <c r="D401" s="137"/>
      <c r="E401" s="140"/>
      <c r="F401" s="143">
        <f>(F389+F399+F400)*C401</f>
        <v>0</v>
      </c>
      <c r="G401" s="137"/>
    </row>
    <row r="402" spans="1:7">
      <c r="A402" s="137"/>
      <c r="B402" s="137" t="s">
        <v>278</v>
      </c>
      <c r="C402" s="137">
        <v>1.03</v>
      </c>
      <c r="D402" s="137"/>
      <c r="E402" s="140"/>
      <c r="F402" s="141">
        <f>(F401+F400++F399+F389)*1.03</f>
        <v>24.3794305</v>
      </c>
      <c r="G402" s="137"/>
    </row>
    <row r="403" spans="1:7">
      <c r="A403" s="137"/>
      <c r="B403" s="137" t="s">
        <v>1192</v>
      </c>
      <c r="C403" s="145" t="e">
        <f>#REF!</f>
        <v>#REF!</v>
      </c>
      <c r="D403" s="137"/>
      <c r="E403" s="140"/>
      <c r="F403" s="141" t="e">
        <f>F402*C403</f>
        <v>#REF!</v>
      </c>
      <c r="G403" s="137"/>
    </row>
    <row r="404" spans="1:7">
      <c r="A404" s="137"/>
      <c r="B404" s="137" t="s">
        <v>1193</v>
      </c>
      <c r="C404" s="137"/>
      <c r="D404" s="137"/>
      <c r="E404" s="140"/>
      <c r="F404" s="141" t="e">
        <f>F402+F403</f>
        <v>#REF!</v>
      </c>
      <c r="G404" s="137"/>
    </row>
    <row r="405" spans="1:7">
      <c r="A405" s="128" t="s">
        <v>1612</v>
      </c>
      <c r="B405" s="128"/>
      <c r="C405" s="128"/>
      <c r="D405" s="128"/>
      <c r="E405" s="129"/>
      <c r="F405" s="128"/>
      <c r="G405" s="128"/>
    </row>
    <row r="406" spans="1:7">
      <c r="A406" s="130" t="s">
        <v>1923</v>
      </c>
      <c r="B406" s="130"/>
      <c r="C406" s="130"/>
      <c r="D406" s="130"/>
      <c r="E406" s="131"/>
      <c r="F406" s="130"/>
      <c r="G406" s="130"/>
    </row>
    <row r="407" spans="1:7">
      <c r="A407" s="146" t="s">
        <v>1924</v>
      </c>
      <c r="B407" s="146"/>
      <c r="C407" s="146"/>
      <c r="D407" s="146"/>
      <c r="E407" s="133"/>
      <c r="F407" s="134" t="s">
        <v>1925</v>
      </c>
      <c r="G407" s="134"/>
    </row>
    <row r="408" spans="1:7">
      <c r="A408" s="135" t="s">
        <v>1184</v>
      </c>
      <c r="B408" s="135"/>
      <c r="C408" s="135"/>
      <c r="D408" s="135"/>
      <c r="E408" s="136"/>
      <c r="F408" s="135"/>
      <c r="G408" s="135"/>
    </row>
    <row r="409" spans="1:7">
      <c r="A409" s="137" t="s">
        <v>354</v>
      </c>
      <c r="B409" s="137" t="s">
        <v>1586</v>
      </c>
      <c r="C409" s="137" t="s">
        <v>52</v>
      </c>
      <c r="D409" s="137" t="s">
        <v>53</v>
      </c>
      <c r="E409" s="138" t="s">
        <v>855</v>
      </c>
      <c r="F409" s="139" t="s">
        <v>306</v>
      </c>
      <c r="G409" s="137" t="s">
        <v>56</v>
      </c>
    </row>
    <row r="410" spans="1:7">
      <c r="A410" s="137" t="s">
        <v>57</v>
      </c>
      <c r="B410" s="137" t="s">
        <v>960</v>
      </c>
      <c r="C410" s="137"/>
      <c r="D410" s="137"/>
      <c r="E410" s="140"/>
      <c r="F410" s="141">
        <f>F411+F430+F431</f>
        <v>43359.0043404344</v>
      </c>
      <c r="G410" s="137"/>
    </row>
    <row r="411" spans="1:7">
      <c r="A411" s="137" t="s">
        <v>1534</v>
      </c>
      <c r="B411" s="137" t="s">
        <v>957</v>
      </c>
      <c r="C411" s="137"/>
      <c r="D411" s="137"/>
      <c r="E411" s="140"/>
      <c r="F411" s="141">
        <f>F412+F415</f>
        <v>42508.8277847396</v>
      </c>
      <c r="G411" s="137"/>
    </row>
    <row r="412" spans="1:7">
      <c r="A412" s="137">
        <v>1</v>
      </c>
      <c r="B412" s="137" t="s">
        <v>963</v>
      </c>
      <c r="C412" s="142"/>
      <c r="D412" s="137"/>
      <c r="E412" s="140"/>
      <c r="F412" s="143">
        <f>SUM(F413:F414)</f>
        <v>16473.05</v>
      </c>
      <c r="G412" s="137"/>
    </row>
    <row r="413" spans="1:7">
      <c r="A413" s="137"/>
      <c r="B413" s="142" t="s">
        <v>966</v>
      </c>
      <c r="C413" s="142" t="s">
        <v>965</v>
      </c>
      <c r="D413" s="137">
        <v>983</v>
      </c>
      <c r="E413" s="140">
        <v>8.1</v>
      </c>
      <c r="F413" s="143">
        <f>E413*D413</f>
        <v>7962.3</v>
      </c>
      <c r="G413" s="137"/>
    </row>
    <row r="414" spans="1:7">
      <c r="A414" s="137"/>
      <c r="B414" s="142" t="s">
        <v>968</v>
      </c>
      <c r="C414" s="142" t="s">
        <v>965</v>
      </c>
      <c r="D414" s="137">
        <v>1475</v>
      </c>
      <c r="E414" s="140">
        <v>5.77</v>
      </c>
      <c r="F414" s="143">
        <f>E414*D414</f>
        <v>8510.75</v>
      </c>
      <c r="G414" s="137"/>
    </row>
    <row r="415" spans="1:7">
      <c r="A415" s="137">
        <v>2</v>
      </c>
      <c r="B415" s="137" t="s">
        <v>967</v>
      </c>
      <c r="C415" s="142"/>
      <c r="D415" s="137"/>
      <c r="E415" s="140"/>
      <c r="F415" s="143">
        <f>SUM(F416:F429)</f>
        <v>26035.7777847396</v>
      </c>
      <c r="G415" s="137"/>
    </row>
    <row r="416" spans="1:7">
      <c r="A416" s="137"/>
      <c r="B416" s="137" t="s">
        <v>1926</v>
      </c>
      <c r="C416" s="142" t="s">
        <v>1927</v>
      </c>
      <c r="D416" s="137">
        <v>21</v>
      </c>
      <c r="E416" s="140">
        <v>600</v>
      </c>
      <c r="F416" s="143">
        <f t="shared" ref="F416:F428" si="40">D416*E416</f>
        <v>12600</v>
      </c>
      <c r="G416" s="137"/>
    </row>
    <row r="417" spans="1:7">
      <c r="A417" s="137"/>
      <c r="B417" s="137" t="s">
        <v>1928</v>
      </c>
      <c r="C417" s="142" t="s">
        <v>1927</v>
      </c>
      <c r="D417" s="137">
        <v>37</v>
      </c>
      <c r="E417" s="140">
        <f>5.721*3.55145*1.2</f>
        <v>24.38141454</v>
      </c>
      <c r="F417" s="143">
        <f t="shared" si="40"/>
        <v>902.11233798</v>
      </c>
      <c r="G417" s="137"/>
    </row>
    <row r="418" spans="1:7">
      <c r="A418" s="137"/>
      <c r="B418" s="137" t="s">
        <v>1929</v>
      </c>
      <c r="C418" s="142" t="s">
        <v>90</v>
      </c>
      <c r="D418" s="137">
        <v>3250</v>
      </c>
      <c r="E418" s="140"/>
      <c r="F418" s="143">
        <f t="shared" si="40"/>
        <v>0</v>
      </c>
      <c r="G418" s="137"/>
    </row>
    <row r="419" spans="1:7">
      <c r="A419" s="137"/>
      <c r="B419" s="137" t="s">
        <v>1930</v>
      </c>
      <c r="C419" s="142" t="s">
        <v>267</v>
      </c>
      <c r="D419" s="137">
        <v>81</v>
      </c>
      <c r="E419" s="140">
        <v>9.27</v>
      </c>
      <c r="F419" s="143">
        <f t="shared" si="40"/>
        <v>750.87</v>
      </c>
      <c r="G419" s="137"/>
    </row>
    <row r="420" spans="1:7">
      <c r="A420" s="137"/>
      <c r="B420" s="137" t="s">
        <v>1931</v>
      </c>
      <c r="C420" s="142" t="s">
        <v>267</v>
      </c>
      <c r="D420" s="137">
        <v>73</v>
      </c>
      <c r="E420" s="140">
        <v>18</v>
      </c>
      <c r="F420" s="143">
        <f t="shared" si="40"/>
        <v>1314</v>
      </c>
      <c r="G420" s="137"/>
    </row>
    <row r="421" spans="1:7">
      <c r="A421" s="137"/>
      <c r="B421" s="137" t="s">
        <v>1932</v>
      </c>
      <c r="C421" s="142" t="s">
        <v>267</v>
      </c>
      <c r="D421" s="137">
        <v>36</v>
      </c>
      <c r="E421" s="140">
        <v>44.02</v>
      </c>
      <c r="F421" s="143">
        <f t="shared" si="40"/>
        <v>1584.72</v>
      </c>
      <c r="G421" s="137"/>
    </row>
    <row r="422" spans="1:7">
      <c r="A422" s="137"/>
      <c r="B422" s="137" t="s">
        <v>1933</v>
      </c>
      <c r="C422" s="142" t="s">
        <v>267</v>
      </c>
      <c r="D422" s="137">
        <v>257</v>
      </c>
      <c r="E422" s="140">
        <v>11.95</v>
      </c>
      <c r="F422" s="143">
        <f t="shared" si="40"/>
        <v>3071.15</v>
      </c>
      <c r="G422" s="137"/>
    </row>
    <row r="423" spans="1:7">
      <c r="A423" s="137"/>
      <c r="B423" s="137" t="s">
        <v>1934</v>
      </c>
      <c r="C423" s="142" t="s">
        <v>267</v>
      </c>
      <c r="D423" s="137">
        <v>12</v>
      </c>
      <c r="E423" s="140">
        <v>15.5</v>
      </c>
      <c r="F423" s="143">
        <f t="shared" si="40"/>
        <v>186</v>
      </c>
      <c r="G423" s="137"/>
    </row>
    <row r="424" spans="1:7">
      <c r="A424" s="137"/>
      <c r="B424" s="137" t="s">
        <v>1935</v>
      </c>
      <c r="C424" s="142" t="s">
        <v>267</v>
      </c>
      <c r="D424" s="137">
        <v>12</v>
      </c>
      <c r="E424" s="140">
        <v>27.96</v>
      </c>
      <c r="F424" s="143">
        <f t="shared" si="40"/>
        <v>335.52</v>
      </c>
      <c r="G424" s="137"/>
    </row>
    <row r="425" ht="15" customHeight="1" spans="1:7">
      <c r="A425" s="137"/>
      <c r="B425" s="137" t="s">
        <v>1936</v>
      </c>
      <c r="C425" s="142" t="s">
        <v>837</v>
      </c>
      <c r="D425" s="137">
        <v>12</v>
      </c>
      <c r="E425" s="140"/>
      <c r="F425" s="143">
        <f t="shared" si="40"/>
        <v>0</v>
      </c>
      <c r="G425" s="137"/>
    </row>
    <row r="426" ht="15" customHeight="1" spans="1:7">
      <c r="A426" s="137"/>
      <c r="B426" s="137" t="s">
        <v>1937</v>
      </c>
      <c r="C426" s="142" t="s">
        <v>837</v>
      </c>
      <c r="D426" s="137">
        <v>12</v>
      </c>
      <c r="E426" s="140"/>
      <c r="F426" s="143">
        <f t="shared" si="40"/>
        <v>0</v>
      </c>
      <c r="G426" s="137"/>
    </row>
    <row r="427" ht="15" customHeight="1" spans="1:7">
      <c r="A427" s="137"/>
      <c r="B427" s="137" t="s">
        <v>1938</v>
      </c>
      <c r="C427" s="142" t="s">
        <v>184</v>
      </c>
      <c r="D427" s="137">
        <v>57</v>
      </c>
      <c r="E427" s="140">
        <v>5.7</v>
      </c>
      <c r="F427" s="143">
        <f t="shared" si="40"/>
        <v>324.9</v>
      </c>
      <c r="G427" s="137"/>
    </row>
    <row r="428" ht="15" customHeight="1" spans="1:7">
      <c r="A428" s="137"/>
      <c r="B428" s="137" t="s">
        <v>1276</v>
      </c>
      <c r="C428" s="142" t="s">
        <v>184</v>
      </c>
      <c r="D428" s="137">
        <v>557</v>
      </c>
      <c r="E428" s="140">
        <v>8</v>
      </c>
      <c r="F428" s="143">
        <f t="shared" si="40"/>
        <v>4456</v>
      </c>
      <c r="G428" s="137"/>
    </row>
    <row r="429" spans="1:7">
      <c r="A429" s="137"/>
      <c r="B429" s="137" t="s">
        <v>1163</v>
      </c>
      <c r="C429" s="137" t="s">
        <v>423</v>
      </c>
      <c r="D429" s="137">
        <v>2</v>
      </c>
      <c r="E429" s="140">
        <f>SUM(F416:F428)</f>
        <v>25525.27233798</v>
      </c>
      <c r="F429" s="143">
        <f>D429*E429/100</f>
        <v>510.5054467596</v>
      </c>
      <c r="G429" s="137"/>
    </row>
    <row r="430" spans="1:7">
      <c r="A430" s="137" t="s">
        <v>1536</v>
      </c>
      <c r="B430" s="137" t="s">
        <v>977</v>
      </c>
      <c r="C430" s="144" t="str">
        <f t="shared" ref="C430:C433" si="41">C396</f>
        <v>%</v>
      </c>
      <c r="D430" s="137"/>
      <c r="E430" s="140"/>
      <c r="F430" s="143">
        <f>F411/100</f>
        <v>425.088277847396</v>
      </c>
      <c r="G430" s="137"/>
    </row>
    <row r="431" spans="1:7">
      <c r="A431" s="137" t="s">
        <v>1595</v>
      </c>
      <c r="B431" s="137" t="s">
        <v>1191</v>
      </c>
      <c r="C431" s="144" t="str">
        <f t="shared" si="41"/>
        <v>%</v>
      </c>
      <c r="D431" s="137"/>
      <c r="E431" s="140"/>
      <c r="F431" s="143">
        <f>F411/100</f>
        <v>425.088277847396</v>
      </c>
      <c r="G431" s="137"/>
    </row>
    <row r="432" spans="1:7">
      <c r="A432" s="137" t="s">
        <v>72</v>
      </c>
      <c r="B432" s="137" t="s">
        <v>973</v>
      </c>
      <c r="C432" s="144">
        <f t="shared" si="41"/>
        <v>0</v>
      </c>
      <c r="D432" s="137"/>
      <c r="E432" s="140"/>
      <c r="F432" s="143">
        <f>F410*C432</f>
        <v>0</v>
      </c>
      <c r="G432" s="137"/>
    </row>
    <row r="433" spans="1:7">
      <c r="A433" s="137" t="s">
        <v>162</v>
      </c>
      <c r="B433" s="137" t="s">
        <v>975</v>
      </c>
      <c r="C433" s="144">
        <f t="shared" si="41"/>
        <v>0</v>
      </c>
      <c r="D433" s="137"/>
      <c r="E433" s="140"/>
      <c r="F433" s="143">
        <f>(F410+F432)*C433</f>
        <v>0</v>
      </c>
      <c r="G433" s="137"/>
    </row>
    <row r="434" spans="1:7">
      <c r="A434" s="137" t="s">
        <v>214</v>
      </c>
      <c r="B434" s="137" t="s">
        <v>1596</v>
      </c>
      <c r="C434" s="145">
        <f>C401</f>
        <v>0</v>
      </c>
      <c r="D434" s="137"/>
      <c r="E434" s="140"/>
      <c r="F434" s="143">
        <f>(F410+F432+F433)*C434</f>
        <v>0</v>
      </c>
      <c r="G434" s="137"/>
    </row>
    <row r="435" spans="1:7">
      <c r="A435" s="137"/>
      <c r="B435" s="137" t="s">
        <v>278</v>
      </c>
      <c r="C435" s="137">
        <v>1.03</v>
      </c>
      <c r="D435" s="137"/>
      <c r="E435" s="140"/>
      <c r="F435" s="141">
        <f>(F434+F433++F432+F410)*1.03</f>
        <v>44659.7744706474</v>
      </c>
      <c r="G435" s="137"/>
    </row>
    <row r="436" spans="1:7">
      <c r="A436" s="137"/>
      <c r="B436" s="137" t="s">
        <v>1192</v>
      </c>
      <c r="C436" s="145">
        <f>C402</f>
        <v>1.03</v>
      </c>
      <c r="D436" s="137"/>
      <c r="E436" s="140"/>
      <c r="F436" s="141">
        <f>F435*C436</f>
        <v>45999.5677047669</v>
      </c>
      <c r="G436" s="137"/>
    </row>
    <row r="437" spans="1:7">
      <c r="A437" s="137"/>
      <c r="B437" s="137" t="s">
        <v>1193</v>
      </c>
      <c r="C437" s="137"/>
      <c r="D437" s="137"/>
      <c r="E437" s="140"/>
      <c r="F437" s="141">
        <f>F435+F436</f>
        <v>90659.3421754143</v>
      </c>
      <c r="G437" s="137"/>
    </row>
    <row r="438" spans="1:7">
      <c r="A438" s="128" t="s">
        <v>1612</v>
      </c>
      <c r="B438" s="128"/>
      <c r="C438" s="128"/>
      <c r="D438" s="128"/>
      <c r="E438" s="129"/>
      <c r="F438" s="128"/>
      <c r="G438" s="128"/>
    </row>
    <row r="439" spans="1:7">
      <c r="A439" s="130" t="s">
        <v>1917</v>
      </c>
      <c r="B439" s="130"/>
      <c r="C439" s="130"/>
      <c r="D439" s="130"/>
      <c r="E439" s="131"/>
      <c r="F439" s="130"/>
      <c r="G439" s="130"/>
    </row>
    <row r="440" spans="1:7">
      <c r="A440" s="146" t="s">
        <v>1939</v>
      </c>
      <c r="B440" s="146"/>
      <c r="C440" s="146"/>
      <c r="D440" s="146"/>
      <c r="E440" s="133"/>
      <c r="F440" s="134" t="s">
        <v>1614</v>
      </c>
      <c r="G440" s="134"/>
    </row>
    <row r="441" spans="1:7">
      <c r="A441" s="135" t="s">
        <v>1184</v>
      </c>
      <c r="B441" s="135"/>
      <c r="C441" s="135"/>
      <c r="D441" s="135"/>
      <c r="E441" s="136"/>
      <c r="F441" s="135"/>
      <c r="G441" s="135"/>
    </row>
    <row r="442" spans="1:7">
      <c r="A442" s="137" t="s">
        <v>354</v>
      </c>
      <c r="B442" s="137" t="s">
        <v>1586</v>
      </c>
      <c r="C442" s="137" t="s">
        <v>52</v>
      </c>
      <c r="D442" s="137" t="s">
        <v>53</v>
      </c>
      <c r="E442" s="138" t="s">
        <v>855</v>
      </c>
      <c r="F442" s="139" t="s">
        <v>306</v>
      </c>
      <c r="G442" s="137" t="s">
        <v>56</v>
      </c>
    </row>
    <row r="443" spans="1:7">
      <c r="A443" s="137" t="s">
        <v>57</v>
      </c>
      <c r="B443" s="137" t="s">
        <v>960</v>
      </c>
      <c r="C443" s="137"/>
      <c r="D443" s="137"/>
      <c r="E443" s="140"/>
      <c r="F443" s="141">
        <f>F444+F458+F459</f>
        <v>7.58168</v>
      </c>
      <c r="G443" s="137"/>
    </row>
    <row r="444" spans="1:7">
      <c r="A444" s="137" t="s">
        <v>1534</v>
      </c>
      <c r="B444" s="137" t="s">
        <v>957</v>
      </c>
      <c r="C444" s="137"/>
      <c r="D444" s="137"/>
      <c r="E444" s="140"/>
      <c r="F444" s="141">
        <f>F445+F448</f>
        <v>7.58168</v>
      </c>
      <c r="G444" s="137"/>
    </row>
    <row r="445" spans="1:7">
      <c r="A445" s="137">
        <v>1</v>
      </c>
      <c r="B445" s="137" t="s">
        <v>963</v>
      </c>
      <c r="C445" s="142"/>
      <c r="D445" s="137"/>
      <c r="E445" s="140"/>
      <c r="F445" s="143">
        <f>SUM(F446:F447)</f>
        <v>3.09536</v>
      </c>
      <c r="G445" s="137"/>
    </row>
    <row r="446" spans="1:7">
      <c r="A446" s="137"/>
      <c r="B446" s="142" t="s">
        <v>966</v>
      </c>
      <c r="C446" s="142" t="s">
        <v>965</v>
      </c>
      <c r="D446" s="137">
        <f>0.015*8</f>
        <v>0.12</v>
      </c>
      <c r="E446" s="140">
        <v>8.1</v>
      </c>
      <c r="F446" s="143">
        <f>E446*D446</f>
        <v>0.972</v>
      </c>
      <c r="G446" s="137"/>
    </row>
    <row r="447" spans="1:7">
      <c r="A447" s="137"/>
      <c r="B447" s="142" t="s">
        <v>968</v>
      </c>
      <c r="C447" s="142" t="s">
        <v>965</v>
      </c>
      <c r="D447" s="137">
        <f>(0.04+0.006)*8</f>
        <v>0.368</v>
      </c>
      <c r="E447" s="140">
        <v>5.77</v>
      </c>
      <c r="F447" s="143">
        <f>E447*D447</f>
        <v>2.12336</v>
      </c>
      <c r="G447" s="137"/>
    </row>
    <row r="448" spans="1:7">
      <c r="A448" s="137">
        <v>2</v>
      </c>
      <c r="B448" s="137" t="s">
        <v>967</v>
      </c>
      <c r="C448" s="142"/>
      <c r="D448" s="137"/>
      <c r="E448" s="140"/>
      <c r="F448" s="143">
        <f>SUM(F449:F457)</f>
        <v>4.48632</v>
      </c>
      <c r="G448" s="137"/>
    </row>
    <row r="449" spans="1:7">
      <c r="A449" s="137"/>
      <c r="B449" s="137" t="s">
        <v>1940</v>
      </c>
      <c r="C449" s="142" t="s">
        <v>90</v>
      </c>
      <c r="D449" s="137">
        <v>0.993</v>
      </c>
      <c r="E449" s="140"/>
      <c r="F449" s="143"/>
      <c r="G449" s="137"/>
    </row>
    <row r="450" spans="1:7">
      <c r="A450" s="137"/>
      <c r="B450" s="137" t="s">
        <v>1941</v>
      </c>
      <c r="C450" s="142" t="s">
        <v>267</v>
      </c>
      <c r="D450" s="137">
        <v>0.268</v>
      </c>
      <c r="E450" s="140">
        <v>15.5</v>
      </c>
      <c r="F450" s="143">
        <f>D450*E450</f>
        <v>4.154</v>
      </c>
      <c r="G450" s="137"/>
    </row>
    <row r="451" spans="1:7">
      <c r="A451" s="137"/>
      <c r="B451" s="137" t="s">
        <v>1942</v>
      </c>
      <c r="C451" s="142" t="s">
        <v>1927</v>
      </c>
      <c r="D451" s="137">
        <v>0.011</v>
      </c>
      <c r="E451" s="140">
        <v>0.66</v>
      </c>
      <c r="F451" s="143"/>
      <c r="G451" s="137"/>
    </row>
    <row r="452" spans="1:7">
      <c r="A452" s="137"/>
      <c r="B452" s="137" t="s">
        <v>1943</v>
      </c>
      <c r="C452" s="142" t="s">
        <v>1944</v>
      </c>
      <c r="D452" s="137">
        <v>0.005</v>
      </c>
      <c r="E452" s="140">
        <v>1.08</v>
      </c>
      <c r="F452" s="143"/>
      <c r="G452" s="137"/>
    </row>
    <row r="453" spans="1:7">
      <c r="A453" s="137"/>
      <c r="B453" s="137" t="s">
        <v>1022</v>
      </c>
      <c r="C453" s="142" t="s">
        <v>1023</v>
      </c>
      <c r="D453" s="137">
        <v>0.003</v>
      </c>
      <c r="E453" s="140">
        <v>4.85</v>
      </c>
      <c r="F453" s="143"/>
      <c r="G453" s="137"/>
    </row>
    <row r="454" spans="1:7">
      <c r="A454" s="137"/>
      <c r="B454" s="137"/>
      <c r="C454" s="142"/>
      <c r="D454" s="137"/>
      <c r="E454" s="140"/>
      <c r="F454" s="143"/>
      <c r="G454" s="137"/>
    </row>
    <row r="455" spans="1:7">
      <c r="A455" s="137">
        <v>2</v>
      </c>
      <c r="B455" s="137" t="s">
        <v>974</v>
      </c>
      <c r="C455" s="142"/>
      <c r="D455" s="137"/>
      <c r="E455" s="140"/>
      <c r="F455" s="143"/>
      <c r="G455" s="137"/>
    </row>
    <row r="456" spans="1:7">
      <c r="A456" s="137"/>
      <c r="B456" s="137" t="s">
        <v>1945</v>
      </c>
      <c r="C456" s="142" t="s">
        <v>988</v>
      </c>
      <c r="D456" s="137">
        <f>0.0001*8</f>
        <v>0.0008</v>
      </c>
      <c r="E456" s="140"/>
      <c r="F456" s="143"/>
      <c r="G456" s="137"/>
    </row>
    <row r="457" spans="1:7">
      <c r="A457" s="137"/>
      <c r="B457" s="137" t="s">
        <v>1163</v>
      </c>
      <c r="C457" s="137" t="s">
        <v>423</v>
      </c>
      <c r="D457" s="137">
        <v>8</v>
      </c>
      <c r="E457" s="140">
        <f>F450</f>
        <v>4.154</v>
      </c>
      <c r="F457" s="143">
        <f>E457*D457%</f>
        <v>0.33232</v>
      </c>
      <c r="G457" s="137"/>
    </row>
    <row r="458" spans="1:7">
      <c r="A458" s="137" t="s">
        <v>1536</v>
      </c>
      <c r="B458" s="137" t="s">
        <v>977</v>
      </c>
      <c r="C458" s="144">
        <v>0</v>
      </c>
      <c r="D458" s="137"/>
      <c r="E458" s="140"/>
      <c r="F458" s="143">
        <f>F444*C458</f>
        <v>0</v>
      </c>
      <c r="G458" s="137"/>
    </row>
    <row r="459" spans="1:7">
      <c r="A459" s="137" t="s">
        <v>1595</v>
      </c>
      <c r="B459" s="137" t="s">
        <v>1191</v>
      </c>
      <c r="C459" s="144">
        <f>0</f>
        <v>0</v>
      </c>
      <c r="D459" s="137"/>
      <c r="E459" s="140"/>
      <c r="F459" s="143">
        <f>F444*C459</f>
        <v>0</v>
      </c>
      <c r="G459" s="137"/>
    </row>
    <row r="460" spans="1:7">
      <c r="A460" s="137" t="s">
        <v>72</v>
      </c>
      <c r="B460" s="137" t="s">
        <v>973</v>
      </c>
      <c r="C460" s="144">
        <v>0</v>
      </c>
      <c r="D460" s="137"/>
      <c r="E460" s="140"/>
      <c r="F460" s="143">
        <f>F443*C460</f>
        <v>0</v>
      </c>
      <c r="G460" s="137"/>
    </row>
    <row r="461" spans="1:7">
      <c r="A461" s="137" t="s">
        <v>162</v>
      </c>
      <c r="B461" s="137" t="s">
        <v>975</v>
      </c>
      <c r="C461" s="145">
        <v>0</v>
      </c>
      <c r="D461" s="137"/>
      <c r="E461" s="140"/>
      <c r="F461" s="143">
        <f>(F443+F460)*C461</f>
        <v>0</v>
      </c>
      <c r="G461" s="137"/>
    </row>
    <row r="462" spans="1:7">
      <c r="A462" s="137" t="s">
        <v>214</v>
      </c>
      <c r="B462" s="137" t="s">
        <v>1596</v>
      </c>
      <c r="C462" s="145">
        <v>0</v>
      </c>
      <c r="D462" s="137"/>
      <c r="E462" s="140"/>
      <c r="F462" s="143">
        <f>(F443+F460+F461)*C462</f>
        <v>0</v>
      </c>
      <c r="G462" s="137"/>
    </row>
    <row r="463" spans="1:7">
      <c r="A463" s="137"/>
      <c r="B463" s="137" t="s">
        <v>278</v>
      </c>
      <c r="C463" s="137">
        <v>1.03</v>
      </c>
      <c r="D463" s="137"/>
      <c r="E463" s="140"/>
      <c r="F463" s="141">
        <f>(F462+F461++F460+F443)*1.03</f>
        <v>7.8091304</v>
      </c>
      <c r="G463" s="137"/>
    </row>
    <row r="464" spans="1:7">
      <c r="A464" s="137"/>
      <c r="B464" s="137" t="s">
        <v>1192</v>
      </c>
      <c r="C464" s="145">
        <v>0</v>
      </c>
      <c r="D464" s="137"/>
      <c r="E464" s="140"/>
      <c r="F464" s="141">
        <f>F463*C464</f>
        <v>0</v>
      </c>
      <c r="G464" s="137"/>
    </row>
    <row r="465" spans="1:7">
      <c r="A465" s="137"/>
      <c r="B465" s="137" t="s">
        <v>1193</v>
      </c>
      <c r="C465" s="137"/>
      <c r="D465" s="137"/>
      <c r="E465" s="140"/>
      <c r="F465" s="141">
        <f>F463+F464</f>
        <v>7.8091304</v>
      </c>
      <c r="G465" s="137"/>
    </row>
    <row r="466" s="126" customFormat="1" ht="18" customHeight="1" spans="1:6">
      <c r="A466" s="149" t="s">
        <v>1180</v>
      </c>
      <c r="B466" s="149"/>
      <c r="C466" s="149"/>
      <c r="D466" s="149"/>
      <c r="E466" s="150"/>
      <c r="F466" s="149"/>
    </row>
    <row r="467" s="126" customFormat="1" ht="18" customHeight="1" spans="1:6">
      <c r="A467" s="151" t="s">
        <v>1946</v>
      </c>
      <c r="B467" s="151"/>
      <c r="C467" s="151"/>
      <c r="D467" s="151"/>
      <c r="E467" s="152"/>
      <c r="F467" s="151"/>
    </row>
    <row r="468" s="126" customFormat="1" ht="18" customHeight="1" spans="1:6">
      <c r="A468" s="153" t="s">
        <v>1182</v>
      </c>
      <c r="B468" s="154">
        <v>8016</v>
      </c>
      <c r="C468" s="109"/>
      <c r="D468" s="151"/>
      <c r="E468" s="155" t="s">
        <v>1183</v>
      </c>
      <c r="F468" s="154" t="s">
        <v>1947</v>
      </c>
    </row>
    <row r="469" ht="22.5" customHeight="1" spans="1:6">
      <c r="A469" s="156" t="s">
        <v>1184</v>
      </c>
      <c r="B469" s="157"/>
      <c r="C469" s="157"/>
      <c r="D469" s="157"/>
      <c r="E469" s="158"/>
      <c r="F469" s="157"/>
    </row>
    <row r="470" ht="18" customHeight="1" spans="1:13">
      <c r="A470" s="159" t="s">
        <v>354</v>
      </c>
      <c r="B470" s="157" t="s">
        <v>956</v>
      </c>
      <c r="C470" s="159" t="s">
        <v>52</v>
      </c>
      <c r="D470" s="159" t="s">
        <v>54</v>
      </c>
      <c r="E470" s="160" t="s">
        <v>53</v>
      </c>
      <c r="F470" s="159" t="s">
        <v>1185</v>
      </c>
      <c r="I470" s="109">
        <f t="shared" ref="I470:I476" si="42">K470-J470</f>
        <v>242.4</v>
      </c>
      <c r="J470" s="109">
        <v>678.6</v>
      </c>
      <c r="K470" s="109">
        <v>921</v>
      </c>
      <c r="L470" s="109">
        <v>1066.4</v>
      </c>
      <c r="M470" s="164">
        <f t="shared" ref="M470:M476" si="43">L470-K470</f>
        <v>145.4</v>
      </c>
    </row>
    <row r="471" ht="18" customHeight="1" spans="1:13">
      <c r="A471" s="159">
        <v>1</v>
      </c>
      <c r="B471" s="157" t="s">
        <v>960</v>
      </c>
      <c r="C471" s="159"/>
      <c r="D471" s="159"/>
      <c r="E471" s="160"/>
      <c r="F471" s="161">
        <f>F472+F491+F492</f>
        <v>1493.8926204709</v>
      </c>
      <c r="I471" s="109">
        <f t="shared" si="42"/>
        <v>89.6</v>
      </c>
      <c r="J471" s="109">
        <v>251</v>
      </c>
      <c r="K471" s="109">
        <v>340.6</v>
      </c>
      <c r="L471" s="109">
        <v>384.4</v>
      </c>
      <c r="M471" s="164">
        <f t="shared" si="43"/>
        <v>43.8</v>
      </c>
    </row>
    <row r="472" s="126" customFormat="1" ht="18" customHeight="1" spans="1:13">
      <c r="A472" s="159">
        <v>1.1</v>
      </c>
      <c r="B472" s="157" t="s">
        <v>957</v>
      </c>
      <c r="C472" s="159"/>
      <c r="D472" s="159"/>
      <c r="E472" s="160"/>
      <c r="F472" s="161">
        <f>F473+F476+F484+F490</f>
        <v>1425.47005770124</v>
      </c>
      <c r="I472" s="109">
        <f t="shared" si="42"/>
        <v>0</v>
      </c>
      <c r="J472" s="162">
        <v>2</v>
      </c>
      <c r="K472" s="162">
        <v>2</v>
      </c>
      <c r="L472" s="162">
        <v>3</v>
      </c>
      <c r="M472" s="164">
        <f t="shared" si="43"/>
        <v>1</v>
      </c>
    </row>
    <row r="473" s="126" customFormat="1" ht="18" customHeight="1" spans="1:13">
      <c r="A473" s="159" t="s">
        <v>1186</v>
      </c>
      <c r="B473" s="157" t="s">
        <v>963</v>
      </c>
      <c r="C473" s="159"/>
      <c r="D473" s="159"/>
      <c r="E473" s="160"/>
      <c r="F473" s="161">
        <f>F474+F475</f>
        <v>305.881</v>
      </c>
      <c r="I473" s="109">
        <f t="shared" si="42"/>
        <v>3</v>
      </c>
      <c r="J473" s="162">
        <v>19</v>
      </c>
      <c r="K473" s="162">
        <v>22</v>
      </c>
      <c r="L473" s="162">
        <v>25</v>
      </c>
      <c r="M473" s="164">
        <f t="shared" si="43"/>
        <v>3</v>
      </c>
    </row>
    <row r="474" s="126" customFormat="1" ht="18" customHeight="1" spans="1:13">
      <c r="A474" s="159"/>
      <c r="B474" s="157" t="s">
        <v>966</v>
      </c>
      <c r="C474" s="159" t="s">
        <v>965</v>
      </c>
      <c r="D474" s="159">
        <v>8.1</v>
      </c>
      <c r="E474" s="160">
        <v>34.7</v>
      </c>
      <c r="F474" s="161">
        <f t="shared" ref="F474:F482" si="44">D474*E474</f>
        <v>281.07</v>
      </c>
      <c r="I474" s="109">
        <f t="shared" si="42"/>
        <v>10</v>
      </c>
      <c r="J474" s="162">
        <v>61</v>
      </c>
      <c r="K474" s="162">
        <v>71</v>
      </c>
      <c r="L474" s="162">
        <v>82</v>
      </c>
      <c r="M474" s="164">
        <f t="shared" si="43"/>
        <v>11</v>
      </c>
    </row>
    <row r="475" s="126" customFormat="1" ht="18" customHeight="1" spans="1:13">
      <c r="A475" s="159"/>
      <c r="B475" s="157" t="s">
        <v>968</v>
      </c>
      <c r="C475" s="159" t="s">
        <v>965</v>
      </c>
      <c r="D475" s="159">
        <v>5.77</v>
      </c>
      <c r="E475" s="160">
        <v>4.3</v>
      </c>
      <c r="F475" s="161">
        <f t="shared" si="44"/>
        <v>24.811</v>
      </c>
      <c r="I475" s="109">
        <f t="shared" si="42"/>
        <v>0</v>
      </c>
      <c r="J475" s="162">
        <v>1</v>
      </c>
      <c r="K475" s="162">
        <v>1</v>
      </c>
      <c r="L475" s="162">
        <v>1</v>
      </c>
      <c r="M475" s="164">
        <f t="shared" si="43"/>
        <v>0</v>
      </c>
    </row>
    <row r="476" s="126" customFormat="1" ht="18" customHeight="1" spans="1:13">
      <c r="A476" s="159" t="s">
        <v>1187</v>
      </c>
      <c r="B476" s="157" t="s">
        <v>967</v>
      </c>
      <c r="C476" s="159"/>
      <c r="D476" s="159"/>
      <c r="E476" s="160"/>
      <c r="F476" s="161">
        <f>SUM(F477:F483)</f>
        <v>996.534781</v>
      </c>
      <c r="I476" s="109">
        <f t="shared" si="42"/>
        <v>5</v>
      </c>
      <c r="J476" s="162">
        <v>21</v>
      </c>
      <c r="K476" s="162">
        <v>26</v>
      </c>
      <c r="L476" s="162">
        <v>26</v>
      </c>
      <c r="M476" s="164">
        <f t="shared" si="43"/>
        <v>0</v>
      </c>
    </row>
    <row r="477" s="126" customFormat="1" ht="18" customHeight="1" spans="1:13">
      <c r="A477" s="159"/>
      <c r="B477" s="157" t="s">
        <v>1948</v>
      </c>
      <c r="C477" s="159" t="s">
        <v>90</v>
      </c>
      <c r="D477" s="159"/>
      <c r="E477" s="160">
        <v>10</v>
      </c>
      <c r="F477" s="161">
        <f t="shared" si="44"/>
        <v>0</v>
      </c>
      <c r="I477" s="109"/>
      <c r="M477" s="164"/>
    </row>
    <row r="478" s="126" customFormat="1" ht="18" customHeight="1" spans="1:13">
      <c r="A478" s="159"/>
      <c r="B478" s="157" t="s">
        <v>1949</v>
      </c>
      <c r="C478" s="159" t="s">
        <v>184</v>
      </c>
      <c r="D478" s="159">
        <v>26</v>
      </c>
      <c r="E478" s="160">
        <v>5.35</v>
      </c>
      <c r="F478" s="161">
        <f t="shared" si="44"/>
        <v>139.1</v>
      </c>
      <c r="I478" s="109"/>
      <c r="M478" s="164"/>
    </row>
    <row r="479" s="126" customFormat="1" ht="18" customHeight="1" spans="1:13">
      <c r="A479" s="159"/>
      <c r="B479" s="157" t="s">
        <v>1950</v>
      </c>
      <c r="C479" s="159" t="s">
        <v>184</v>
      </c>
      <c r="D479" s="159">
        <v>0.255</v>
      </c>
      <c r="E479" s="160">
        <v>12.62</v>
      </c>
      <c r="F479" s="161">
        <f t="shared" si="44"/>
        <v>3.2181</v>
      </c>
      <c r="I479" s="109"/>
      <c r="M479" s="164"/>
    </row>
    <row r="480" s="126" customFormat="1" ht="18" customHeight="1" spans="1:13">
      <c r="A480" s="159"/>
      <c r="B480" s="157" t="s">
        <v>1463</v>
      </c>
      <c r="C480" s="159" t="s">
        <v>184</v>
      </c>
      <c r="D480" s="159">
        <v>7.5</v>
      </c>
      <c r="E480" s="160">
        <v>2.58</v>
      </c>
      <c r="F480" s="161">
        <f t="shared" si="44"/>
        <v>19.35</v>
      </c>
      <c r="I480" s="109"/>
      <c r="M480" s="164"/>
    </row>
    <row r="481" s="126" customFormat="1" ht="18" customHeight="1" spans="1:13">
      <c r="A481" s="159"/>
      <c r="B481" s="157" t="s">
        <v>1951</v>
      </c>
      <c r="C481" s="159" t="s">
        <v>62</v>
      </c>
      <c r="D481" s="159">
        <v>500</v>
      </c>
      <c r="E481" s="160">
        <v>1.02</v>
      </c>
      <c r="F481" s="161">
        <f t="shared" si="44"/>
        <v>510</v>
      </c>
      <c r="H481" s="162" t="s">
        <v>919</v>
      </c>
      <c r="I481" s="109"/>
      <c r="M481" s="164"/>
    </row>
    <row r="482" s="126" customFormat="1" ht="18" customHeight="1" spans="1:13">
      <c r="A482" s="159"/>
      <c r="B482" s="157" t="s">
        <v>1952</v>
      </c>
      <c r="C482" s="159" t="s">
        <v>62</v>
      </c>
      <c r="D482" s="159">
        <v>300</v>
      </c>
      <c r="E482" s="160">
        <v>1.05</v>
      </c>
      <c r="F482" s="161">
        <f t="shared" si="44"/>
        <v>315</v>
      </c>
      <c r="I482" s="109"/>
      <c r="M482" s="164"/>
    </row>
    <row r="483" s="126" customFormat="1" ht="18" customHeight="1" spans="1:6">
      <c r="A483" s="159"/>
      <c r="B483" s="157" t="s">
        <v>1163</v>
      </c>
      <c r="C483" s="159" t="s">
        <v>423</v>
      </c>
      <c r="D483" s="160">
        <f>SUM(F477:F482)</f>
        <v>986.6681</v>
      </c>
      <c r="E483" s="160">
        <v>1</v>
      </c>
      <c r="F483" s="161">
        <f>D483*E483/100</f>
        <v>9.866681</v>
      </c>
    </row>
    <row r="484" s="126" customFormat="1" ht="18" customHeight="1" spans="1:6">
      <c r="A484" s="159" t="s">
        <v>1189</v>
      </c>
      <c r="B484" s="157" t="s">
        <v>974</v>
      </c>
      <c r="C484" s="159"/>
      <c r="D484" s="159"/>
      <c r="E484" s="160"/>
      <c r="F484" s="161">
        <f>SUM(F485:F489)</f>
        <v>123.054276701236</v>
      </c>
    </row>
    <row r="485" s="126" customFormat="1" ht="18" customHeight="1" spans="1:6">
      <c r="A485" s="159"/>
      <c r="B485" s="157" t="s">
        <v>1953</v>
      </c>
      <c r="C485" s="159" t="s">
        <v>988</v>
      </c>
      <c r="D485" s="160">
        <v>109.819671719186</v>
      </c>
      <c r="E485" s="160">
        <v>0.8</v>
      </c>
      <c r="F485" s="161">
        <f t="shared" ref="F485:F488" si="45">D485*E485</f>
        <v>87.8557373753488</v>
      </c>
    </row>
    <row r="486" s="126" customFormat="1" ht="18" customHeight="1" spans="1:6">
      <c r="A486" s="159"/>
      <c r="B486" s="157" t="s">
        <v>1954</v>
      </c>
      <c r="C486" s="159" t="s">
        <v>988</v>
      </c>
      <c r="D486" s="159">
        <v>13.0894176306342</v>
      </c>
      <c r="E486" s="160">
        <v>0.04</v>
      </c>
      <c r="F486" s="161">
        <f t="shared" si="45"/>
        <v>0.523576705225368</v>
      </c>
    </row>
    <row r="487" s="126" customFormat="1" ht="18" customHeight="1" spans="1:6">
      <c r="A487" s="159"/>
      <c r="B487" s="157" t="s">
        <v>1955</v>
      </c>
      <c r="C487" s="159" t="s">
        <v>988</v>
      </c>
      <c r="D487" s="159">
        <v>66.3822584762664</v>
      </c>
      <c r="E487" s="160">
        <v>0.3</v>
      </c>
      <c r="F487" s="161">
        <f t="shared" si="45"/>
        <v>19.9146775428799</v>
      </c>
    </row>
    <row r="488" s="126" customFormat="1" ht="18" customHeight="1" spans="1:6">
      <c r="A488" s="159"/>
      <c r="B488" s="157" t="s">
        <v>1956</v>
      </c>
      <c r="C488" s="159" t="s">
        <v>988</v>
      </c>
      <c r="D488" s="159">
        <v>49.389824491424</v>
      </c>
      <c r="E488" s="160">
        <v>0.25</v>
      </c>
      <c r="F488" s="161">
        <f t="shared" si="45"/>
        <v>12.347456122856</v>
      </c>
    </row>
    <row r="489" s="126" customFormat="1" ht="18" customHeight="1" spans="1:6">
      <c r="A489" s="159"/>
      <c r="B489" s="157" t="s">
        <v>1263</v>
      </c>
      <c r="C489" s="159" t="s">
        <v>423</v>
      </c>
      <c r="D489" s="159">
        <f>SUM(F485:F488)</f>
        <v>120.64144774631</v>
      </c>
      <c r="E489" s="160">
        <v>2</v>
      </c>
      <c r="F489" s="161">
        <f>D489*E489/100</f>
        <v>2.4128289549262</v>
      </c>
    </row>
    <row r="490" s="126" customFormat="1" ht="18" customHeight="1" spans="1:6">
      <c r="A490" s="159"/>
      <c r="B490" s="157"/>
      <c r="C490" s="159"/>
      <c r="D490" s="159"/>
      <c r="E490" s="160"/>
      <c r="F490" s="161"/>
    </row>
    <row r="491" s="126" customFormat="1" ht="18" customHeight="1" spans="1:6">
      <c r="A491" s="159">
        <v>1.2</v>
      </c>
      <c r="B491" s="157" t="s">
        <v>971</v>
      </c>
      <c r="C491" s="159"/>
      <c r="D491" s="161">
        <f>F472</f>
        <v>1425.47005770124</v>
      </c>
      <c r="E491" s="163">
        <v>0.048</v>
      </c>
      <c r="F491" s="161">
        <f t="shared" ref="F491:F494" si="46">D491*E491</f>
        <v>68.4225627696594</v>
      </c>
    </row>
    <row r="492" s="126" customFormat="1" ht="18" customHeight="1" spans="1:6">
      <c r="A492" s="159">
        <v>1.3</v>
      </c>
      <c r="B492" s="157" t="s">
        <v>1191</v>
      </c>
      <c r="C492" s="159"/>
      <c r="D492" s="161">
        <f>F472</f>
        <v>1425.47005770124</v>
      </c>
      <c r="E492" s="163">
        <v>0</v>
      </c>
      <c r="F492" s="161">
        <f t="shared" si="46"/>
        <v>0</v>
      </c>
    </row>
    <row r="493" s="126" customFormat="1" ht="18" customHeight="1" spans="1:6">
      <c r="A493" s="159">
        <v>2</v>
      </c>
      <c r="B493" s="157" t="s">
        <v>973</v>
      </c>
      <c r="C493" s="159"/>
      <c r="D493" s="161">
        <f>F471</f>
        <v>1493.8926204709</v>
      </c>
      <c r="E493" s="163">
        <v>0.0725</v>
      </c>
      <c r="F493" s="161">
        <f t="shared" si="46"/>
        <v>108.30721498414</v>
      </c>
    </row>
    <row r="494" s="126" customFormat="1" ht="18" customHeight="1" spans="1:6">
      <c r="A494" s="159">
        <v>3</v>
      </c>
      <c r="B494" s="157" t="s">
        <v>975</v>
      </c>
      <c r="C494" s="159"/>
      <c r="D494" s="161">
        <f>F493+F471</f>
        <v>1602.19983545504</v>
      </c>
      <c r="E494" s="163">
        <v>0.07</v>
      </c>
      <c r="F494" s="161">
        <f t="shared" si="46"/>
        <v>112.153988481852</v>
      </c>
    </row>
    <row r="495" s="126" customFormat="1" ht="18" customHeight="1" spans="1:6">
      <c r="A495" s="159">
        <v>4</v>
      </c>
      <c r="B495" s="157" t="s">
        <v>1173</v>
      </c>
      <c r="C495" s="159"/>
      <c r="D495" s="159"/>
      <c r="E495" s="160"/>
      <c r="F495" s="161">
        <f>SUM(F496:F498)</f>
        <v>48.3157776798</v>
      </c>
    </row>
    <row r="496" s="126" customFormat="1" ht="18" customHeight="1" spans="1:6">
      <c r="A496" s="159"/>
      <c r="B496" s="157" t="s">
        <v>1141</v>
      </c>
      <c r="C496" s="159" t="s">
        <v>184</v>
      </c>
      <c r="D496" s="159">
        <v>0.14697129</v>
      </c>
      <c r="E496" s="160">
        <f>E479</f>
        <v>12.62</v>
      </c>
      <c r="F496" s="161">
        <f t="shared" ref="F496:F499" si="47">D496*E496</f>
        <v>1.8547776798</v>
      </c>
    </row>
    <row r="497" s="126" customFormat="1" ht="18" customHeight="1" spans="1:6">
      <c r="A497" s="159"/>
      <c r="B497" s="157" t="s">
        <v>1118</v>
      </c>
      <c r="C497" s="159" t="s">
        <v>1957</v>
      </c>
      <c r="D497" s="159">
        <v>5.185</v>
      </c>
      <c r="E497" s="160">
        <v>1.8</v>
      </c>
      <c r="F497" s="161">
        <f t="shared" si="47"/>
        <v>9.333</v>
      </c>
    </row>
    <row r="498" s="126" customFormat="1" ht="18" customHeight="1" spans="1:6">
      <c r="A498" s="159"/>
      <c r="B498" s="157" t="s">
        <v>1116</v>
      </c>
      <c r="C498" s="159" t="s">
        <v>1957</v>
      </c>
      <c r="D498" s="159">
        <v>3.9</v>
      </c>
      <c r="E498" s="160">
        <v>9.52</v>
      </c>
      <c r="F498" s="161">
        <f t="shared" si="47"/>
        <v>37.128</v>
      </c>
    </row>
    <row r="499" s="126" customFormat="1" ht="18" customHeight="1" spans="1:6">
      <c r="A499" s="159">
        <v>5</v>
      </c>
      <c r="B499" s="157" t="s">
        <v>976</v>
      </c>
      <c r="C499" s="159"/>
      <c r="D499" s="160">
        <f>F471+F493+F494+F495</f>
        <v>1762.66960161669</v>
      </c>
      <c r="E499" s="163">
        <v>0.09</v>
      </c>
      <c r="F499" s="161">
        <f t="shared" si="47"/>
        <v>158.640264145502</v>
      </c>
    </row>
    <row r="500" s="126" customFormat="1" ht="18" customHeight="1" spans="1:6">
      <c r="A500" s="159">
        <v>6</v>
      </c>
      <c r="B500" s="157" t="s">
        <v>278</v>
      </c>
      <c r="C500" s="159"/>
      <c r="D500" s="159"/>
      <c r="E500" s="160"/>
      <c r="F500" s="161">
        <f>D499+F499</f>
        <v>1921.30986576219</v>
      </c>
    </row>
    <row r="501" s="126" customFormat="1" ht="18" customHeight="1" spans="1:6">
      <c r="A501" s="159"/>
      <c r="B501" s="157" t="s">
        <v>1192</v>
      </c>
      <c r="C501" s="157"/>
      <c r="D501" s="161">
        <f>F500</f>
        <v>1921.30986576219</v>
      </c>
      <c r="E501" s="163">
        <v>0</v>
      </c>
      <c r="F501" s="161">
        <f>E501*D501</f>
        <v>0</v>
      </c>
    </row>
    <row r="502" s="126" customFormat="1" ht="18" customHeight="1" spans="1:6">
      <c r="A502" s="159"/>
      <c r="B502" s="157" t="s">
        <v>1193</v>
      </c>
      <c r="C502" s="157"/>
      <c r="D502" s="159"/>
      <c r="E502" s="160"/>
      <c r="F502" s="161">
        <f>SUM(F500:F501)</f>
        <v>1921.30986576219</v>
      </c>
    </row>
    <row r="503" s="126" customFormat="1" ht="18" customHeight="1" spans="1:6">
      <c r="A503" s="149" t="s">
        <v>1180</v>
      </c>
      <c r="B503" s="149"/>
      <c r="C503" s="149"/>
      <c r="D503" s="149"/>
      <c r="E503" s="150"/>
      <c r="F503" s="149"/>
    </row>
    <row r="504" s="126" customFormat="1" ht="18" customHeight="1" spans="1:6">
      <c r="A504" s="151" t="s">
        <v>1958</v>
      </c>
      <c r="B504" s="151"/>
      <c r="C504" s="151"/>
      <c r="D504" s="151"/>
      <c r="E504" s="152"/>
      <c r="F504" s="151"/>
    </row>
    <row r="505" s="126" customFormat="1" ht="18" customHeight="1" spans="1:6">
      <c r="A505" s="153" t="s">
        <v>1182</v>
      </c>
      <c r="B505" s="154">
        <v>8014</v>
      </c>
      <c r="C505" s="109"/>
      <c r="D505" s="151"/>
      <c r="E505" s="155" t="s">
        <v>1183</v>
      </c>
      <c r="F505" s="154" t="s">
        <v>1947</v>
      </c>
    </row>
    <row r="506" ht="22.5" customHeight="1" spans="1:6">
      <c r="A506" s="156" t="s">
        <v>1184</v>
      </c>
      <c r="B506" s="157"/>
      <c r="C506" s="157"/>
      <c r="D506" s="157"/>
      <c r="E506" s="158"/>
      <c r="F506" s="157"/>
    </row>
    <row r="507" ht="18" customHeight="1" spans="1:13">
      <c r="A507" s="159" t="s">
        <v>354</v>
      </c>
      <c r="B507" s="157" t="s">
        <v>956</v>
      </c>
      <c r="C507" s="159" t="s">
        <v>52</v>
      </c>
      <c r="D507" s="159" t="s">
        <v>54</v>
      </c>
      <c r="E507" s="160" t="s">
        <v>53</v>
      </c>
      <c r="F507" s="159" t="s">
        <v>1185</v>
      </c>
      <c r="I507" s="109">
        <f t="shared" ref="I507:I513" si="48">K507-J507</f>
        <v>242.4</v>
      </c>
      <c r="J507" s="109">
        <v>678.6</v>
      </c>
      <c r="K507" s="109">
        <v>921</v>
      </c>
      <c r="L507" s="109">
        <v>1066.4</v>
      </c>
      <c r="M507" s="164">
        <f t="shared" ref="M507:M513" si="49">L507-K507</f>
        <v>145.4</v>
      </c>
    </row>
    <row r="508" ht="18" customHeight="1" spans="1:13">
      <c r="A508" s="159">
        <v>1</v>
      </c>
      <c r="B508" s="157" t="s">
        <v>960</v>
      </c>
      <c r="C508" s="159"/>
      <c r="D508" s="159"/>
      <c r="E508" s="160"/>
      <c r="F508" s="161">
        <f>F509+F528+F529</f>
        <v>1036.97741986545</v>
      </c>
      <c r="I508" s="109">
        <f t="shared" si="48"/>
        <v>89.6</v>
      </c>
      <c r="J508" s="109">
        <v>251</v>
      </c>
      <c r="K508" s="109">
        <v>340.6</v>
      </c>
      <c r="L508" s="109">
        <v>384.4</v>
      </c>
      <c r="M508" s="164">
        <f t="shared" si="49"/>
        <v>43.8</v>
      </c>
    </row>
    <row r="509" s="126" customFormat="1" ht="18" customHeight="1" spans="1:13">
      <c r="A509" s="159">
        <v>1.1</v>
      </c>
      <c r="B509" s="157" t="s">
        <v>957</v>
      </c>
      <c r="C509" s="159"/>
      <c r="D509" s="159"/>
      <c r="E509" s="160"/>
      <c r="F509" s="161">
        <f>F510+F513+F521+F527</f>
        <v>989.482270863981</v>
      </c>
      <c r="I509" s="109">
        <f t="shared" si="48"/>
        <v>0</v>
      </c>
      <c r="J509" s="162">
        <v>2</v>
      </c>
      <c r="K509" s="162">
        <v>2</v>
      </c>
      <c r="L509" s="162">
        <v>3</v>
      </c>
      <c r="M509" s="164">
        <f t="shared" si="49"/>
        <v>1</v>
      </c>
    </row>
    <row r="510" s="126" customFormat="1" ht="18" customHeight="1" spans="1:13">
      <c r="A510" s="159" t="s">
        <v>1186</v>
      </c>
      <c r="B510" s="157" t="s">
        <v>963</v>
      </c>
      <c r="C510" s="159"/>
      <c r="D510" s="159"/>
      <c r="E510" s="160"/>
      <c r="F510" s="161">
        <f>F511+F512</f>
        <v>201.646</v>
      </c>
      <c r="I510" s="109">
        <f t="shared" si="48"/>
        <v>3</v>
      </c>
      <c r="J510" s="162">
        <v>19</v>
      </c>
      <c r="K510" s="162">
        <v>22</v>
      </c>
      <c r="L510" s="162">
        <v>25</v>
      </c>
      <c r="M510" s="164">
        <f t="shared" si="49"/>
        <v>3</v>
      </c>
    </row>
    <row r="511" s="126" customFormat="1" ht="18" customHeight="1" spans="1:13">
      <c r="A511" s="159"/>
      <c r="B511" s="157" t="s">
        <v>966</v>
      </c>
      <c r="C511" s="159" t="s">
        <v>965</v>
      </c>
      <c r="D511" s="159">
        <v>8.1</v>
      </c>
      <c r="E511" s="160">
        <v>22.9</v>
      </c>
      <c r="F511" s="161">
        <f t="shared" ref="F511:F519" si="50">D511*E511</f>
        <v>185.49</v>
      </c>
      <c r="I511" s="109">
        <f t="shared" si="48"/>
        <v>10</v>
      </c>
      <c r="J511" s="162">
        <v>61</v>
      </c>
      <c r="K511" s="162">
        <v>71</v>
      </c>
      <c r="L511" s="162">
        <v>82</v>
      </c>
      <c r="M511" s="164">
        <f t="shared" si="49"/>
        <v>11</v>
      </c>
    </row>
    <row r="512" s="126" customFormat="1" ht="18" customHeight="1" spans="1:13">
      <c r="A512" s="159"/>
      <c r="B512" s="157" t="s">
        <v>968</v>
      </c>
      <c r="C512" s="159" t="s">
        <v>965</v>
      </c>
      <c r="D512" s="159">
        <v>5.77</v>
      </c>
      <c r="E512" s="160">
        <v>2.8</v>
      </c>
      <c r="F512" s="161">
        <f t="shared" si="50"/>
        <v>16.156</v>
      </c>
      <c r="I512" s="109">
        <f t="shared" si="48"/>
        <v>0</v>
      </c>
      <c r="J512" s="162">
        <v>1</v>
      </c>
      <c r="K512" s="162">
        <v>1</v>
      </c>
      <c r="L512" s="162">
        <v>1</v>
      </c>
      <c r="M512" s="164">
        <f t="shared" si="49"/>
        <v>0</v>
      </c>
    </row>
    <row r="513" s="126" customFormat="1" ht="18" customHeight="1" spans="1:13">
      <c r="A513" s="159" t="s">
        <v>1187</v>
      </c>
      <c r="B513" s="157" t="s">
        <v>967</v>
      </c>
      <c r="C513" s="159"/>
      <c r="D513" s="159"/>
      <c r="E513" s="160"/>
      <c r="F513" s="161">
        <f>SUM(F514:F520)</f>
        <v>704.424702</v>
      </c>
      <c r="I513" s="109">
        <f t="shared" si="48"/>
        <v>5</v>
      </c>
      <c r="J513" s="162">
        <v>21</v>
      </c>
      <c r="K513" s="162">
        <v>26</v>
      </c>
      <c r="L513" s="162">
        <v>26</v>
      </c>
      <c r="M513" s="164">
        <f t="shared" si="49"/>
        <v>0</v>
      </c>
    </row>
    <row r="514" s="126" customFormat="1" ht="18" customHeight="1" spans="1:13">
      <c r="A514" s="159"/>
      <c r="B514" s="157" t="s">
        <v>1948</v>
      </c>
      <c r="C514" s="159" t="s">
        <v>90</v>
      </c>
      <c r="D514" s="159"/>
      <c r="E514" s="160">
        <v>10</v>
      </c>
      <c r="F514" s="161">
        <f t="shared" si="50"/>
        <v>0</v>
      </c>
      <c r="I514" s="109"/>
      <c r="M514" s="164"/>
    </row>
    <row r="515" s="126" customFormat="1" ht="18" customHeight="1" spans="1:13">
      <c r="A515" s="159"/>
      <c r="B515" s="157" t="s">
        <v>1949</v>
      </c>
      <c r="C515" s="159" t="s">
        <v>184</v>
      </c>
      <c r="D515" s="159">
        <v>26</v>
      </c>
      <c r="E515" s="160">
        <v>3.4</v>
      </c>
      <c r="F515" s="161">
        <f t="shared" si="50"/>
        <v>88.4</v>
      </c>
      <c r="I515" s="109"/>
      <c r="M515" s="164"/>
    </row>
    <row r="516" s="126" customFormat="1" ht="18" customHeight="1" spans="1:13">
      <c r="A516" s="159"/>
      <c r="B516" s="157" t="s">
        <v>1950</v>
      </c>
      <c r="C516" s="159" t="s">
        <v>184</v>
      </c>
      <c r="D516" s="159">
        <v>0.255</v>
      </c>
      <c r="E516" s="160">
        <v>8.04</v>
      </c>
      <c r="F516" s="161">
        <f t="shared" si="50"/>
        <v>2.0502</v>
      </c>
      <c r="I516" s="109"/>
      <c r="M516" s="164"/>
    </row>
    <row r="517" s="126" customFormat="1" ht="18" customHeight="1" spans="1:13">
      <c r="A517" s="159"/>
      <c r="B517" s="157" t="s">
        <v>1463</v>
      </c>
      <c r="C517" s="159" t="s">
        <v>184</v>
      </c>
      <c r="D517" s="159">
        <v>7.5</v>
      </c>
      <c r="E517" s="160">
        <v>1.6</v>
      </c>
      <c r="F517" s="161">
        <f t="shared" si="50"/>
        <v>12</v>
      </c>
      <c r="I517" s="109"/>
      <c r="M517" s="164"/>
    </row>
    <row r="518" s="126" customFormat="1" ht="18" customHeight="1" spans="1:13">
      <c r="A518" s="159"/>
      <c r="B518" s="157" t="s">
        <v>1951</v>
      </c>
      <c r="C518" s="159" t="s">
        <v>62</v>
      </c>
      <c r="D518" s="159">
        <v>500</v>
      </c>
      <c r="E518" s="160">
        <v>0.74</v>
      </c>
      <c r="F518" s="161">
        <f t="shared" si="50"/>
        <v>370</v>
      </c>
      <c r="I518" s="109"/>
      <c r="M518" s="164"/>
    </row>
    <row r="519" s="126" customFormat="1" ht="18" customHeight="1" spans="1:13">
      <c r="A519" s="159"/>
      <c r="B519" s="157" t="s">
        <v>1952</v>
      </c>
      <c r="C519" s="159" t="s">
        <v>62</v>
      </c>
      <c r="D519" s="159">
        <v>300</v>
      </c>
      <c r="E519" s="160">
        <v>0.75</v>
      </c>
      <c r="F519" s="161">
        <f t="shared" si="50"/>
        <v>225</v>
      </c>
      <c r="I519" s="109"/>
      <c r="M519" s="164"/>
    </row>
    <row r="520" s="126" customFormat="1" ht="18" customHeight="1" spans="1:6">
      <c r="A520" s="159"/>
      <c r="B520" s="157" t="s">
        <v>1163</v>
      </c>
      <c r="C520" s="159" t="s">
        <v>423</v>
      </c>
      <c r="D520" s="160">
        <f>SUM(F514:F519)</f>
        <v>697.4502</v>
      </c>
      <c r="E520" s="160">
        <v>1</v>
      </c>
      <c r="F520" s="161">
        <f>D520*E520/100</f>
        <v>6.974502</v>
      </c>
    </row>
    <row r="521" s="126" customFormat="1" ht="18" customHeight="1" spans="1:6">
      <c r="A521" s="159" t="s">
        <v>1189</v>
      </c>
      <c r="B521" s="157" t="s">
        <v>974</v>
      </c>
      <c r="C521" s="159"/>
      <c r="D521" s="159"/>
      <c r="E521" s="160"/>
      <c r="F521" s="161">
        <f>SUM(F522:F526)</f>
        <v>83.4115688639807</v>
      </c>
    </row>
    <row r="522" s="126" customFormat="1" ht="18" customHeight="1" spans="1:6">
      <c r="A522" s="159"/>
      <c r="B522" s="157" t="s">
        <v>1953</v>
      </c>
      <c r="C522" s="159" t="s">
        <v>988</v>
      </c>
      <c r="D522" s="160">
        <v>109.819671719186</v>
      </c>
      <c r="E522" s="160">
        <v>0.5</v>
      </c>
      <c r="F522" s="161">
        <f t="shared" ref="F522:F525" si="51">D522*E522</f>
        <v>54.909835859593</v>
      </c>
    </row>
    <row r="523" s="126" customFormat="1" ht="18" customHeight="1" spans="1:6">
      <c r="A523" s="159"/>
      <c r="B523" s="157" t="s">
        <v>1954</v>
      </c>
      <c r="C523" s="159" t="s">
        <v>988</v>
      </c>
      <c r="D523" s="159">
        <v>13.0894176306342</v>
      </c>
      <c r="E523" s="160">
        <v>0.03</v>
      </c>
      <c r="F523" s="161">
        <f t="shared" si="51"/>
        <v>0.392682528919026</v>
      </c>
    </row>
    <row r="524" s="126" customFormat="1" ht="18" customHeight="1" spans="1:6">
      <c r="A524" s="159"/>
      <c r="B524" s="157" t="s">
        <v>1955</v>
      </c>
      <c r="C524" s="159" t="s">
        <v>988</v>
      </c>
      <c r="D524" s="159">
        <v>66.3822584762664</v>
      </c>
      <c r="E524" s="160">
        <v>0.25</v>
      </c>
      <c r="F524" s="161">
        <f t="shared" si="51"/>
        <v>16.5955646190666</v>
      </c>
    </row>
    <row r="525" s="126" customFormat="1" ht="18" customHeight="1" spans="1:6">
      <c r="A525" s="159"/>
      <c r="B525" s="157" t="s">
        <v>1956</v>
      </c>
      <c r="C525" s="159" t="s">
        <v>988</v>
      </c>
      <c r="D525" s="159">
        <v>49.389824491424</v>
      </c>
      <c r="E525" s="160">
        <v>0.2</v>
      </c>
      <c r="F525" s="161">
        <f t="shared" si="51"/>
        <v>9.8779648982848</v>
      </c>
    </row>
    <row r="526" s="126" customFormat="1" ht="18" customHeight="1" spans="1:6">
      <c r="A526" s="159"/>
      <c r="B526" s="157" t="s">
        <v>1263</v>
      </c>
      <c r="C526" s="159" t="s">
        <v>423</v>
      </c>
      <c r="D526" s="159">
        <f>SUM(F522:F525)</f>
        <v>81.7760479058634</v>
      </c>
      <c r="E526" s="160">
        <v>2</v>
      </c>
      <c r="F526" s="161">
        <f>D526*E526/100</f>
        <v>1.63552095811727</v>
      </c>
    </row>
    <row r="527" s="126" customFormat="1" ht="18" customHeight="1" spans="1:6">
      <c r="A527" s="159"/>
      <c r="B527" s="157"/>
      <c r="C527" s="159"/>
      <c r="D527" s="159"/>
      <c r="E527" s="160"/>
      <c r="F527" s="161"/>
    </row>
    <row r="528" s="126" customFormat="1" ht="18" customHeight="1" spans="1:6">
      <c r="A528" s="159">
        <v>1.2</v>
      </c>
      <c r="B528" s="157" t="s">
        <v>971</v>
      </c>
      <c r="C528" s="159"/>
      <c r="D528" s="161">
        <f>F509</f>
        <v>989.482270863981</v>
      </c>
      <c r="E528" s="163">
        <f t="shared" ref="E528:E531" si="52">E491</f>
        <v>0.048</v>
      </c>
      <c r="F528" s="161">
        <f t="shared" ref="F528:F531" si="53">D528*E528</f>
        <v>47.4951490014711</v>
      </c>
    </row>
    <row r="529" s="126" customFormat="1" ht="18" customHeight="1" spans="1:6">
      <c r="A529" s="159">
        <v>1.3</v>
      </c>
      <c r="B529" s="157" t="s">
        <v>1191</v>
      </c>
      <c r="C529" s="159"/>
      <c r="D529" s="161">
        <f>F509</f>
        <v>989.482270863981</v>
      </c>
      <c r="E529" s="163">
        <f t="shared" si="52"/>
        <v>0</v>
      </c>
      <c r="F529" s="161">
        <f t="shared" si="53"/>
        <v>0</v>
      </c>
    </row>
    <row r="530" s="126" customFormat="1" ht="18" customHeight="1" spans="1:6">
      <c r="A530" s="159">
        <v>2</v>
      </c>
      <c r="B530" s="157" t="s">
        <v>973</v>
      </c>
      <c r="C530" s="159"/>
      <c r="D530" s="161">
        <f>F508</f>
        <v>1036.97741986545</v>
      </c>
      <c r="E530" s="163">
        <f t="shared" si="52"/>
        <v>0.0725</v>
      </c>
      <c r="F530" s="161">
        <f t="shared" si="53"/>
        <v>75.1808629402452</v>
      </c>
    </row>
    <row r="531" s="126" customFormat="1" ht="18" customHeight="1" spans="1:6">
      <c r="A531" s="159">
        <v>3</v>
      </c>
      <c r="B531" s="157" t="s">
        <v>975</v>
      </c>
      <c r="C531" s="159"/>
      <c r="D531" s="161">
        <f>F530+F508</f>
        <v>1112.1582828057</v>
      </c>
      <c r="E531" s="163">
        <f t="shared" si="52"/>
        <v>0.07</v>
      </c>
      <c r="F531" s="161">
        <f t="shared" si="53"/>
        <v>77.8510797963988</v>
      </c>
    </row>
    <row r="532" s="126" customFormat="1" ht="18" customHeight="1" spans="1:6">
      <c r="A532" s="159">
        <v>4</v>
      </c>
      <c r="B532" s="157" t="s">
        <v>1173</v>
      </c>
      <c r="C532" s="159"/>
      <c r="D532" s="159"/>
      <c r="E532" s="160"/>
      <c r="F532" s="161">
        <f>SUM(F533:F535)</f>
        <v>31.8530491716</v>
      </c>
    </row>
    <row r="533" s="126" customFormat="1" ht="18" customHeight="1" spans="1:6">
      <c r="A533" s="159"/>
      <c r="B533" s="157" t="s">
        <v>1141</v>
      </c>
      <c r="C533" s="159" t="s">
        <v>1957</v>
      </c>
      <c r="D533" s="159">
        <f t="shared" ref="D533:D535" si="54">D496</f>
        <v>0.14697129</v>
      </c>
      <c r="E533" s="160">
        <f>E516</f>
        <v>8.04</v>
      </c>
      <c r="F533" s="161">
        <f t="shared" ref="F533:F536" si="55">D533*E533</f>
        <v>1.1816491716</v>
      </c>
    </row>
    <row r="534" s="126" customFormat="1" ht="18" customHeight="1" spans="1:6">
      <c r="A534" s="159"/>
      <c r="B534" s="157" t="s">
        <v>1118</v>
      </c>
      <c r="C534" s="159" t="s">
        <v>1957</v>
      </c>
      <c r="D534" s="159">
        <f t="shared" si="54"/>
        <v>5.185</v>
      </c>
      <c r="E534" s="160">
        <v>1.44</v>
      </c>
      <c r="F534" s="161">
        <f t="shared" si="55"/>
        <v>7.4664</v>
      </c>
    </row>
    <row r="535" s="126" customFormat="1" ht="18" customHeight="1" spans="1:6">
      <c r="A535" s="159"/>
      <c r="B535" s="157" t="s">
        <v>1116</v>
      </c>
      <c r="C535" s="159" t="s">
        <v>1957</v>
      </c>
      <c r="D535" s="159">
        <f t="shared" si="54"/>
        <v>3.9</v>
      </c>
      <c r="E535" s="160">
        <v>5.95</v>
      </c>
      <c r="F535" s="161">
        <f t="shared" si="55"/>
        <v>23.205</v>
      </c>
    </row>
    <row r="536" s="126" customFormat="1" ht="18" customHeight="1" spans="1:6">
      <c r="A536" s="159">
        <v>5</v>
      </c>
      <c r="B536" s="157" t="s">
        <v>976</v>
      </c>
      <c r="C536" s="159"/>
      <c r="D536" s="160">
        <f>F508+F530+F531+F532</f>
        <v>1221.8624117737</v>
      </c>
      <c r="E536" s="163">
        <f>E499</f>
        <v>0.09</v>
      </c>
      <c r="F536" s="161">
        <f t="shared" si="55"/>
        <v>109.967617059633</v>
      </c>
    </row>
    <row r="537" s="126" customFormat="1" ht="18" customHeight="1" spans="1:6">
      <c r="A537" s="159">
        <v>6</v>
      </c>
      <c r="B537" s="157" t="s">
        <v>278</v>
      </c>
      <c r="C537" s="159"/>
      <c r="D537" s="159"/>
      <c r="E537" s="160"/>
      <c r="F537" s="161">
        <f>D536+F536</f>
        <v>1331.83002883333</v>
      </c>
    </row>
    <row r="538" s="126" customFormat="1" ht="18" customHeight="1" spans="1:6">
      <c r="A538" s="159"/>
      <c r="B538" s="157" t="s">
        <v>1192</v>
      </c>
      <c r="C538" s="157"/>
      <c r="D538" s="161">
        <f>F537</f>
        <v>1331.83002883333</v>
      </c>
      <c r="E538" s="163">
        <f>E501</f>
        <v>0</v>
      </c>
      <c r="F538" s="161">
        <f>E538*D538</f>
        <v>0</v>
      </c>
    </row>
    <row r="539" s="126" customFormat="1" ht="18" customHeight="1" spans="1:6">
      <c r="A539" s="159"/>
      <c r="B539" s="157" t="s">
        <v>1193</v>
      </c>
      <c r="C539" s="157"/>
      <c r="D539" s="159"/>
      <c r="E539" s="160"/>
      <c r="F539" s="161">
        <f>SUM(F537:F538)</f>
        <v>1331.83002883333</v>
      </c>
    </row>
  </sheetData>
  <mergeCells count="127">
    <mergeCell ref="A1:G1"/>
    <mergeCell ref="A2:G2"/>
    <mergeCell ref="A3:D3"/>
    <mergeCell ref="F3:G3"/>
    <mergeCell ref="A4:G4"/>
    <mergeCell ref="A27:G27"/>
    <mergeCell ref="A28:G28"/>
    <mergeCell ref="A29:D29"/>
    <mergeCell ref="F29:G29"/>
    <mergeCell ref="A30:G30"/>
    <mergeCell ref="A53:G53"/>
    <mergeCell ref="A54:G54"/>
    <mergeCell ref="A55:D55"/>
    <mergeCell ref="F55:G55"/>
    <mergeCell ref="A56:G56"/>
    <mergeCell ref="A79:G79"/>
    <mergeCell ref="A80:G80"/>
    <mergeCell ref="A81:D81"/>
    <mergeCell ref="F81:G81"/>
    <mergeCell ref="A82:G82"/>
    <mergeCell ref="A105:D105"/>
    <mergeCell ref="F105:G105"/>
    <mergeCell ref="A106:G106"/>
    <mergeCell ref="A127:G127"/>
    <mergeCell ref="A128:G128"/>
    <mergeCell ref="A129:D129"/>
    <mergeCell ref="F129:G129"/>
    <mergeCell ref="A130:G130"/>
    <mergeCell ref="A151:G151"/>
    <mergeCell ref="A152:G152"/>
    <mergeCell ref="A153:D153"/>
    <mergeCell ref="F153:G153"/>
    <mergeCell ref="A154:G154"/>
    <mergeCell ref="A175:G175"/>
    <mergeCell ref="A176:G176"/>
    <mergeCell ref="A177:D177"/>
    <mergeCell ref="F177:G177"/>
    <mergeCell ref="A178:G178"/>
    <mergeCell ref="A196:G196"/>
    <mergeCell ref="I196:O196"/>
    <mergeCell ref="A197:G197"/>
    <mergeCell ref="I197:O197"/>
    <mergeCell ref="A198:D198"/>
    <mergeCell ref="F198:G198"/>
    <mergeCell ref="I198:L198"/>
    <mergeCell ref="N198:O198"/>
    <mergeCell ref="A199:G199"/>
    <mergeCell ref="I199:O199"/>
    <mergeCell ref="A217:G217"/>
    <mergeCell ref="I217:O217"/>
    <mergeCell ref="A218:G218"/>
    <mergeCell ref="I218:O218"/>
    <mergeCell ref="A219:D219"/>
    <mergeCell ref="F219:G219"/>
    <mergeCell ref="I219:L219"/>
    <mergeCell ref="N219:O219"/>
    <mergeCell ref="A220:G220"/>
    <mergeCell ref="I220:O220"/>
    <mergeCell ref="A238:G238"/>
    <mergeCell ref="A239:G239"/>
    <mergeCell ref="A240:D240"/>
    <mergeCell ref="F240:G240"/>
    <mergeCell ref="A241:G241"/>
    <mergeCell ref="A259:G259"/>
    <mergeCell ref="A260:G260"/>
    <mergeCell ref="A261:D261"/>
    <mergeCell ref="F261:G261"/>
    <mergeCell ref="A262:G262"/>
    <mergeCell ref="A280:G280"/>
    <mergeCell ref="I280:O280"/>
    <mergeCell ref="Q280:W280"/>
    <mergeCell ref="A281:G281"/>
    <mergeCell ref="I281:O281"/>
    <mergeCell ref="Q281:W281"/>
    <mergeCell ref="A282:D282"/>
    <mergeCell ref="F282:G282"/>
    <mergeCell ref="I282:L282"/>
    <mergeCell ref="N282:O282"/>
    <mergeCell ref="Q282:T282"/>
    <mergeCell ref="V282:W282"/>
    <mergeCell ref="A283:G283"/>
    <mergeCell ref="I283:O283"/>
    <mergeCell ref="Q283:W283"/>
    <mergeCell ref="A301:G301"/>
    <mergeCell ref="I301:O301"/>
    <mergeCell ref="A302:G302"/>
    <mergeCell ref="I302:O302"/>
    <mergeCell ref="A303:D303"/>
    <mergeCell ref="F303:G303"/>
    <mergeCell ref="I303:L303"/>
    <mergeCell ref="N303:O303"/>
    <mergeCell ref="A304:G304"/>
    <mergeCell ref="I304:O304"/>
    <mergeCell ref="A322:G322"/>
    <mergeCell ref="A323:G323"/>
    <mergeCell ref="A324:D324"/>
    <mergeCell ref="F324:G324"/>
    <mergeCell ref="A325:G325"/>
    <mergeCell ref="A343:G343"/>
    <mergeCell ref="A344:G344"/>
    <mergeCell ref="A345:D345"/>
    <mergeCell ref="F345:G345"/>
    <mergeCell ref="A346:G346"/>
    <mergeCell ref="A364:G364"/>
    <mergeCell ref="A365:G365"/>
    <mergeCell ref="A366:D366"/>
    <mergeCell ref="F366:G366"/>
    <mergeCell ref="A367:G367"/>
    <mergeCell ref="A384:G384"/>
    <mergeCell ref="A385:G385"/>
    <mergeCell ref="A386:D386"/>
    <mergeCell ref="F386:G386"/>
    <mergeCell ref="A387:G387"/>
    <mergeCell ref="A405:G405"/>
    <mergeCell ref="A406:G406"/>
    <mergeCell ref="A407:D407"/>
    <mergeCell ref="F407:G407"/>
    <mergeCell ref="A408:G408"/>
    <mergeCell ref="A438:G438"/>
    <mergeCell ref="A439:G439"/>
    <mergeCell ref="A440:D440"/>
    <mergeCell ref="F440:G440"/>
    <mergeCell ref="A441:G441"/>
    <mergeCell ref="A466:F466"/>
    <mergeCell ref="A467:F467"/>
    <mergeCell ref="A503:F503"/>
    <mergeCell ref="A504:F504"/>
  </mergeCells>
  <pageMargins left="0.699305555555556" right="0.699305555555556" top="0.75" bottom="0.75" header="0.3" footer="0.3"/>
  <pageSetup paperSize="9" orientation="portrait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T51"/>
  <sheetViews>
    <sheetView workbookViewId="0">
      <pane xSplit="2" topLeftCell="C1" activePane="topRight" state="frozen"/>
      <selection/>
      <selection pane="topRight" activeCell="D122" sqref="D122"/>
    </sheetView>
  </sheetViews>
  <sheetFormatPr defaultColWidth="9" defaultRowHeight="14.25"/>
  <cols>
    <col min="1" max="1" width="27.125" customWidth="1"/>
    <col min="2" max="2" width="9.375" customWidth="1"/>
    <col min="19" max="19" width="9.375" customWidth="1"/>
    <col min="21" max="21" width="8.625" style="110" customWidth="1"/>
    <col min="22" max="22" width="9" style="110"/>
    <col min="23" max="23" width="9.125" style="110" customWidth="1"/>
    <col min="24" max="24" width="8.875" style="110" customWidth="1"/>
    <col min="25" max="25" width="9" style="110"/>
    <col min="26" max="26" width="9.25" style="110" customWidth="1"/>
    <col min="27" max="29" width="9" style="110"/>
    <col min="30" max="30" width="9.375" customWidth="1"/>
    <col min="31" max="32" width="9" style="110"/>
    <col min="33" max="34" width="9.375" style="110" customWidth="1"/>
    <col min="35" max="36" width="9" style="110"/>
    <col min="37" max="38" width="9.375" style="110" customWidth="1"/>
    <col min="40" max="40" width="7.5" customWidth="1"/>
    <col min="41" max="41" width="7.875" customWidth="1"/>
    <col min="42" max="42" width="7.75" customWidth="1"/>
    <col min="44" max="44" width="9.375" customWidth="1"/>
    <col min="46" max="46" width="9.375" customWidth="1"/>
  </cols>
  <sheetData>
    <row r="1" ht="20.1" customHeight="1" spans="4:6">
      <c r="D1" s="111"/>
      <c r="E1" t="s">
        <v>1959</v>
      </c>
      <c r="F1" s="111">
        <f>F7+F9</f>
        <v>0</v>
      </c>
    </row>
    <row r="2" ht="20.1" customHeight="1" spans="1:46">
      <c r="A2" s="57"/>
      <c r="B2" s="57"/>
      <c r="C2" s="57" t="s">
        <v>1960</v>
      </c>
      <c r="D2" s="57"/>
      <c r="E2" s="57" t="s">
        <v>1141</v>
      </c>
      <c r="F2" s="57"/>
      <c r="G2" s="57" t="s">
        <v>1142</v>
      </c>
      <c r="H2" s="57"/>
      <c r="I2" s="57" t="s">
        <v>1110</v>
      </c>
      <c r="J2" s="57"/>
      <c r="K2" s="57" t="s">
        <v>1111</v>
      </c>
      <c r="L2" s="57"/>
      <c r="M2" s="57" t="s">
        <v>1113</v>
      </c>
      <c r="N2" s="57"/>
      <c r="O2" s="57" t="s">
        <v>1101</v>
      </c>
      <c r="P2" s="57"/>
      <c r="Q2" s="57" t="s">
        <v>1118</v>
      </c>
      <c r="R2" s="57"/>
      <c r="S2" s="57" t="s">
        <v>1116</v>
      </c>
      <c r="T2" s="57"/>
      <c r="U2" s="117" t="s">
        <v>1626</v>
      </c>
      <c r="V2" s="118"/>
      <c r="W2" s="117" t="s">
        <v>1961</v>
      </c>
      <c r="X2" s="118"/>
      <c r="Y2" s="117" t="s">
        <v>1962</v>
      </c>
      <c r="Z2" s="118"/>
      <c r="AA2" s="117" t="s">
        <v>1221</v>
      </c>
      <c r="AB2" s="118"/>
      <c r="AC2" s="117" t="s">
        <v>1220</v>
      </c>
      <c r="AD2" s="118"/>
      <c r="AE2" s="117" t="s">
        <v>1545</v>
      </c>
      <c r="AF2" s="118"/>
      <c r="AG2" s="117" t="s">
        <v>1963</v>
      </c>
      <c r="AH2" s="118"/>
      <c r="AI2" s="117" t="s">
        <v>1655</v>
      </c>
      <c r="AJ2" s="118"/>
      <c r="AK2" s="117" t="s">
        <v>1190</v>
      </c>
      <c r="AL2" s="118"/>
      <c r="AM2" s="117" t="s">
        <v>1329</v>
      </c>
      <c r="AN2" s="118"/>
      <c r="AO2" s="117" t="s">
        <v>1670</v>
      </c>
      <c r="AP2" s="118"/>
      <c r="AQ2" s="117" t="s">
        <v>1964</v>
      </c>
      <c r="AR2" s="118"/>
      <c r="AS2" s="117" t="s">
        <v>1965</v>
      </c>
      <c r="AT2" s="118"/>
    </row>
    <row r="3" ht="20.1" customHeight="1" spans="1:46">
      <c r="A3" s="57" t="s">
        <v>1966</v>
      </c>
      <c r="B3" s="57" t="s">
        <v>1967</v>
      </c>
      <c r="C3" s="57" t="s">
        <v>1144</v>
      </c>
      <c r="D3" s="57" t="s">
        <v>53</v>
      </c>
      <c r="E3" s="57" t="s">
        <v>1144</v>
      </c>
      <c r="F3" s="57" t="s">
        <v>53</v>
      </c>
      <c r="G3" s="57" t="s">
        <v>1144</v>
      </c>
      <c r="H3" s="57" t="s">
        <v>53</v>
      </c>
      <c r="I3" s="57" t="s">
        <v>1144</v>
      </c>
      <c r="J3" s="57" t="s">
        <v>53</v>
      </c>
      <c r="K3" s="57" t="s">
        <v>1144</v>
      </c>
      <c r="L3" s="57" t="s">
        <v>53</v>
      </c>
      <c r="M3" s="57" t="s">
        <v>1144</v>
      </c>
      <c r="N3" s="57" t="s">
        <v>53</v>
      </c>
      <c r="O3" s="57" t="s">
        <v>1144</v>
      </c>
      <c r="P3" s="57" t="s">
        <v>53</v>
      </c>
      <c r="Q3" s="57" t="s">
        <v>1144</v>
      </c>
      <c r="R3" s="57" t="s">
        <v>53</v>
      </c>
      <c r="S3" s="57" t="s">
        <v>1144</v>
      </c>
      <c r="T3" s="57" t="s">
        <v>53</v>
      </c>
      <c r="U3" s="57" t="s">
        <v>1144</v>
      </c>
      <c r="V3" s="57" t="s">
        <v>53</v>
      </c>
      <c r="W3" s="57" t="s">
        <v>1144</v>
      </c>
      <c r="X3" s="57" t="s">
        <v>53</v>
      </c>
      <c r="Y3" s="57" t="s">
        <v>1144</v>
      </c>
      <c r="Z3" s="57" t="s">
        <v>53</v>
      </c>
      <c r="AA3" s="57" t="s">
        <v>1144</v>
      </c>
      <c r="AB3" s="57" t="s">
        <v>53</v>
      </c>
      <c r="AC3" s="57" t="s">
        <v>1144</v>
      </c>
      <c r="AD3" s="57" t="s">
        <v>53</v>
      </c>
      <c r="AE3" s="57" t="s">
        <v>1144</v>
      </c>
      <c r="AF3" s="57" t="s">
        <v>53</v>
      </c>
      <c r="AG3" s="57" t="s">
        <v>1144</v>
      </c>
      <c r="AH3" s="57" t="s">
        <v>53</v>
      </c>
      <c r="AI3" s="57" t="s">
        <v>1144</v>
      </c>
      <c r="AJ3" s="57" t="s">
        <v>53</v>
      </c>
      <c r="AK3" s="57" t="s">
        <v>1144</v>
      </c>
      <c r="AL3" s="57" t="s">
        <v>53</v>
      </c>
      <c r="AM3" s="57" t="s">
        <v>1144</v>
      </c>
      <c r="AN3" s="57" t="s">
        <v>53</v>
      </c>
      <c r="AO3" s="57" t="s">
        <v>1144</v>
      </c>
      <c r="AP3" s="57" t="s">
        <v>53</v>
      </c>
      <c r="AQ3" s="57" t="s">
        <v>1144</v>
      </c>
      <c r="AR3" s="57" t="s">
        <v>53</v>
      </c>
      <c r="AS3" s="57" t="s">
        <v>1144</v>
      </c>
      <c r="AT3" s="57" t="s">
        <v>53</v>
      </c>
    </row>
    <row r="4" ht="20.1" customHeight="1" spans="1:46">
      <c r="A4" s="57" t="s">
        <v>278</v>
      </c>
      <c r="B4" s="57"/>
      <c r="C4" s="57"/>
      <c r="D4" s="112" t="e">
        <f>SUM(D5:D41)</f>
        <v>#REF!</v>
      </c>
      <c r="E4" s="112"/>
      <c r="F4" s="112" t="e">
        <f>SUM(F5:F41)-F7-F9</f>
        <v>#REF!</v>
      </c>
      <c r="G4" s="112"/>
      <c r="H4" s="112" t="e">
        <f t="shared" ref="H4:L4" si="0">SUM(H5:H41)</f>
        <v>#REF!</v>
      </c>
      <c r="I4" s="112"/>
      <c r="J4" s="112" t="e">
        <f t="shared" si="0"/>
        <v>#REF!</v>
      </c>
      <c r="K4" s="112"/>
      <c r="L4" s="112" t="e">
        <f t="shared" si="0"/>
        <v>#REF!</v>
      </c>
      <c r="M4" s="112"/>
      <c r="N4" s="112" t="e">
        <f t="shared" ref="N4:R4" si="1">SUM(N5:N41)</f>
        <v>#REF!</v>
      </c>
      <c r="O4" s="112"/>
      <c r="P4" s="112" t="e">
        <f t="shared" si="1"/>
        <v>#REF!</v>
      </c>
      <c r="Q4" s="112"/>
      <c r="R4" s="112" t="e">
        <f t="shared" si="1"/>
        <v>#REF!</v>
      </c>
      <c r="S4" s="112"/>
      <c r="T4" s="112" t="e">
        <f>SUM(T5:T41)</f>
        <v>#REF!</v>
      </c>
      <c r="U4" s="112"/>
      <c r="V4" s="112" t="e">
        <f t="shared" ref="V4:AF4" si="2">SUM(V5:V41)</f>
        <v>#REF!</v>
      </c>
      <c r="W4" s="112"/>
      <c r="X4" s="112" t="e">
        <f t="shared" si="2"/>
        <v>#REF!</v>
      </c>
      <c r="Y4" s="112"/>
      <c r="Z4" s="112" t="e">
        <f t="shared" si="2"/>
        <v>#REF!</v>
      </c>
      <c r="AA4" s="112"/>
      <c r="AB4" s="112" t="e">
        <f t="shared" si="2"/>
        <v>#REF!</v>
      </c>
      <c r="AC4" s="112"/>
      <c r="AD4" s="112">
        <f t="shared" si="2"/>
        <v>0</v>
      </c>
      <c r="AE4" s="112"/>
      <c r="AF4" s="112">
        <f t="shared" si="2"/>
        <v>0</v>
      </c>
      <c r="AG4" s="112"/>
      <c r="AH4" s="112" t="e">
        <f t="shared" ref="AH4:AL4" si="3">SUM(AH5:AH41)</f>
        <v>#REF!</v>
      </c>
      <c r="AI4" s="112"/>
      <c r="AJ4" s="112" t="e">
        <f t="shared" si="3"/>
        <v>#REF!</v>
      </c>
      <c r="AK4" s="112"/>
      <c r="AL4" s="112" t="e">
        <f t="shared" si="3"/>
        <v>#REF!</v>
      </c>
      <c r="AM4" s="112"/>
      <c r="AN4" s="112" t="e">
        <f t="shared" ref="AN4:AR4" si="4">SUM(AN5:AN41)</f>
        <v>#REF!</v>
      </c>
      <c r="AO4" s="112"/>
      <c r="AP4" s="112" t="e">
        <f t="shared" si="4"/>
        <v>#REF!</v>
      </c>
      <c r="AQ4" s="112"/>
      <c r="AR4" s="112">
        <f t="shared" si="4"/>
        <v>0</v>
      </c>
      <c r="AS4" s="112"/>
      <c r="AT4" s="112" t="e">
        <f>SUM(AT5:AT41)</f>
        <v>#REF!</v>
      </c>
    </row>
    <row r="5" ht="20.1" customHeight="1" spans="1:46">
      <c r="A5" s="61" t="s">
        <v>1968</v>
      </c>
      <c r="B5" s="113"/>
      <c r="C5" s="113">
        <f>新定额单价!E1514</f>
        <v>2934.4</v>
      </c>
      <c r="D5" s="112">
        <f>B5*C5</f>
        <v>0</v>
      </c>
      <c r="E5" s="113">
        <f>新定额单价!E1542</f>
        <v>35.035759</v>
      </c>
      <c r="F5" s="112">
        <f>E5*B5</f>
        <v>0</v>
      </c>
      <c r="G5" s="113">
        <f>新定额单价!E1543</f>
        <v>54.40666</v>
      </c>
      <c r="H5" s="112">
        <f>G5*B5</f>
        <v>0</v>
      </c>
      <c r="I5" s="113">
        <f>新定额单价!E1544</f>
        <v>86.667084</v>
      </c>
      <c r="J5" s="112">
        <f t="shared" ref="J5:J9" si="5">I5*B5</f>
        <v>0</v>
      </c>
      <c r="K5" s="112"/>
      <c r="L5" s="112"/>
      <c r="M5" s="113"/>
      <c r="N5" s="113"/>
      <c r="O5" s="112"/>
      <c r="P5" s="112"/>
      <c r="Q5" s="113"/>
      <c r="R5" s="113"/>
      <c r="S5" s="113"/>
      <c r="T5" s="112"/>
      <c r="U5" s="57"/>
      <c r="V5" s="57"/>
      <c r="W5" s="57"/>
      <c r="X5" s="57"/>
      <c r="Y5" s="57"/>
      <c r="Z5" s="57"/>
      <c r="AA5" s="57"/>
      <c r="AB5" s="57"/>
      <c r="AC5" s="57"/>
      <c r="AD5" s="79"/>
      <c r="AE5" s="57"/>
      <c r="AF5" s="57"/>
      <c r="AG5" s="57">
        <f>新定额单价!E1528</f>
        <v>18.54</v>
      </c>
      <c r="AH5" s="119">
        <f>B5*AG5</f>
        <v>0</v>
      </c>
      <c r="AI5" s="57">
        <f>新定额单价!E1529</f>
        <v>90.64</v>
      </c>
      <c r="AJ5" s="119">
        <f>B5*AI5</f>
        <v>0</v>
      </c>
      <c r="AK5" s="57">
        <f>新定额单价!E1530</f>
        <v>83</v>
      </c>
      <c r="AL5" s="119">
        <f>B5*AK5</f>
        <v>0</v>
      </c>
      <c r="AM5" s="57"/>
      <c r="AN5" s="57"/>
      <c r="AO5" s="57"/>
      <c r="AP5" s="57"/>
      <c r="AQ5" s="57"/>
      <c r="AR5" s="57"/>
      <c r="AS5" s="57"/>
      <c r="AT5" s="57"/>
    </row>
    <row r="6" ht="20.1" customHeight="1" spans="1:46">
      <c r="A6" s="61" t="s">
        <v>1969</v>
      </c>
      <c r="B6" s="84" t="e">
        <f>工程量汇总表!D20-B7</f>
        <v>#REF!</v>
      </c>
      <c r="C6" s="113">
        <f>新定额单价!E1558</f>
        <v>1584.7</v>
      </c>
      <c r="D6" s="112" t="e">
        <f t="shared" ref="D6:D41" si="6">C6*B6</f>
        <v>#REF!</v>
      </c>
      <c r="E6" s="113">
        <f>新定额单价!E1588</f>
        <v>35.035759</v>
      </c>
      <c r="F6" s="112" t="e">
        <f t="shared" ref="F6:F14" si="7">B6*E6</f>
        <v>#REF!</v>
      </c>
      <c r="G6" s="113">
        <f>新定额单价!E1589</f>
        <v>54.40666</v>
      </c>
      <c r="H6" s="112" t="e">
        <f t="shared" ref="H6:H41" si="8">G6*B6</f>
        <v>#REF!</v>
      </c>
      <c r="I6" s="113">
        <f>新定额单价!E1590</f>
        <v>86.667084</v>
      </c>
      <c r="J6" s="112" t="e">
        <f t="shared" si="5"/>
        <v>#REF!</v>
      </c>
      <c r="K6" s="57"/>
      <c r="L6" s="57"/>
      <c r="M6" s="113">
        <v>0.07</v>
      </c>
      <c r="N6" s="113" t="e">
        <f t="shared" ref="N6:N22" si="9">M6*B6</f>
        <v>#REF!</v>
      </c>
      <c r="O6" s="57"/>
      <c r="P6" s="57"/>
      <c r="Q6" s="113">
        <f>新定额单价!E1592</f>
        <v>35.136</v>
      </c>
      <c r="R6" s="113" t="e">
        <f t="shared" ref="R6:R14" si="10">Q6*B6</f>
        <v>#REF!</v>
      </c>
      <c r="S6" s="113"/>
      <c r="T6" s="112" t="e">
        <f t="shared" ref="T6:T11" si="11">S6*B6</f>
        <v>#REF!</v>
      </c>
      <c r="U6" s="57"/>
      <c r="V6" s="57"/>
      <c r="W6" s="57"/>
      <c r="X6" s="57"/>
      <c r="Y6" s="57"/>
      <c r="Z6" s="57"/>
      <c r="AA6" s="57"/>
      <c r="AB6" s="57"/>
      <c r="AC6" s="57"/>
      <c r="AD6" s="79"/>
      <c r="AE6" s="57"/>
      <c r="AF6" s="57"/>
      <c r="AG6" s="57">
        <f>新定额单价!E1573</f>
        <v>16.83</v>
      </c>
      <c r="AH6" s="119" t="e">
        <f t="shared" ref="AH6:AH14" si="12">B6*AG6</f>
        <v>#REF!</v>
      </c>
      <c r="AI6" s="57">
        <f>新定额单价!E1573</f>
        <v>16.83</v>
      </c>
      <c r="AJ6" s="119" t="e">
        <f t="shared" ref="AJ6:AJ14" si="13">B6*AI6</f>
        <v>#REF!</v>
      </c>
      <c r="AK6" s="57">
        <f>新定额单价!E1576</f>
        <v>83</v>
      </c>
      <c r="AL6" s="119" t="e">
        <f t="shared" ref="AL6:AL20" si="14">B6*AK6</f>
        <v>#REF!</v>
      </c>
      <c r="AM6" s="57">
        <f>新定额单价!E1572</f>
        <v>4.88</v>
      </c>
      <c r="AN6" s="119" t="e">
        <f>AM6*B6</f>
        <v>#REF!</v>
      </c>
      <c r="AO6" s="57">
        <f>新定额单价!E1575</f>
        <v>35.6</v>
      </c>
      <c r="AP6" s="119" t="e">
        <f t="shared" ref="AP6:AP12" si="15">AO6*B6</f>
        <v>#REF!</v>
      </c>
      <c r="AQ6" s="57"/>
      <c r="AR6" s="57"/>
      <c r="AS6" s="57"/>
      <c r="AT6" s="57"/>
    </row>
    <row r="7" ht="20.1" customHeight="1" spans="1:46">
      <c r="A7" s="61" t="s">
        <v>1970</v>
      </c>
      <c r="B7" s="84"/>
      <c r="C7" s="113">
        <f t="shared" ref="C7:G7" si="16">C6</f>
        <v>1584.7</v>
      </c>
      <c r="D7" s="112">
        <f t="shared" si="6"/>
        <v>0</v>
      </c>
      <c r="E7" s="113">
        <f t="shared" si="16"/>
        <v>35.035759</v>
      </c>
      <c r="F7" s="112">
        <f t="shared" si="7"/>
        <v>0</v>
      </c>
      <c r="G7" s="113">
        <f t="shared" si="16"/>
        <v>54.40666</v>
      </c>
      <c r="H7" s="112">
        <f t="shared" si="8"/>
        <v>0</v>
      </c>
      <c r="I7" s="113">
        <f>I6</f>
        <v>86.667084</v>
      </c>
      <c r="J7" s="112">
        <f t="shared" si="5"/>
        <v>0</v>
      </c>
      <c r="K7" s="57"/>
      <c r="L7" s="57"/>
      <c r="M7" s="113">
        <f>M6</f>
        <v>0.07</v>
      </c>
      <c r="N7" s="113">
        <f t="shared" si="9"/>
        <v>0</v>
      </c>
      <c r="O7" s="57"/>
      <c r="P7" s="57"/>
      <c r="Q7" s="113">
        <f>Q6</f>
        <v>35.136</v>
      </c>
      <c r="R7" s="113">
        <f t="shared" si="10"/>
        <v>0</v>
      </c>
      <c r="S7" s="113"/>
      <c r="T7" s="112"/>
      <c r="U7" s="57"/>
      <c r="V7" s="57"/>
      <c r="W7" s="57"/>
      <c r="X7" s="57"/>
      <c r="Y7" s="57"/>
      <c r="Z7" s="57"/>
      <c r="AA7" s="57"/>
      <c r="AB7" s="57"/>
      <c r="AC7" s="57"/>
      <c r="AD7" s="79"/>
      <c r="AE7" s="57"/>
      <c r="AF7" s="57"/>
      <c r="AG7" s="57"/>
      <c r="AH7" s="119"/>
      <c r="AI7" s="57"/>
      <c r="AJ7" s="119"/>
      <c r="AK7" s="57"/>
      <c r="AL7" s="119"/>
      <c r="AM7" s="57"/>
      <c r="AN7" s="119"/>
      <c r="AO7" s="57"/>
      <c r="AP7" s="119"/>
      <c r="AQ7" s="57"/>
      <c r="AR7" s="57"/>
      <c r="AS7" s="57"/>
      <c r="AT7" s="57"/>
    </row>
    <row r="8" s="109" customFormat="1" ht="20.1" customHeight="1" spans="1:46">
      <c r="A8" s="61" t="s">
        <v>1971</v>
      </c>
      <c r="B8" s="84" t="e">
        <f>工程量汇总表!D19-B9</f>
        <v>#REF!</v>
      </c>
      <c r="C8" s="113">
        <f>新定额单价!E907</f>
        <v>2057.3</v>
      </c>
      <c r="D8" s="112" t="e">
        <f t="shared" si="6"/>
        <v>#REF!</v>
      </c>
      <c r="E8" s="113">
        <f>新定额单价!E937</f>
        <v>37.58161</v>
      </c>
      <c r="F8" s="112" t="e">
        <f t="shared" si="7"/>
        <v>#REF!</v>
      </c>
      <c r="G8" s="113">
        <f>新定额单价!E938</f>
        <v>52.18598</v>
      </c>
      <c r="H8" s="112" t="e">
        <f t="shared" si="8"/>
        <v>#REF!</v>
      </c>
      <c r="I8" s="113">
        <f>新定额单价!E939</f>
        <v>86.667084</v>
      </c>
      <c r="J8" s="112" t="e">
        <f t="shared" si="5"/>
        <v>#REF!</v>
      </c>
      <c r="K8" s="57"/>
      <c r="L8" s="57"/>
      <c r="M8" s="113">
        <v>2.8</v>
      </c>
      <c r="N8" s="113" t="e">
        <f t="shared" si="9"/>
        <v>#REF!</v>
      </c>
      <c r="O8" s="57"/>
      <c r="P8" s="57"/>
      <c r="Q8" s="113">
        <f>新定额单价!E941</f>
        <v>8.424</v>
      </c>
      <c r="R8" s="113" t="e">
        <f t="shared" si="10"/>
        <v>#REF!</v>
      </c>
      <c r="S8" s="113"/>
      <c r="T8" s="112" t="e">
        <f t="shared" si="11"/>
        <v>#REF!</v>
      </c>
      <c r="U8" s="57"/>
      <c r="V8" s="57"/>
      <c r="W8" s="57"/>
      <c r="X8" s="57"/>
      <c r="Y8" s="57"/>
      <c r="Z8" s="57"/>
      <c r="AA8" s="57"/>
      <c r="AB8" s="57"/>
      <c r="AC8" s="57"/>
      <c r="AD8" s="121"/>
      <c r="AE8" s="57"/>
      <c r="AF8" s="57"/>
      <c r="AG8" s="57">
        <f>新定额单价!E923</f>
        <v>18.54</v>
      </c>
      <c r="AH8" s="119" t="e">
        <f t="shared" si="12"/>
        <v>#REF!</v>
      </c>
      <c r="AI8" s="57">
        <f>新定额单价!E924</f>
        <v>49.5</v>
      </c>
      <c r="AJ8" s="119" t="e">
        <f t="shared" si="13"/>
        <v>#REF!</v>
      </c>
      <c r="AK8" s="57">
        <f>新定额单价!E925</f>
        <v>98</v>
      </c>
      <c r="AL8" s="119" t="e">
        <f t="shared" si="14"/>
        <v>#REF!</v>
      </c>
      <c r="AM8" s="57">
        <f>新定额单价!E921</f>
        <v>1.17</v>
      </c>
      <c r="AN8" s="119" t="e">
        <f t="shared" ref="AN8:AN14" si="17">AM8*B8</f>
        <v>#REF!</v>
      </c>
      <c r="AO8" s="57">
        <f>新定额单价!E922</f>
        <v>0.94</v>
      </c>
      <c r="AP8" s="119" t="e">
        <f t="shared" si="15"/>
        <v>#REF!</v>
      </c>
      <c r="AQ8" s="57"/>
      <c r="AR8" s="57"/>
      <c r="AS8" s="57"/>
      <c r="AT8" s="57"/>
    </row>
    <row r="9" s="109" customFormat="1" ht="20.1" customHeight="1" spans="1:46">
      <c r="A9" s="61" t="s">
        <v>1972</v>
      </c>
      <c r="B9" s="84"/>
      <c r="C9" s="113">
        <f t="shared" ref="C9:G9" si="18">C8</f>
        <v>2057.3</v>
      </c>
      <c r="D9" s="112">
        <f t="shared" si="6"/>
        <v>0</v>
      </c>
      <c r="E9" s="113">
        <f t="shared" si="18"/>
        <v>37.58161</v>
      </c>
      <c r="F9" s="112">
        <f t="shared" si="7"/>
        <v>0</v>
      </c>
      <c r="G9" s="113">
        <f t="shared" si="18"/>
        <v>52.18598</v>
      </c>
      <c r="H9" s="112">
        <f t="shared" si="8"/>
        <v>0</v>
      </c>
      <c r="I9" s="113">
        <f>I8</f>
        <v>86.667084</v>
      </c>
      <c r="J9" s="112">
        <f t="shared" si="5"/>
        <v>0</v>
      </c>
      <c r="K9" s="57"/>
      <c r="L9" s="57"/>
      <c r="M9" s="113">
        <f>M8</f>
        <v>2.8</v>
      </c>
      <c r="N9" s="113">
        <f t="shared" si="9"/>
        <v>0</v>
      </c>
      <c r="O9" s="57"/>
      <c r="P9" s="57"/>
      <c r="Q9" s="113">
        <f>Q8</f>
        <v>8.424</v>
      </c>
      <c r="R9" s="113">
        <f t="shared" si="10"/>
        <v>0</v>
      </c>
      <c r="S9" s="113"/>
      <c r="T9" s="112">
        <f t="shared" si="11"/>
        <v>0</v>
      </c>
      <c r="U9" s="57"/>
      <c r="V9" s="57"/>
      <c r="W9" s="57"/>
      <c r="X9" s="57"/>
      <c r="Y9" s="57"/>
      <c r="Z9" s="57"/>
      <c r="AA9" s="57"/>
      <c r="AB9" s="57"/>
      <c r="AC9" s="57"/>
      <c r="AD9" s="121"/>
      <c r="AE9" s="57"/>
      <c r="AF9" s="57"/>
      <c r="AG9" s="57">
        <f t="shared" ref="AG9:AK9" si="19">AG8</f>
        <v>18.54</v>
      </c>
      <c r="AH9" s="119">
        <f t="shared" si="12"/>
        <v>0</v>
      </c>
      <c r="AI9" s="57">
        <f t="shared" si="19"/>
        <v>49.5</v>
      </c>
      <c r="AJ9" s="119">
        <f t="shared" si="13"/>
        <v>0</v>
      </c>
      <c r="AK9" s="57">
        <f t="shared" si="19"/>
        <v>98</v>
      </c>
      <c r="AL9" s="119">
        <f t="shared" si="14"/>
        <v>0</v>
      </c>
      <c r="AM9" s="57">
        <f>AM8</f>
        <v>1.17</v>
      </c>
      <c r="AN9" s="119">
        <f t="shared" si="17"/>
        <v>0</v>
      </c>
      <c r="AO9" s="57">
        <f>AO8</f>
        <v>0.94</v>
      </c>
      <c r="AP9" s="119">
        <f t="shared" si="15"/>
        <v>0</v>
      </c>
      <c r="AQ9" s="57"/>
      <c r="AR9" s="57"/>
      <c r="AS9" s="57"/>
      <c r="AT9" s="57"/>
    </row>
    <row r="10" s="109" customFormat="1" ht="20.1" customHeight="1" spans="1:46">
      <c r="A10" s="61"/>
      <c r="B10" s="84"/>
      <c r="C10" s="113"/>
      <c r="D10" s="112"/>
      <c r="E10" s="113"/>
      <c r="F10" s="112"/>
      <c r="G10" s="113"/>
      <c r="H10" s="112"/>
      <c r="I10" s="113"/>
      <c r="J10" s="112"/>
      <c r="K10" s="57"/>
      <c r="L10" s="57"/>
      <c r="M10" s="113"/>
      <c r="N10" s="113"/>
      <c r="O10" s="57"/>
      <c r="P10" s="57"/>
      <c r="Q10" s="113"/>
      <c r="R10" s="113"/>
      <c r="S10" s="113"/>
      <c r="T10" s="112"/>
      <c r="U10" s="57"/>
      <c r="V10" s="119"/>
      <c r="W10" s="57"/>
      <c r="X10" s="57"/>
      <c r="Y10" s="57"/>
      <c r="Z10" s="57"/>
      <c r="AA10" s="57"/>
      <c r="AB10" s="119"/>
      <c r="AC10" s="57"/>
      <c r="AD10" s="121"/>
      <c r="AE10" s="57"/>
      <c r="AF10" s="57"/>
      <c r="AG10" s="57"/>
      <c r="AH10" s="119"/>
      <c r="AI10" s="57"/>
      <c r="AJ10" s="119"/>
      <c r="AK10" s="57"/>
      <c r="AL10" s="119"/>
      <c r="AM10" s="57"/>
      <c r="AN10" s="119"/>
      <c r="AO10" s="57"/>
      <c r="AP10" s="119"/>
      <c r="AQ10" s="57"/>
      <c r="AR10" s="57"/>
      <c r="AS10" s="57"/>
      <c r="AT10" s="57"/>
    </row>
    <row r="11" s="109" customFormat="1" ht="20.1" customHeight="1" spans="1:46">
      <c r="A11" s="61" t="s">
        <v>1973</v>
      </c>
      <c r="B11" s="90"/>
      <c r="C11" s="113">
        <f>新定额单价!E3628+新定额单价!E3496*0.84+建筑工程单价分析表!E808*0.84</f>
        <v>2823.252</v>
      </c>
      <c r="D11" s="112">
        <f t="shared" si="6"/>
        <v>0</v>
      </c>
      <c r="E11" s="113">
        <f>新定额单价!E3727</f>
        <v>35.41674213</v>
      </c>
      <c r="F11" s="112">
        <f t="shared" si="7"/>
        <v>0</v>
      </c>
      <c r="G11" s="113">
        <f>新定额单价!E3728</f>
        <v>63.3841362</v>
      </c>
      <c r="H11" s="112">
        <f t="shared" si="8"/>
        <v>0</v>
      </c>
      <c r="I11" s="113">
        <f>新定额单价!E3729</f>
        <v>97.00823412</v>
      </c>
      <c r="J11" s="112">
        <f>I11*B11</f>
        <v>0</v>
      </c>
      <c r="K11" s="57"/>
      <c r="L11" s="57"/>
      <c r="M11" s="113"/>
      <c r="N11" s="113">
        <f t="shared" si="9"/>
        <v>0</v>
      </c>
      <c r="O11" s="57"/>
      <c r="P11" s="57"/>
      <c r="Q11" s="88">
        <f>新定额单价!E3732</f>
        <v>9.1584</v>
      </c>
      <c r="R11" s="112">
        <f t="shared" si="10"/>
        <v>0</v>
      </c>
      <c r="S11" s="88">
        <f>新定额单价!E3731</f>
        <v>106.71444</v>
      </c>
      <c r="T11" s="112">
        <f t="shared" si="11"/>
        <v>0</v>
      </c>
      <c r="U11" s="57"/>
      <c r="V11" s="57"/>
      <c r="W11" s="57"/>
      <c r="X11" s="57"/>
      <c r="Y11" s="57"/>
      <c r="Z11" s="57"/>
      <c r="AA11" s="57"/>
      <c r="AB11" s="57"/>
      <c r="AC11" s="57"/>
      <c r="AD11" s="121"/>
      <c r="AE11" s="57"/>
      <c r="AF11" s="57"/>
      <c r="AG11" s="88">
        <f>新定额单价!E3636+新定额单价!E3506*新定额单价!E3632/100</f>
        <v>19.4062</v>
      </c>
      <c r="AH11" s="119">
        <f t="shared" si="12"/>
        <v>0</v>
      </c>
      <c r="AI11" s="57">
        <f>新定额单价!E3507*新定额单价!E3632/100</f>
        <v>28.302</v>
      </c>
      <c r="AJ11" s="119">
        <f t="shared" si="13"/>
        <v>0</v>
      </c>
      <c r="AK11" s="125">
        <f>新定额单价!E3637+新定额单价!E3509*新定额单价!E3632/100</f>
        <v>197.046</v>
      </c>
      <c r="AL11" s="119">
        <f t="shared" si="14"/>
        <v>0</v>
      </c>
      <c r="AM11" s="57">
        <f>新定额单价!E3508*新定额单价!E3632/100</f>
        <v>1.272</v>
      </c>
      <c r="AN11" s="119">
        <f t="shared" si="17"/>
        <v>0</v>
      </c>
      <c r="AO11" s="57"/>
      <c r="AP11" s="119">
        <f t="shared" si="15"/>
        <v>0</v>
      </c>
      <c r="AQ11" s="57">
        <f>建筑工程单价分析表!E814</f>
        <v>179.76</v>
      </c>
      <c r="AR11" s="119">
        <f>AQ11*B11</f>
        <v>0</v>
      </c>
      <c r="AS11" s="57"/>
      <c r="AT11" s="57"/>
    </row>
    <row r="12" s="109" customFormat="1" ht="20.1" customHeight="1" spans="1:46">
      <c r="A12" s="61" t="s">
        <v>1974</v>
      </c>
      <c r="B12" s="84" t="e">
        <f>工程量汇总表!D18</f>
        <v>#REF!</v>
      </c>
      <c r="C12" s="113">
        <f>建筑工程单价分析表!E388</f>
        <v>1486.1</v>
      </c>
      <c r="D12" s="112" t="e">
        <f t="shared" si="6"/>
        <v>#REF!</v>
      </c>
      <c r="E12" s="113">
        <f>建筑工程单价分析表!E419</f>
        <v>25.23059572</v>
      </c>
      <c r="F12" s="112" t="e">
        <f t="shared" si="7"/>
        <v>#REF!</v>
      </c>
      <c r="G12" s="113">
        <f>建筑工程单价分析表!E420</f>
        <v>57.73768</v>
      </c>
      <c r="H12" s="112" t="e">
        <f t="shared" si="8"/>
        <v>#REF!</v>
      </c>
      <c r="I12" s="113">
        <f>建筑工程单价分析表!E421</f>
        <v>86.667084</v>
      </c>
      <c r="J12" s="112" t="e">
        <f t="shared" ref="J12:J38" si="20">I12*B12</f>
        <v>#REF!</v>
      </c>
      <c r="K12" s="57"/>
      <c r="L12" s="57"/>
      <c r="M12" s="113">
        <v>0.4</v>
      </c>
      <c r="N12" s="113" t="e">
        <f t="shared" si="9"/>
        <v>#REF!</v>
      </c>
      <c r="O12" s="57"/>
      <c r="P12" s="57"/>
      <c r="Q12" s="88">
        <f>建筑工程单价分析表!E423</f>
        <v>12.83864</v>
      </c>
      <c r="R12" s="112" t="e">
        <f t="shared" si="10"/>
        <v>#REF!</v>
      </c>
      <c r="S12" s="88"/>
      <c r="T12" s="112"/>
      <c r="U12" s="57"/>
      <c r="V12" s="57"/>
      <c r="W12" s="57"/>
      <c r="X12" s="57"/>
      <c r="Y12" s="57"/>
      <c r="Z12" s="57"/>
      <c r="AA12" s="57"/>
      <c r="AB12" s="57"/>
      <c r="AC12" s="57"/>
      <c r="AD12" s="121"/>
      <c r="AE12" s="57"/>
      <c r="AF12" s="57"/>
      <c r="AG12" s="57">
        <f>建筑工程单价分析表!E405</f>
        <v>18.54</v>
      </c>
      <c r="AH12" s="119" t="e">
        <f t="shared" si="12"/>
        <v>#REF!</v>
      </c>
      <c r="AI12" s="57">
        <f>建筑工程单价分析表!E406</f>
        <v>40.05</v>
      </c>
      <c r="AJ12" s="119" t="e">
        <f t="shared" si="13"/>
        <v>#REF!</v>
      </c>
      <c r="AK12" s="57">
        <f>建筑工程单价分析表!E407</f>
        <v>83</v>
      </c>
      <c r="AL12" s="119" t="e">
        <f t="shared" si="14"/>
        <v>#REF!</v>
      </c>
      <c r="AM12" s="57">
        <f>建筑工程单价分析表!E402</f>
        <v>1.5012</v>
      </c>
      <c r="AN12" s="119" t="e">
        <f t="shared" si="17"/>
        <v>#REF!</v>
      </c>
      <c r="AO12" s="57">
        <f>建筑工程单价分析表!E404</f>
        <v>3.3534</v>
      </c>
      <c r="AP12" s="119" t="e">
        <f t="shared" si="15"/>
        <v>#REF!</v>
      </c>
      <c r="AQ12" s="57"/>
      <c r="AR12" s="57"/>
      <c r="AS12" s="57">
        <f>建筑工程单价分析表!E402</f>
        <v>1.5012</v>
      </c>
      <c r="AT12" s="119" t="e">
        <f>AS12*B12</f>
        <v>#REF!</v>
      </c>
    </row>
    <row r="13" s="109" customFormat="1" ht="20.1" customHeight="1" spans="1:46">
      <c r="A13" s="61" t="s">
        <v>1101</v>
      </c>
      <c r="B13" s="84" t="e">
        <f>工程量汇总表!D21</f>
        <v>#REF!</v>
      </c>
      <c r="C13" s="57">
        <f>建筑工程单价分析表!E576+建筑工程单价分析表!E592*2.4+建筑工程单价分析表!E593*2</f>
        <v>109.78</v>
      </c>
      <c r="D13" s="112" t="e">
        <f t="shared" si="6"/>
        <v>#REF!</v>
      </c>
      <c r="E13" s="113"/>
      <c r="F13" s="112" t="e">
        <f t="shared" si="7"/>
        <v>#REF!</v>
      </c>
      <c r="G13" s="113"/>
      <c r="H13" s="112" t="e">
        <f t="shared" si="8"/>
        <v>#REF!</v>
      </c>
      <c r="I13" s="113"/>
      <c r="J13" s="112" t="e">
        <f t="shared" si="20"/>
        <v>#REF!</v>
      </c>
      <c r="K13" s="57"/>
      <c r="L13" s="57"/>
      <c r="M13" s="57"/>
      <c r="N13" s="113" t="e">
        <f t="shared" si="9"/>
        <v>#REF!</v>
      </c>
      <c r="O13" s="57">
        <f>建筑工程单价分析表!E580</f>
        <v>1.02</v>
      </c>
      <c r="P13" s="113" t="e">
        <f>O13*B13</f>
        <v>#REF!</v>
      </c>
      <c r="Q13" s="57">
        <f>建筑工程单价分析表!E592*台时!H34</f>
        <v>3.24</v>
      </c>
      <c r="R13" s="112" t="e">
        <f t="shared" si="10"/>
        <v>#REF!</v>
      </c>
      <c r="S13" s="57">
        <f>建筑工程单价分析表!E604</f>
        <v>1.11</v>
      </c>
      <c r="T13" s="112" t="e">
        <f>S13*B13</f>
        <v>#REF!</v>
      </c>
      <c r="U13" s="57"/>
      <c r="V13" s="57"/>
      <c r="W13" s="57"/>
      <c r="X13" s="57"/>
      <c r="Y13" s="57"/>
      <c r="Z13" s="57"/>
      <c r="AA13" s="57"/>
      <c r="AB13" s="57"/>
      <c r="AC13" s="57"/>
      <c r="AD13" s="121"/>
      <c r="AE13" s="57"/>
      <c r="AF13" s="57"/>
      <c r="AG13" s="57"/>
      <c r="AH13" s="119" t="e">
        <f t="shared" si="12"/>
        <v>#REF!</v>
      </c>
      <c r="AI13" s="57"/>
      <c r="AJ13" s="119" t="e">
        <f t="shared" si="13"/>
        <v>#REF!</v>
      </c>
      <c r="AK13" s="57"/>
      <c r="AL13" s="119" t="e">
        <f t="shared" si="14"/>
        <v>#REF!</v>
      </c>
      <c r="AM13" s="57"/>
      <c r="AN13" s="119" t="e">
        <f t="shared" si="17"/>
        <v>#REF!</v>
      </c>
      <c r="AO13" s="57"/>
      <c r="AP13" s="57"/>
      <c r="AQ13" s="57"/>
      <c r="AR13" s="57"/>
      <c r="AS13" s="57"/>
      <c r="AT13" s="57"/>
    </row>
    <row r="14" s="109" customFormat="1" ht="20.1" customHeight="1" spans="1:46">
      <c r="A14" s="61" t="s">
        <v>1874</v>
      </c>
      <c r="B14" s="84" t="e">
        <f>工程量汇总表!D22</f>
        <v>#REF!</v>
      </c>
      <c r="C14" s="57">
        <f>新定额单价!E767</f>
        <v>1964.93</v>
      </c>
      <c r="D14" s="112" t="e">
        <f t="shared" si="6"/>
        <v>#REF!</v>
      </c>
      <c r="E14" s="113">
        <f>新定额单价!E772*配合比!E14</f>
        <v>8.103006</v>
      </c>
      <c r="F14" s="112" t="e">
        <f t="shared" si="7"/>
        <v>#REF!</v>
      </c>
      <c r="G14" s="113">
        <f>新定额单价!E772*配合比!G14</f>
        <v>40.071</v>
      </c>
      <c r="H14" s="112" t="e">
        <f t="shared" si="8"/>
        <v>#REF!</v>
      </c>
      <c r="I14" s="113"/>
      <c r="J14" s="112" t="e">
        <f t="shared" si="20"/>
        <v>#REF!</v>
      </c>
      <c r="K14" s="57">
        <f>新定额单价!E771</f>
        <v>111.5</v>
      </c>
      <c r="L14" s="112" t="e">
        <f>K14*B14</f>
        <v>#REF!</v>
      </c>
      <c r="M14" s="57"/>
      <c r="N14" s="113" t="e">
        <f t="shared" si="9"/>
        <v>#REF!</v>
      </c>
      <c r="O14" s="57"/>
      <c r="P14" s="113"/>
      <c r="Q14" s="57"/>
      <c r="R14" s="112" t="e">
        <f t="shared" si="10"/>
        <v>#REF!</v>
      </c>
      <c r="S14" s="57"/>
      <c r="T14" s="112" t="e">
        <f>S14*B14</f>
        <v>#REF!</v>
      </c>
      <c r="U14" s="57"/>
      <c r="V14" s="57"/>
      <c r="W14" s="57"/>
      <c r="X14" s="57"/>
      <c r="Y14" s="57"/>
      <c r="Z14" s="57"/>
      <c r="AA14" s="57"/>
      <c r="AB14" s="57"/>
      <c r="AC14" s="57"/>
      <c r="AD14" s="121"/>
      <c r="AE14" s="57"/>
      <c r="AF14" s="57"/>
      <c r="AG14" s="57"/>
      <c r="AH14" s="119" t="e">
        <f t="shared" si="12"/>
        <v>#REF!</v>
      </c>
      <c r="AI14" s="57"/>
      <c r="AJ14" s="119" t="e">
        <f t="shared" si="13"/>
        <v>#REF!</v>
      </c>
      <c r="AK14" s="57"/>
      <c r="AL14" s="119" t="e">
        <f t="shared" si="14"/>
        <v>#REF!</v>
      </c>
      <c r="AM14" s="57"/>
      <c r="AN14" s="119" t="e">
        <f t="shared" si="17"/>
        <v>#REF!</v>
      </c>
      <c r="AO14" s="57"/>
      <c r="AP14" s="57"/>
      <c r="AQ14" s="57"/>
      <c r="AR14" s="57"/>
      <c r="AS14" s="57"/>
      <c r="AT14" s="57"/>
    </row>
    <row r="15" s="109" customFormat="1" ht="20.1" customHeight="1" spans="1:46">
      <c r="A15" s="61"/>
      <c r="B15" s="84"/>
      <c r="C15" s="57"/>
      <c r="D15" s="112"/>
      <c r="E15" s="113"/>
      <c r="F15" s="112"/>
      <c r="G15" s="113"/>
      <c r="H15" s="112"/>
      <c r="I15" s="113"/>
      <c r="J15" s="112"/>
      <c r="K15" s="57"/>
      <c r="L15" s="112"/>
      <c r="M15" s="57"/>
      <c r="N15" s="113"/>
      <c r="O15" s="57"/>
      <c r="P15" s="113"/>
      <c r="Q15" s="57"/>
      <c r="R15" s="112"/>
      <c r="S15" s="57"/>
      <c r="T15" s="112"/>
      <c r="U15" s="57"/>
      <c r="V15" s="57"/>
      <c r="W15" s="57"/>
      <c r="X15" s="57"/>
      <c r="Y15" s="57"/>
      <c r="Z15" s="57"/>
      <c r="AA15" s="57"/>
      <c r="AB15" s="57"/>
      <c r="AC15" s="57"/>
      <c r="AD15" s="121"/>
      <c r="AE15" s="57"/>
      <c r="AF15" s="57"/>
      <c r="AG15" s="57"/>
      <c r="AH15" s="119"/>
      <c r="AI15" s="57"/>
      <c r="AJ15" s="119"/>
      <c r="AK15" s="57"/>
      <c r="AL15" s="119"/>
      <c r="AM15" s="57"/>
      <c r="AN15" s="119"/>
      <c r="AO15" s="57"/>
      <c r="AP15" s="57"/>
      <c r="AQ15" s="57"/>
      <c r="AR15" s="57"/>
      <c r="AS15" s="57"/>
      <c r="AT15" s="57"/>
    </row>
    <row r="16" s="109" customFormat="1" ht="20.1" customHeight="1" spans="1:46">
      <c r="A16" s="61"/>
      <c r="B16" s="84"/>
      <c r="C16" s="57"/>
      <c r="D16" s="112"/>
      <c r="E16" s="57"/>
      <c r="F16" s="112"/>
      <c r="G16" s="113"/>
      <c r="H16" s="112"/>
      <c r="I16" s="113"/>
      <c r="J16" s="112"/>
      <c r="K16" s="57"/>
      <c r="L16" s="112"/>
      <c r="M16" s="57"/>
      <c r="N16" s="113"/>
      <c r="O16" s="57"/>
      <c r="P16" s="113"/>
      <c r="Q16" s="57"/>
      <c r="R16" s="112"/>
      <c r="S16" s="57"/>
      <c r="T16" s="112"/>
      <c r="U16" s="57"/>
      <c r="V16" s="57"/>
      <c r="W16" s="57"/>
      <c r="X16" s="57"/>
      <c r="Y16" s="57"/>
      <c r="Z16" s="57"/>
      <c r="AA16" s="57"/>
      <c r="AB16" s="57"/>
      <c r="AC16" s="57"/>
      <c r="AD16" s="121"/>
      <c r="AE16" s="57"/>
      <c r="AF16" s="57"/>
      <c r="AG16" s="57"/>
      <c r="AH16" s="119"/>
      <c r="AI16" s="57"/>
      <c r="AJ16" s="119"/>
      <c r="AK16" s="57"/>
      <c r="AL16" s="119"/>
      <c r="AM16" s="57"/>
      <c r="AN16" s="57"/>
      <c r="AO16" s="57"/>
      <c r="AP16" s="57"/>
      <c r="AQ16" s="57"/>
      <c r="AR16" s="57"/>
      <c r="AS16" s="57"/>
      <c r="AT16" s="57"/>
    </row>
    <row r="17" s="109" customFormat="1" ht="20.1" customHeight="1" spans="1:46">
      <c r="A17" s="61"/>
      <c r="B17" s="84"/>
      <c r="C17" s="57"/>
      <c r="D17" s="112"/>
      <c r="E17" s="57"/>
      <c r="F17" s="112"/>
      <c r="G17" s="113"/>
      <c r="H17" s="112"/>
      <c r="I17" s="113"/>
      <c r="J17" s="112"/>
      <c r="K17" s="57"/>
      <c r="L17" s="112"/>
      <c r="M17" s="57"/>
      <c r="N17" s="113"/>
      <c r="O17" s="57"/>
      <c r="P17" s="113"/>
      <c r="Q17" s="57"/>
      <c r="R17" s="112"/>
      <c r="S17" s="57"/>
      <c r="T17" s="112"/>
      <c r="U17" s="57"/>
      <c r="V17" s="57"/>
      <c r="W17" s="57"/>
      <c r="X17" s="57"/>
      <c r="Y17" s="57"/>
      <c r="Z17" s="57"/>
      <c r="AA17" s="57"/>
      <c r="AB17" s="57"/>
      <c r="AC17" s="57"/>
      <c r="AD17" s="121"/>
      <c r="AE17" s="57"/>
      <c r="AF17" s="57"/>
      <c r="AG17" s="57"/>
      <c r="AH17" s="119"/>
      <c r="AI17" s="57"/>
      <c r="AJ17" s="119"/>
      <c r="AK17" s="57"/>
      <c r="AL17" s="119"/>
      <c r="AM17" s="57"/>
      <c r="AN17" s="57"/>
      <c r="AO17" s="57"/>
      <c r="AP17" s="57"/>
      <c r="AQ17" s="57"/>
      <c r="AR17" s="57"/>
      <c r="AS17" s="57"/>
      <c r="AT17" s="57"/>
    </row>
    <row r="18" s="109" customFormat="1" ht="20.1" customHeight="1" spans="1:46">
      <c r="A18" s="61" t="s">
        <v>153</v>
      </c>
      <c r="B18" s="84"/>
      <c r="C18" s="57">
        <f>新定额单价!E565</f>
        <v>1723.7</v>
      </c>
      <c r="D18" s="112">
        <f t="shared" si="6"/>
        <v>0</v>
      </c>
      <c r="E18" s="57">
        <f>新定额单价!E580</f>
        <v>5.813514</v>
      </c>
      <c r="F18" s="112">
        <f t="shared" ref="F18:F38" si="21">B18*E18</f>
        <v>0</v>
      </c>
      <c r="G18" s="113">
        <f>新定额单价!E581</f>
        <v>28.749</v>
      </c>
      <c r="H18" s="112">
        <f t="shared" si="8"/>
        <v>0</v>
      </c>
      <c r="I18" s="113"/>
      <c r="J18" s="112"/>
      <c r="K18" s="57"/>
      <c r="L18" s="112"/>
      <c r="M18" s="57"/>
      <c r="N18" s="113"/>
      <c r="O18" s="57"/>
      <c r="P18" s="113"/>
      <c r="Q18" s="57"/>
      <c r="R18" s="112"/>
      <c r="S18" s="57"/>
      <c r="T18" s="112"/>
      <c r="U18" s="57"/>
      <c r="V18" s="57"/>
      <c r="W18" s="57"/>
      <c r="X18" s="57"/>
      <c r="Y18" s="57"/>
      <c r="Z18" s="57"/>
      <c r="AA18" s="57"/>
      <c r="AB18" s="57"/>
      <c r="AC18" s="57"/>
      <c r="AD18" s="121"/>
      <c r="AE18" s="57"/>
      <c r="AF18" s="57"/>
      <c r="AG18" s="57"/>
      <c r="AH18" s="119"/>
      <c r="AI18" s="57"/>
      <c r="AJ18" s="119"/>
      <c r="AK18" s="57"/>
      <c r="AL18" s="119"/>
      <c r="AM18" s="57"/>
      <c r="AN18" s="57"/>
      <c r="AO18" s="57"/>
      <c r="AP18" s="57"/>
      <c r="AQ18" s="57"/>
      <c r="AR18" s="57"/>
      <c r="AS18" s="57"/>
      <c r="AT18" s="57"/>
    </row>
    <row r="19" s="109" customFormat="1" ht="20.1" customHeight="1" spans="1:46">
      <c r="A19" s="61"/>
      <c r="B19" s="84"/>
      <c r="C19" s="113"/>
      <c r="D19" s="112"/>
      <c r="E19" s="57"/>
      <c r="F19" s="112"/>
      <c r="G19" s="113"/>
      <c r="H19" s="112"/>
      <c r="I19" s="113"/>
      <c r="J19" s="112"/>
      <c r="K19" s="57"/>
      <c r="L19" s="112"/>
      <c r="M19" s="57"/>
      <c r="N19" s="113"/>
      <c r="O19" s="57"/>
      <c r="P19" s="113"/>
      <c r="Q19" s="57"/>
      <c r="R19" s="112"/>
      <c r="S19" s="57"/>
      <c r="T19" s="112"/>
      <c r="U19" s="57"/>
      <c r="V19" s="57"/>
      <c r="W19" s="57"/>
      <c r="X19" s="57"/>
      <c r="Y19" s="57"/>
      <c r="Z19" s="57"/>
      <c r="AA19" s="57"/>
      <c r="AB19" s="57"/>
      <c r="AC19" s="57"/>
      <c r="AD19" s="121"/>
      <c r="AE19" s="57"/>
      <c r="AF19" s="57"/>
      <c r="AG19" s="57"/>
      <c r="AH19" s="119"/>
      <c r="AI19" s="57"/>
      <c r="AJ19" s="119"/>
      <c r="AK19" s="57"/>
      <c r="AL19" s="119"/>
      <c r="AM19" s="57"/>
      <c r="AN19" s="57"/>
      <c r="AO19" s="57"/>
      <c r="AP19" s="57"/>
      <c r="AQ19" s="57"/>
      <c r="AR19" s="57"/>
      <c r="AS19" s="57"/>
      <c r="AT19" s="57"/>
    </row>
    <row r="20" s="109" customFormat="1" ht="20.1" customHeight="1" spans="1:46">
      <c r="A20" s="61" t="s">
        <v>1875</v>
      </c>
      <c r="B20" s="84" t="e">
        <f>工程量汇总表!D23</f>
        <v>#REF!</v>
      </c>
      <c r="C20" s="88">
        <f>新定额单价!E8*0.7+(新定额单价!E93+新定额单价!E97*2)*0.3</f>
        <v>91.074</v>
      </c>
      <c r="D20" s="112" t="e">
        <f t="shared" si="6"/>
        <v>#REF!</v>
      </c>
      <c r="E20" s="57"/>
      <c r="F20" s="112" t="e">
        <f t="shared" si="21"/>
        <v>#REF!</v>
      </c>
      <c r="G20" s="113"/>
      <c r="H20" s="112" t="e">
        <f t="shared" si="8"/>
        <v>#REF!</v>
      </c>
      <c r="I20" s="113"/>
      <c r="J20" s="112" t="e">
        <f t="shared" si="20"/>
        <v>#REF!</v>
      </c>
      <c r="K20" s="57"/>
      <c r="L20" s="112"/>
      <c r="M20" s="57"/>
      <c r="N20" s="113" t="e">
        <f t="shared" si="9"/>
        <v>#REF!</v>
      </c>
      <c r="O20" s="57"/>
      <c r="P20" s="113"/>
      <c r="Q20" s="57"/>
      <c r="R20" s="112" t="e">
        <f t="shared" ref="R20:R22" si="22">Q20*B20</f>
        <v>#REF!</v>
      </c>
      <c r="S20" s="88">
        <f>新定额单价!E97*0.3*台时!E14</f>
        <v>8.3952</v>
      </c>
      <c r="T20" s="112" t="e">
        <f t="shared" ref="T20:T40" si="23">S20*B20</f>
        <v>#REF!</v>
      </c>
      <c r="U20" s="57"/>
      <c r="V20" s="57"/>
      <c r="W20" s="57"/>
      <c r="X20" s="57"/>
      <c r="Y20" s="57"/>
      <c r="Z20" s="57"/>
      <c r="AA20" s="57"/>
      <c r="AB20" s="57"/>
      <c r="AC20" s="57"/>
      <c r="AD20" s="121"/>
      <c r="AE20" s="57"/>
      <c r="AF20" s="57"/>
      <c r="AG20" s="57"/>
      <c r="AH20" s="57"/>
      <c r="AI20" s="57"/>
      <c r="AJ20" s="57"/>
      <c r="AK20" s="57"/>
      <c r="AL20" s="119" t="e">
        <f t="shared" si="14"/>
        <v>#REF!</v>
      </c>
      <c r="AM20" s="57"/>
      <c r="AN20" s="57"/>
      <c r="AO20" s="57"/>
      <c r="AP20" s="57"/>
      <c r="AQ20" s="57"/>
      <c r="AR20" s="57"/>
      <c r="AS20" s="57"/>
      <c r="AT20" s="57"/>
    </row>
    <row r="21" s="109" customFormat="1" ht="20.1" customHeight="1" spans="1:46">
      <c r="A21" s="61" t="s">
        <v>140</v>
      </c>
      <c r="B21" s="84" t="e">
        <f>工程量汇总表!D24</f>
        <v>#REF!</v>
      </c>
      <c r="C21" s="88">
        <f>建筑工程单价分析表!E165+建筑工程单价分析表!E169*2</f>
        <v>259.8</v>
      </c>
      <c r="D21" s="112" t="e">
        <f t="shared" si="6"/>
        <v>#REF!</v>
      </c>
      <c r="E21" s="57"/>
      <c r="F21" s="112" t="e">
        <f t="shared" si="21"/>
        <v>#REF!</v>
      </c>
      <c r="G21" s="113"/>
      <c r="H21" s="112" t="e">
        <f t="shared" si="8"/>
        <v>#REF!</v>
      </c>
      <c r="I21" s="113"/>
      <c r="J21" s="112" t="e">
        <f t="shared" si="20"/>
        <v>#REF!</v>
      </c>
      <c r="K21" s="57"/>
      <c r="L21" s="112"/>
      <c r="M21" s="57"/>
      <c r="N21" s="113" t="e">
        <f t="shared" si="9"/>
        <v>#REF!</v>
      </c>
      <c r="O21" s="57"/>
      <c r="P21" s="113"/>
      <c r="Q21" s="57"/>
      <c r="R21" s="112" t="e">
        <f t="shared" si="22"/>
        <v>#REF!</v>
      </c>
      <c r="S21" s="88"/>
      <c r="T21" s="112" t="e">
        <f t="shared" si="23"/>
        <v>#REF!</v>
      </c>
      <c r="U21" s="57"/>
      <c r="V21" s="57"/>
      <c r="W21" s="57"/>
      <c r="X21" s="57"/>
      <c r="Y21" s="57"/>
      <c r="Z21" s="57"/>
      <c r="AA21" s="57"/>
      <c r="AB21" s="57"/>
      <c r="AC21" s="57"/>
      <c r="AD21" s="121"/>
      <c r="AE21" s="57"/>
      <c r="AF21" s="57"/>
      <c r="AG21" s="57"/>
      <c r="AH21" s="57"/>
      <c r="AI21" s="57"/>
      <c r="AJ21" s="57"/>
      <c r="AK21" s="57"/>
      <c r="AL21" s="57"/>
      <c r="AM21" s="57"/>
      <c r="AN21" s="57"/>
      <c r="AO21" s="57"/>
      <c r="AP21" s="57"/>
      <c r="AQ21" s="57"/>
      <c r="AR21" s="57"/>
      <c r="AS21" s="57"/>
      <c r="AT21" s="57"/>
    </row>
    <row r="22" s="109" customFormat="1" ht="20.1" customHeight="1" spans="1:46">
      <c r="A22" s="58" t="s">
        <v>928</v>
      </c>
      <c r="B22" s="84"/>
      <c r="C22" s="88">
        <f>建筑工程单价分析表!E138+建筑工程单价分析表!E145*2+建筑工程单价分析表!E146*2+建筑工程单价分析表!E147*2+建筑工程单价分析表!E148*2</f>
        <v>27.78</v>
      </c>
      <c r="D22" s="112">
        <f t="shared" si="6"/>
        <v>0</v>
      </c>
      <c r="E22" s="57"/>
      <c r="F22" s="112">
        <f t="shared" si="21"/>
        <v>0</v>
      </c>
      <c r="G22" s="113"/>
      <c r="H22" s="112">
        <f t="shared" si="8"/>
        <v>0</v>
      </c>
      <c r="I22" s="113"/>
      <c r="J22" s="112">
        <f t="shared" si="20"/>
        <v>0</v>
      </c>
      <c r="K22" s="57"/>
      <c r="L22" s="57"/>
      <c r="M22" s="57"/>
      <c r="N22" s="113">
        <f t="shared" si="9"/>
        <v>0</v>
      </c>
      <c r="O22" s="57"/>
      <c r="P22" s="57"/>
      <c r="Q22" s="57"/>
      <c r="R22" s="112">
        <f t="shared" si="22"/>
        <v>0</v>
      </c>
      <c r="S22" s="88">
        <f>建筑工程单价分析表!E145*台时!G14+建筑工程单价分析表!E146*台时!E14+建筑工程单价分析表!E148*10</f>
        <v>29.011</v>
      </c>
      <c r="T22" s="112">
        <f t="shared" si="23"/>
        <v>0</v>
      </c>
      <c r="U22" s="57"/>
      <c r="V22" s="57"/>
      <c r="W22" s="57"/>
      <c r="X22" s="57"/>
      <c r="Y22" s="57"/>
      <c r="Z22" s="57"/>
      <c r="AA22" s="57">
        <f>建筑工程单价分析表!E146</f>
        <v>0.5</v>
      </c>
      <c r="AB22" s="119">
        <f>AA22*B22</f>
        <v>0</v>
      </c>
      <c r="AC22" s="57">
        <f>建筑工程单价分析表!E145</f>
        <v>1.89</v>
      </c>
      <c r="AD22" s="122">
        <f>AC22*B22</f>
        <v>0</v>
      </c>
      <c r="AE22" s="57">
        <f>建筑工程单价分析表!E147</f>
        <v>1</v>
      </c>
      <c r="AF22" s="119">
        <f>AE22*B22</f>
        <v>0</v>
      </c>
      <c r="AG22" s="57"/>
      <c r="AH22" s="57"/>
      <c r="AI22" s="57"/>
      <c r="AJ22" s="57"/>
      <c r="AK22" s="57"/>
      <c r="AL22" s="57"/>
      <c r="AM22" s="57"/>
      <c r="AN22" s="57"/>
      <c r="AO22" s="57"/>
      <c r="AP22" s="57"/>
      <c r="AQ22" s="57"/>
      <c r="AR22" s="57"/>
      <c r="AS22" s="57"/>
      <c r="AT22" s="57"/>
    </row>
    <row r="23" s="109" customFormat="1" ht="20.1" customHeight="1" spans="1:46">
      <c r="A23" s="58" t="s">
        <v>1627</v>
      </c>
      <c r="B23" s="84" t="e">
        <f>工程量汇总表!D26+工程量汇总表!D27</f>
        <v>#REF!</v>
      </c>
      <c r="C23" s="88">
        <f>新定额单价!E49</f>
        <v>1.6</v>
      </c>
      <c r="D23" s="112" t="e">
        <f t="shared" si="6"/>
        <v>#REF!</v>
      </c>
      <c r="E23" s="57"/>
      <c r="F23" s="112" t="e">
        <f t="shared" si="21"/>
        <v>#REF!</v>
      </c>
      <c r="G23" s="113"/>
      <c r="H23" s="112"/>
      <c r="I23" s="113"/>
      <c r="J23" s="112"/>
      <c r="K23" s="57"/>
      <c r="L23" s="57"/>
      <c r="M23" s="57"/>
      <c r="N23" s="113"/>
      <c r="O23" s="57"/>
      <c r="P23" s="57"/>
      <c r="Q23" s="57"/>
      <c r="R23" s="112"/>
      <c r="S23" s="88">
        <f>新定额单价!E60</f>
        <v>12.084</v>
      </c>
      <c r="T23" s="112" t="e">
        <f t="shared" si="23"/>
        <v>#REF!</v>
      </c>
      <c r="U23" s="57"/>
      <c r="V23" s="57"/>
      <c r="W23" s="57"/>
      <c r="X23" s="57"/>
      <c r="Y23" s="57"/>
      <c r="Z23" s="57"/>
      <c r="AA23" s="57"/>
      <c r="AB23" s="119"/>
      <c r="AC23" s="57"/>
      <c r="AD23" s="122"/>
      <c r="AE23" s="57"/>
      <c r="AF23" s="119"/>
      <c r="AG23" s="57"/>
      <c r="AH23" s="57"/>
      <c r="AI23" s="57"/>
      <c r="AJ23" s="57"/>
      <c r="AK23" s="57"/>
      <c r="AL23" s="57"/>
      <c r="AM23" s="57"/>
      <c r="AN23" s="57"/>
      <c r="AO23" s="57"/>
      <c r="AP23" s="57"/>
      <c r="AQ23" s="57"/>
      <c r="AR23" s="57"/>
      <c r="AS23" s="57"/>
      <c r="AT23" s="57"/>
    </row>
    <row r="24" s="109" customFormat="1" ht="20.1" customHeight="1" spans="1:46">
      <c r="A24" s="58" t="s">
        <v>1975</v>
      </c>
      <c r="B24" s="113"/>
      <c r="C24" s="88">
        <f>(新定额单价!E30*0.4+建筑工程单价分析表!E29*0.6)/100</f>
        <v>0.901</v>
      </c>
      <c r="D24" s="112">
        <f t="shared" si="6"/>
        <v>0</v>
      </c>
      <c r="E24" s="57"/>
      <c r="F24" s="112">
        <f t="shared" si="21"/>
        <v>0</v>
      </c>
      <c r="G24" s="113"/>
      <c r="H24" s="112">
        <f t="shared" si="8"/>
        <v>0</v>
      </c>
      <c r="I24" s="57"/>
      <c r="J24" s="112">
        <f t="shared" si="20"/>
        <v>0</v>
      </c>
      <c r="K24" s="57"/>
      <c r="L24" s="57"/>
      <c r="M24" s="57"/>
      <c r="N24" s="113"/>
      <c r="O24" s="57"/>
      <c r="P24" s="57"/>
      <c r="Q24" s="57"/>
      <c r="R24" s="112"/>
      <c r="S24" s="88">
        <f>建筑工程单价分析表!E40*0.6</f>
        <v>9.085728</v>
      </c>
      <c r="T24" s="112">
        <f t="shared" si="23"/>
        <v>0</v>
      </c>
      <c r="U24" s="88">
        <f>建筑工程单价分析表!E33*0.6</f>
        <v>0.63984</v>
      </c>
      <c r="V24" s="119">
        <f>B24*U24</f>
        <v>0</v>
      </c>
      <c r="W24" s="119"/>
      <c r="X24" s="119"/>
      <c r="Y24" s="119"/>
      <c r="Z24" s="119"/>
      <c r="AA24" s="57"/>
      <c r="AB24" s="119"/>
      <c r="AC24" s="57"/>
      <c r="AD24" s="123"/>
      <c r="AE24" s="57"/>
      <c r="AF24" s="119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  <c r="AS24" s="57"/>
      <c r="AT24" s="57"/>
    </row>
    <row r="25" s="109" customFormat="1" ht="20.1" customHeight="1" spans="1:46">
      <c r="A25" s="58" t="s">
        <v>1976</v>
      </c>
      <c r="B25" s="113"/>
      <c r="C25" s="88">
        <f>新定额单价!E205+新定额单价!E210*2+新定额单价!E211*2+新定额单价!E212*2</f>
        <v>21.9128</v>
      </c>
      <c r="D25" s="112">
        <f t="shared" si="6"/>
        <v>0</v>
      </c>
      <c r="E25" s="57"/>
      <c r="F25" s="112">
        <f t="shared" si="21"/>
        <v>0</v>
      </c>
      <c r="G25" s="113"/>
      <c r="H25" s="112"/>
      <c r="I25" s="57"/>
      <c r="J25" s="112"/>
      <c r="K25" s="57"/>
      <c r="L25" s="57"/>
      <c r="M25" s="57"/>
      <c r="N25" s="113"/>
      <c r="O25" s="57"/>
      <c r="P25" s="57"/>
      <c r="Q25" s="57"/>
      <c r="R25" s="112"/>
      <c r="S25" s="88">
        <f>新定额单价!E218</f>
        <v>90.55592</v>
      </c>
      <c r="T25" s="112">
        <f t="shared" si="23"/>
        <v>0</v>
      </c>
      <c r="U25" s="88">
        <f>新定额单价!E210</f>
        <v>0.9464</v>
      </c>
      <c r="V25" s="119">
        <f t="shared" ref="V25:V35" si="24">B25*U25</f>
        <v>0</v>
      </c>
      <c r="W25" s="119"/>
      <c r="X25" s="119"/>
      <c r="Y25" s="119"/>
      <c r="Z25" s="119"/>
      <c r="AA25" s="57"/>
      <c r="AB25" s="119"/>
      <c r="AC25" s="57"/>
      <c r="AD25" s="123"/>
      <c r="AE25" s="57"/>
      <c r="AF25" s="119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</row>
    <row r="26" s="109" customFormat="1" ht="20.1" customHeight="1" spans="1:46">
      <c r="A26" s="58" t="s">
        <v>1977</v>
      </c>
      <c r="B26" s="113"/>
      <c r="C26" s="88">
        <f>新定额单价!E466</f>
        <v>17.4</v>
      </c>
      <c r="D26" s="112">
        <f t="shared" si="6"/>
        <v>0</v>
      </c>
      <c r="E26" s="57"/>
      <c r="F26" s="112">
        <f t="shared" si="21"/>
        <v>0</v>
      </c>
      <c r="G26" s="113"/>
      <c r="H26" s="112"/>
      <c r="I26" s="57"/>
      <c r="J26" s="112"/>
      <c r="K26" s="57"/>
      <c r="L26" s="57"/>
      <c r="M26" s="57"/>
      <c r="N26" s="113"/>
      <c r="O26" s="57"/>
      <c r="P26" s="57"/>
      <c r="Q26" s="57"/>
      <c r="R26" s="112"/>
      <c r="S26" s="88"/>
      <c r="T26" s="112">
        <f t="shared" si="23"/>
        <v>0</v>
      </c>
      <c r="U26" s="57"/>
      <c r="V26" s="119">
        <f t="shared" si="24"/>
        <v>0</v>
      </c>
      <c r="W26" s="119"/>
      <c r="X26" s="119"/>
      <c r="Y26" s="119"/>
      <c r="Z26" s="119"/>
      <c r="AA26" s="57"/>
      <c r="AB26" s="119"/>
      <c r="AC26" s="57"/>
      <c r="AD26" s="123"/>
      <c r="AE26" s="57"/>
      <c r="AF26" s="119"/>
      <c r="AG26" s="57"/>
      <c r="AH26" s="57"/>
      <c r="AI26" s="57"/>
      <c r="AJ26" s="57"/>
      <c r="AK26" s="57"/>
      <c r="AL26" s="57"/>
      <c r="AM26" s="57"/>
      <c r="AN26" s="57"/>
      <c r="AO26" s="57"/>
      <c r="AP26" s="57"/>
      <c r="AQ26" s="57"/>
      <c r="AR26" s="57"/>
      <c r="AS26" s="57"/>
      <c r="AT26" s="57"/>
    </row>
    <row r="27" s="109" customFormat="1" ht="20.1" customHeight="1" spans="1:46">
      <c r="A27" s="58" t="s">
        <v>1978</v>
      </c>
      <c r="B27" s="113" t="e">
        <f>工程量汇总表!D27</f>
        <v>#REF!</v>
      </c>
      <c r="C27" s="88">
        <f>新定额单价!E441</f>
        <v>0.7</v>
      </c>
      <c r="D27" s="112" t="e">
        <f t="shared" si="6"/>
        <v>#REF!</v>
      </c>
      <c r="E27" s="57"/>
      <c r="F27" s="112" t="e">
        <f t="shared" si="21"/>
        <v>#REF!</v>
      </c>
      <c r="G27" s="113"/>
      <c r="H27" s="112"/>
      <c r="I27" s="57"/>
      <c r="J27" s="112"/>
      <c r="K27" s="57"/>
      <c r="L27" s="57"/>
      <c r="M27" s="57"/>
      <c r="N27" s="113"/>
      <c r="O27" s="57"/>
      <c r="P27" s="57"/>
      <c r="Q27" s="57"/>
      <c r="R27" s="112"/>
      <c r="S27" s="88">
        <f>新定额单价!E455</f>
        <v>1.485</v>
      </c>
      <c r="T27" s="112" t="e">
        <f t="shared" si="23"/>
        <v>#REF!</v>
      </c>
      <c r="U27" s="57"/>
      <c r="V27" s="119"/>
      <c r="W27" s="119"/>
      <c r="X27" s="119"/>
      <c r="Y27" s="119"/>
      <c r="Z27" s="119"/>
      <c r="AA27" s="57"/>
      <c r="AB27" s="119"/>
      <c r="AC27" s="57"/>
      <c r="AD27" s="123"/>
      <c r="AE27" s="57"/>
      <c r="AF27" s="119"/>
      <c r="AG27" s="57"/>
      <c r="AH27" s="57"/>
      <c r="AI27" s="57"/>
      <c r="AJ27" s="57"/>
      <c r="AK27" s="57"/>
      <c r="AL27" s="57"/>
      <c r="AM27" s="57"/>
      <c r="AN27" s="57"/>
      <c r="AO27" s="57"/>
      <c r="AP27" s="57"/>
      <c r="AQ27" s="57"/>
      <c r="AR27" s="57"/>
      <c r="AS27" s="57"/>
      <c r="AT27" s="57"/>
    </row>
    <row r="28" s="109" customFormat="1" ht="20.1" customHeight="1" spans="1:46">
      <c r="A28" s="58" t="s">
        <v>1979</v>
      </c>
      <c r="B28" s="113"/>
      <c r="C28" s="88">
        <f>新定额单价!E3978</f>
        <v>685.2</v>
      </c>
      <c r="D28" s="112">
        <f t="shared" si="6"/>
        <v>0</v>
      </c>
      <c r="E28" s="57">
        <f>新定额单价!E3992</f>
        <v>33.3</v>
      </c>
      <c r="F28" s="112">
        <f t="shared" si="21"/>
        <v>0</v>
      </c>
      <c r="G28" s="113"/>
      <c r="H28" s="112"/>
      <c r="I28" s="57"/>
      <c r="J28" s="112"/>
      <c r="K28" s="57"/>
      <c r="L28" s="57"/>
      <c r="M28" s="57"/>
      <c r="N28" s="113"/>
      <c r="O28" s="57"/>
      <c r="P28" s="57"/>
      <c r="Q28" s="57"/>
      <c r="R28" s="112"/>
      <c r="S28" s="88"/>
      <c r="T28" s="112"/>
      <c r="U28" s="57"/>
      <c r="V28" s="119"/>
      <c r="W28" s="119"/>
      <c r="X28" s="119"/>
      <c r="Y28" s="119"/>
      <c r="Z28" s="119"/>
      <c r="AA28" s="57"/>
      <c r="AB28" s="119"/>
      <c r="AC28" s="57"/>
      <c r="AD28" s="123"/>
      <c r="AE28" s="57"/>
      <c r="AF28" s="119"/>
      <c r="AG28" s="57"/>
      <c r="AH28" s="57"/>
      <c r="AI28" s="57"/>
      <c r="AJ28" s="57"/>
      <c r="AK28" s="57"/>
      <c r="AL28" s="57"/>
      <c r="AM28" s="57"/>
      <c r="AN28" s="57"/>
      <c r="AO28" s="57"/>
      <c r="AP28" s="57"/>
      <c r="AQ28" s="57"/>
      <c r="AR28" s="57"/>
      <c r="AS28" s="57"/>
      <c r="AT28" s="57"/>
    </row>
    <row r="29" s="109" customFormat="1" ht="20.1" customHeight="1" spans="1:46">
      <c r="A29" s="61" t="s">
        <v>1980</v>
      </c>
      <c r="B29" s="113"/>
      <c r="C29" s="88">
        <f>新定额单价!E205</f>
        <v>4.732</v>
      </c>
      <c r="D29" s="112">
        <f t="shared" si="6"/>
        <v>0</v>
      </c>
      <c r="E29" s="57"/>
      <c r="F29" s="112">
        <f t="shared" si="21"/>
        <v>0</v>
      </c>
      <c r="G29" s="113"/>
      <c r="H29" s="112">
        <f t="shared" si="8"/>
        <v>0</v>
      </c>
      <c r="I29" s="57"/>
      <c r="J29" s="112">
        <f t="shared" si="20"/>
        <v>0</v>
      </c>
      <c r="K29" s="57"/>
      <c r="L29" s="57"/>
      <c r="M29" s="57"/>
      <c r="N29" s="113"/>
      <c r="O29" s="57"/>
      <c r="P29" s="57"/>
      <c r="Q29" s="57"/>
      <c r="R29" s="112"/>
      <c r="S29" s="88">
        <f>新定额单价!E218</f>
        <v>90.55592</v>
      </c>
      <c r="T29" s="112">
        <f t="shared" si="23"/>
        <v>0</v>
      </c>
      <c r="U29" s="57">
        <f>新定额单价!E210</f>
        <v>0.9464</v>
      </c>
      <c r="V29" s="119">
        <f t="shared" si="24"/>
        <v>0</v>
      </c>
      <c r="W29" s="88">
        <f>新定额单价!E211</f>
        <v>0.4732</v>
      </c>
      <c r="X29" s="119">
        <f>B29*W29</f>
        <v>0</v>
      </c>
      <c r="Y29" s="88">
        <f>新定额单价!E212</f>
        <v>7.1708</v>
      </c>
      <c r="Z29" s="119">
        <f t="shared" ref="Z29:Z35" si="25">Y29*B29</f>
        <v>0</v>
      </c>
      <c r="AA29" s="57"/>
      <c r="AB29" s="119"/>
      <c r="AC29" s="57"/>
      <c r="AD29" s="123"/>
      <c r="AE29" s="57"/>
      <c r="AF29" s="119"/>
      <c r="AG29" s="57"/>
      <c r="AH29" s="57"/>
      <c r="AI29" s="57"/>
      <c r="AJ29" s="57"/>
      <c r="AK29" s="57"/>
      <c r="AL29" s="57"/>
      <c r="AM29" s="57"/>
      <c r="AN29" s="57"/>
      <c r="AO29" s="57"/>
      <c r="AP29" s="57"/>
      <c r="AQ29" s="57"/>
      <c r="AR29" s="57"/>
      <c r="AS29" s="57"/>
      <c r="AT29" s="57"/>
    </row>
    <row r="30" s="109" customFormat="1" ht="20.1" customHeight="1" spans="1:46">
      <c r="A30" s="114"/>
      <c r="B30" s="113"/>
      <c r="C30" s="88"/>
      <c r="D30" s="112"/>
      <c r="E30" s="57"/>
      <c r="F30" s="112"/>
      <c r="G30" s="113"/>
      <c r="H30" s="112"/>
      <c r="I30" s="57"/>
      <c r="J30" s="112"/>
      <c r="K30" s="57"/>
      <c r="L30" s="57"/>
      <c r="M30" s="57"/>
      <c r="N30" s="113"/>
      <c r="O30" s="57"/>
      <c r="P30" s="57"/>
      <c r="Q30" s="57"/>
      <c r="R30" s="112"/>
      <c r="S30" s="88"/>
      <c r="T30" s="112"/>
      <c r="U30" s="57"/>
      <c r="V30" s="119"/>
      <c r="W30" s="88"/>
      <c r="X30" s="119"/>
      <c r="Y30" s="88"/>
      <c r="Z30" s="119"/>
      <c r="AA30" s="57"/>
      <c r="AB30" s="119"/>
      <c r="AC30" s="57"/>
      <c r="AD30" s="123"/>
      <c r="AE30" s="57"/>
      <c r="AF30" s="119"/>
      <c r="AG30" s="57"/>
      <c r="AH30" s="57"/>
      <c r="AI30" s="57"/>
      <c r="AJ30" s="57"/>
      <c r="AK30" s="57"/>
      <c r="AL30" s="57"/>
      <c r="AM30" s="57"/>
      <c r="AN30" s="57"/>
      <c r="AO30" s="57"/>
      <c r="AP30" s="57"/>
      <c r="AQ30" s="57"/>
      <c r="AR30" s="57"/>
      <c r="AS30" s="57"/>
      <c r="AT30" s="57"/>
    </row>
    <row r="31" s="109" customFormat="1" ht="20.1" customHeight="1" spans="1:46">
      <c r="A31" s="114"/>
      <c r="B31" s="113"/>
      <c r="C31" s="88"/>
      <c r="D31" s="112"/>
      <c r="E31" s="57"/>
      <c r="F31" s="112"/>
      <c r="G31" s="113"/>
      <c r="H31" s="112"/>
      <c r="I31" s="57"/>
      <c r="J31" s="112"/>
      <c r="K31" s="57"/>
      <c r="L31" s="57"/>
      <c r="M31" s="57"/>
      <c r="N31" s="113"/>
      <c r="O31" s="57"/>
      <c r="P31" s="57"/>
      <c r="Q31" s="57"/>
      <c r="R31" s="112"/>
      <c r="S31" s="88"/>
      <c r="T31" s="112"/>
      <c r="U31" s="57"/>
      <c r="V31" s="119"/>
      <c r="W31" s="88"/>
      <c r="X31" s="119"/>
      <c r="Y31" s="88"/>
      <c r="Z31" s="119"/>
      <c r="AA31" s="57"/>
      <c r="AB31" s="119"/>
      <c r="AC31" s="57"/>
      <c r="AD31" s="123"/>
      <c r="AE31" s="57"/>
      <c r="AF31" s="119"/>
      <c r="AG31" s="57"/>
      <c r="AH31" s="57"/>
      <c r="AI31" s="57"/>
      <c r="AJ31" s="57"/>
      <c r="AK31" s="57"/>
      <c r="AL31" s="57"/>
      <c r="AM31" s="57"/>
      <c r="AN31" s="57"/>
      <c r="AO31" s="57"/>
      <c r="AP31" s="57"/>
      <c r="AQ31" s="57"/>
      <c r="AR31" s="57"/>
      <c r="AS31" s="57"/>
      <c r="AT31" s="57"/>
    </row>
    <row r="32" s="109" customFormat="1" ht="20.1" customHeight="1" spans="1:46">
      <c r="A32" s="114" t="s">
        <v>1981</v>
      </c>
      <c r="B32" s="113"/>
      <c r="C32" s="88">
        <f>建筑工程单价分析表!E91</f>
        <v>5.2</v>
      </c>
      <c r="D32" s="112">
        <f t="shared" si="6"/>
        <v>0</v>
      </c>
      <c r="E32" s="57"/>
      <c r="F32" s="112">
        <f t="shared" si="21"/>
        <v>0</v>
      </c>
      <c r="G32" s="113"/>
      <c r="H32" s="112">
        <f t="shared" si="8"/>
        <v>0</v>
      </c>
      <c r="I32" s="57"/>
      <c r="J32" s="112">
        <f t="shared" si="20"/>
        <v>0</v>
      </c>
      <c r="K32" s="57"/>
      <c r="L32" s="57"/>
      <c r="M32" s="57"/>
      <c r="N32" s="113"/>
      <c r="O32" s="57"/>
      <c r="P32" s="57"/>
      <c r="Q32" s="57"/>
      <c r="R32" s="112"/>
      <c r="S32" s="88">
        <f>建筑工程单价分析表!E103</f>
        <v>76.97</v>
      </c>
      <c r="T32" s="112">
        <f t="shared" si="23"/>
        <v>0</v>
      </c>
      <c r="U32" s="57">
        <f>建筑工程单价分析表!E96</f>
        <v>1.04</v>
      </c>
      <c r="V32" s="119">
        <f t="shared" si="24"/>
        <v>0</v>
      </c>
      <c r="W32" s="88">
        <f>建筑工程单价分析表!E97</f>
        <v>0.52</v>
      </c>
      <c r="X32" s="119">
        <f t="shared" ref="X32:X38" si="26">B32*W32</f>
        <v>0</v>
      </c>
      <c r="Y32" s="88">
        <f>建筑工程单价分析表!E98</f>
        <v>5.67</v>
      </c>
      <c r="Z32" s="119">
        <f t="shared" si="25"/>
        <v>0</v>
      </c>
      <c r="AA32" s="57"/>
      <c r="AB32" s="119"/>
      <c r="AC32" s="57"/>
      <c r="AD32" s="123"/>
      <c r="AE32" s="57"/>
      <c r="AF32" s="119"/>
      <c r="AG32" s="57"/>
      <c r="AH32" s="57"/>
      <c r="AI32" s="57"/>
      <c r="AJ32" s="57"/>
      <c r="AK32" s="57"/>
      <c r="AL32" s="57"/>
      <c r="AM32" s="57"/>
      <c r="AN32" s="57"/>
      <c r="AO32" s="57"/>
      <c r="AP32" s="57"/>
      <c r="AQ32" s="57"/>
      <c r="AR32" s="57"/>
      <c r="AS32" s="57"/>
      <c r="AT32" s="57"/>
    </row>
    <row r="33" s="109" customFormat="1" ht="20.1" customHeight="1" spans="1:46">
      <c r="A33" s="61" t="s">
        <v>1982</v>
      </c>
      <c r="B33" s="113"/>
      <c r="C33" s="88">
        <f>(建筑工程单价分析表!E29+新定额单价!E93*0.5)</f>
        <v>5.9</v>
      </c>
      <c r="D33" s="112">
        <f t="shared" si="6"/>
        <v>0</v>
      </c>
      <c r="E33" s="57"/>
      <c r="F33" s="112">
        <f t="shared" si="21"/>
        <v>0</v>
      </c>
      <c r="G33" s="57"/>
      <c r="H33" s="112">
        <f t="shared" si="8"/>
        <v>0</v>
      </c>
      <c r="I33" s="57"/>
      <c r="J33" s="112">
        <f t="shared" si="20"/>
        <v>0</v>
      </c>
      <c r="K33" s="57"/>
      <c r="L33" s="57"/>
      <c r="M33" s="57"/>
      <c r="N33" s="113"/>
      <c r="O33" s="57"/>
      <c r="P33" s="57"/>
      <c r="Q33" s="57"/>
      <c r="R33" s="112"/>
      <c r="S33" s="88">
        <f>建筑工程单价分析表!E40+新定额单价!E104*0.5</f>
        <v>29.13488</v>
      </c>
      <c r="T33" s="112">
        <f t="shared" si="23"/>
        <v>0</v>
      </c>
      <c r="U33" s="57">
        <f>建筑工程单价分析表!E33</f>
        <v>1.0664</v>
      </c>
      <c r="V33" s="119">
        <f t="shared" si="24"/>
        <v>0</v>
      </c>
      <c r="W33" s="88"/>
      <c r="X33" s="119">
        <f t="shared" si="26"/>
        <v>0</v>
      </c>
      <c r="Y33" s="88"/>
      <c r="Z33" s="119">
        <f t="shared" si="25"/>
        <v>0</v>
      </c>
      <c r="AA33" s="57">
        <f>新定额单价!E97*0.5</f>
        <v>1.32</v>
      </c>
      <c r="AB33" s="119">
        <f t="shared" ref="AB33:AB35" si="27">AA33*B33</f>
        <v>0</v>
      </c>
      <c r="AC33" s="57"/>
      <c r="AD33" s="123"/>
      <c r="AE33" s="57"/>
      <c r="AF33" s="57"/>
      <c r="AG33" s="57"/>
      <c r="AH33" s="57"/>
      <c r="AI33" s="57"/>
      <c r="AJ33" s="57"/>
      <c r="AK33" s="57"/>
      <c r="AL33" s="57"/>
      <c r="AM33" s="57"/>
      <c r="AN33" s="57"/>
      <c r="AO33" s="57"/>
      <c r="AP33" s="57"/>
      <c r="AQ33" s="57"/>
      <c r="AR33" s="57"/>
      <c r="AS33" s="57"/>
      <c r="AT33" s="57"/>
    </row>
    <row r="34" s="109" customFormat="1" ht="20.1" customHeight="1" spans="1:46">
      <c r="A34" s="61" t="s">
        <v>1983</v>
      </c>
      <c r="B34" s="113" t="e">
        <f>工程量汇总表!D25</f>
        <v>#REF!</v>
      </c>
      <c r="C34" s="113">
        <f>建筑工程单价分析表!E29</f>
        <v>4.1</v>
      </c>
      <c r="D34" s="112" t="e">
        <f t="shared" si="6"/>
        <v>#REF!</v>
      </c>
      <c r="E34" s="57"/>
      <c r="F34" s="112" t="e">
        <f t="shared" si="21"/>
        <v>#REF!</v>
      </c>
      <c r="G34" s="57"/>
      <c r="H34" s="112" t="e">
        <f t="shared" si="8"/>
        <v>#REF!</v>
      </c>
      <c r="I34" s="57"/>
      <c r="J34" s="112" t="e">
        <f t="shared" si="20"/>
        <v>#REF!</v>
      </c>
      <c r="K34" s="57"/>
      <c r="L34" s="57"/>
      <c r="M34" s="57"/>
      <c r="N34" s="113"/>
      <c r="O34" s="57"/>
      <c r="P34" s="57"/>
      <c r="Q34" s="57"/>
      <c r="R34" s="112"/>
      <c r="S34" s="88">
        <f>建筑工程单价分析表!E40</f>
        <v>15.14288</v>
      </c>
      <c r="T34" s="112" t="e">
        <f t="shared" si="23"/>
        <v>#REF!</v>
      </c>
      <c r="U34" s="57">
        <f>建筑工程单价分析表!E33</f>
        <v>1.0664</v>
      </c>
      <c r="V34" s="119" t="e">
        <f t="shared" si="24"/>
        <v>#REF!</v>
      </c>
      <c r="W34" s="88"/>
      <c r="X34" s="119" t="e">
        <f t="shared" si="26"/>
        <v>#REF!</v>
      </c>
      <c r="Y34" s="88"/>
      <c r="Z34" s="119" t="e">
        <f t="shared" si="25"/>
        <v>#REF!</v>
      </c>
      <c r="AA34" s="57"/>
      <c r="AB34" s="119" t="e">
        <f t="shared" si="27"/>
        <v>#REF!</v>
      </c>
      <c r="AC34" s="57"/>
      <c r="AD34" s="123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57"/>
      <c r="AQ34" s="57"/>
      <c r="AR34" s="57"/>
      <c r="AS34" s="57"/>
      <c r="AT34" s="57"/>
    </row>
    <row r="35" s="109" customFormat="1" ht="20.1" customHeight="1" spans="1:46">
      <c r="A35" s="61" t="s">
        <v>1984</v>
      </c>
      <c r="B35" s="113"/>
      <c r="C35" s="113">
        <f>新定额单价!E93*0.3+建筑工程单价分析表!E29*0.2+建筑工程单价分析表!E91*0.5</f>
        <v>4.5</v>
      </c>
      <c r="D35" s="112">
        <f t="shared" si="6"/>
        <v>0</v>
      </c>
      <c r="E35" s="57"/>
      <c r="F35" s="112">
        <f t="shared" si="21"/>
        <v>0</v>
      </c>
      <c r="G35" s="57"/>
      <c r="H35" s="112">
        <f t="shared" si="8"/>
        <v>0</v>
      </c>
      <c r="I35" s="57"/>
      <c r="J35" s="112">
        <f t="shared" si="20"/>
        <v>0</v>
      </c>
      <c r="K35" s="57"/>
      <c r="L35" s="57"/>
      <c r="M35" s="57"/>
      <c r="N35" s="113"/>
      <c r="O35" s="57"/>
      <c r="P35" s="57"/>
      <c r="Q35" s="57"/>
      <c r="R35" s="112"/>
      <c r="S35" s="88">
        <f>建筑工程单价分析表!E103*0.5+建筑工程单价分析表!E40*0.2+新定额单价!E104*0.3</f>
        <v>49.908776</v>
      </c>
      <c r="T35" s="112">
        <f t="shared" si="23"/>
        <v>0</v>
      </c>
      <c r="U35" s="57">
        <f>建筑工程单价分析表!E33*0.2+建筑工程单价分析表!E96*0.5</f>
        <v>0.73328</v>
      </c>
      <c r="V35" s="119">
        <f t="shared" si="24"/>
        <v>0</v>
      </c>
      <c r="W35" s="88">
        <f>建筑工程单价分析表!E97*0.5</f>
        <v>0.26</v>
      </c>
      <c r="X35" s="119">
        <f t="shared" si="26"/>
        <v>0</v>
      </c>
      <c r="Y35" s="124">
        <f>建筑工程单价分析表!E98*0.5</f>
        <v>2.835</v>
      </c>
      <c r="Z35" s="119">
        <f t="shared" si="25"/>
        <v>0</v>
      </c>
      <c r="AA35" s="57">
        <f>新定额单价!E97*0.3</f>
        <v>0.792</v>
      </c>
      <c r="AB35" s="119">
        <f t="shared" si="27"/>
        <v>0</v>
      </c>
      <c r="AC35" s="57"/>
      <c r="AD35" s="121"/>
      <c r="AE35" s="57"/>
      <c r="AF35" s="57"/>
      <c r="AG35" s="57"/>
      <c r="AH35" s="57"/>
      <c r="AI35" s="57"/>
      <c r="AJ35" s="57"/>
      <c r="AK35" s="57"/>
      <c r="AL35" s="57"/>
      <c r="AM35" s="57"/>
      <c r="AN35" s="57"/>
      <c r="AO35" s="57"/>
      <c r="AP35" s="57"/>
      <c r="AQ35" s="57"/>
      <c r="AR35" s="57"/>
      <c r="AS35" s="57"/>
      <c r="AT35" s="57"/>
    </row>
    <row r="36" s="109" customFormat="1" ht="20.1" customHeight="1" spans="1:46">
      <c r="A36" s="61"/>
      <c r="B36" s="113"/>
      <c r="C36" s="113"/>
      <c r="D36" s="112"/>
      <c r="E36" s="57"/>
      <c r="F36" s="112"/>
      <c r="G36" s="57"/>
      <c r="H36" s="112"/>
      <c r="I36" s="57"/>
      <c r="J36" s="112"/>
      <c r="K36" s="57"/>
      <c r="L36" s="57"/>
      <c r="M36" s="57"/>
      <c r="N36" s="113"/>
      <c r="O36" s="57"/>
      <c r="P36" s="57"/>
      <c r="Q36" s="57"/>
      <c r="R36" s="112"/>
      <c r="S36" s="88"/>
      <c r="T36" s="112"/>
      <c r="U36" s="57"/>
      <c r="V36" s="119"/>
      <c r="W36" s="88"/>
      <c r="X36" s="119"/>
      <c r="Y36" s="57"/>
      <c r="Z36" s="119"/>
      <c r="AA36" s="57"/>
      <c r="AB36" s="119"/>
      <c r="AC36" s="57"/>
      <c r="AD36" s="121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57"/>
      <c r="AQ36" s="57"/>
      <c r="AR36" s="57"/>
      <c r="AS36" s="57"/>
      <c r="AT36" s="57"/>
    </row>
    <row r="37" s="109" customFormat="1" ht="20.1" customHeight="1" spans="1:46">
      <c r="A37" s="61"/>
      <c r="B37" s="113"/>
      <c r="C37" s="113"/>
      <c r="D37" s="112"/>
      <c r="E37" s="57"/>
      <c r="F37" s="112"/>
      <c r="G37" s="57"/>
      <c r="H37" s="112"/>
      <c r="I37" s="57"/>
      <c r="J37" s="112"/>
      <c r="K37" s="57"/>
      <c r="L37" s="57"/>
      <c r="M37" s="57"/>
      <c r="N37" s="113"/>
      <c r="O37" s="57"/>
      <c r="P37" s="57"/>
      <c r="Q37" s="57"/>
      <c r="R37" s="112"/>
      <c r="S37" s="88"/>
      <c r="T37" s="112"/>
      <c r="U37" s="57"/>
      <c r="V37" s="119"/>
      <c r="W37" s="88"/>
      <c r="X37" s="119"/>
      <c r="Y37" s="57"/>
      <c r="Z37" s="119"/>
      <c r="AA37" s="57"/>
      <c r="AB37" s="119"/>
      <c r="AC37" s="57"/>
      <c r="AD37" s="121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57"/>
      <c r="AQ37" s="57"/>
      <c r="AR37" s="57"/>
      <c r="AS37" s="57"/>
      <c r="AT37" s="57"/>
    </row>
    <row r="38" s="109" customFormat="1" ht="20.1" customHeight="1" spans="1:46">
      <c r="A38" s="61" t="s">
        <v>1985</v>
      </c>
      <c r="B38" s="113"/>
      <c r="C38" s="113">
        <f>建筑工程单价分析表!E961</f>
        <v>145.5</v>
      </c>
      <c r="D38" s="112">
        <f t="shared" si="6"/>
        <v>0</v>
      </c>
      <c r="E38" s="57"/>
      <c r="F38" s="112">
        <f t="shared" si="21"/>
        <v>0</v>
      </c>
      <c r="G38" s="57"/>
      <c r="H38" s="112">
        <f t="shared" si="8"/>
        <v>0</v>
      </c>
      <c r="I38" s="57"/>
      <c r="J38" s="112">
        <f t="shared" si="20"/>
        <v>0</v>
      </c>
      <c r="K38" s="57"/>
      <c r="L38" s="57"/>
      <c r="M38" s="57"/>
      <c r="N38" s="113"/>
      <c r="O38" s="57"/>
      <c r="P38" s="57"/>
      <c r="Q38" s="57">
        <f>建筑工程单价分析表!D979</f>
        <v>6.225</v>
      </c>
      <c r="R38" s="112">
        <f>Q38*B38</f>
        <v>0</v>
      </c>
      <c r="S38" s="88">
        <f>建筑工程单价分析表!D980</f>
        <v>4.86</v>
      </c>
      <c r="T38" s="112">
        <f t="shared" si="23"/>
        <v>0</v>
      </c>
      <c r="U38" s="57"/>
      <c r="V38" s="57"/>
      <c r="W38" s="57"/>
      <c r="X38" s="119">
        <f t="shared" si="26"/>
        <v>0</v>
      </c>
      <c r="Y38" s="57"/>
      <c r="Z38" s="57"/>
      <c r="AA38" s="57"/>
      <c r="AB38" s="57"/>
      <c r="AC38" s="57"/>
      <c r="AD38" s="121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57"/>
      <c r="AQ38" s="57"/>
      <c r="AR38" s="57"/>
      <c r="AS38" s="57"/>
      <c r="AT38" s="57"/>
    </row>
    <row r="39" s="109" customFormat="1" ht="20.1" customHeight="1" spans="1:46">
      <c r="A39" s="61"/>
      <c r="B39" s="113"/>
      <c r="C39" s="113"/>
      <c r="D39" s="112"/>
      <c r="E39" s="57"/>
      <c r="F39" s="112"/>
      <c r="G39" s="57"/>
      <c r="H39" s="112"/>
      <c r="I39" s="57"/>
      <c r="J39" s="112"/>
      <c r="K39" s="57"/>
      <c r="L39" s="57"/>
      <c r="M39" s="57"/>
      <c r="N39" s="113"/>
      <c r="O39" s="57"/>
      <c r="P39" s="57"/>
      <c r="Q39" s="57"/>
      <c r="R39" s="112"/>
      <c r="S39" s="88"/>
      <c r="T39" s="112"/>
      <c r="U39" s="57"/>
      <c r="V39" s="57"/>
      <c r="W39" s="57"/>
      <c r="X39" s="57"/>
      <c r="Y39" s="57"/>
      <c r="Z39" s="57"/>
      <c r="AA39" s="57"/>
      <c r="AB39" s="57"/>
      <c r="AC39" s="57"/>
      <c r="AD39" s="121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</row>
    <row r="40" s="109" customFormat="1" ht="20.1" customHeight="1" spans="1:46">
      <c r="A40" s="115"/>
      <c r="B40" s="113"/>
      <c r="C40" s="113">
        <f>新定额单价!E2657</f>
        <v>34</v>
      </c>
      <c r="D40" s="112">
        <f t="shared" si="6"/>
        <v>0</v>
      </c>
      <c r="E40" s="57"/>
      <c r="F40" s="112"/>
      <c r="G40" s="57"/>
      <c r="H40" s="112">
        <f t="shared" si="8"/>
        <v>0</v>
      </c>
      <c r="I40" s="57"/>
      <c r="J40" s="57"/>
      <c r="K40" s="57"/>
      <c r="L40" s="57"/>
      <c r="M40" s="57"/>
      <c r="N40" s="113"/>
      <c r="O40" s="57"/>
      <c r="P40" s="57"/>
      <c r="Q40" s="57"/>
      <c r="R40" s="112"/>
      <c r="S40" s="57"/>
      <c r="T40" s="112">
        <f t="shared" si="23"/>
        <v>0</v>
      </c>
      <c r="U40" s="57"/>
      <c r="V40" s="57"/>
      <c r="W40" s="57"/>
      <c r="X40" s="57"/>
      <c r="Y40" s="57"/>
      <c r="Z40" s="57"/>
      <c r="AA40" s="57"/>
      <c r="AB40" s="57"/>
      <c r="AC40" s="57"/>
      <c r="AD40" s="121"/>
      <c r="AE40" s="57"/>
      <c r="AF40" s="57"/>
      <c r="AG40" s="57"/>
      <c r="AH40" s="57"/>
      <c r="AI40" s="57"/>
      <c r="AJ40" s="57"/>
      <c r="AK40" s="57"/>
      <c r="AL40" s="57"/>
      <c r="AM40" s="57"/>
      <c r="AN40" s="57"/>
      <c r="AO40" s="57"/>
      <c r="AP40" s="57"/>
      <c r="AQ40" s="57"/>
      <c r="AR40" s="57"/>
      <c r="AS40" s="57"/>
      <c r="AT40" s="57"/>
    </row>
    <row r="41" s="1" customFormat="1" ht="20.1" customHeight="1" spans="1:46">
      <c r="A41" s="57"/>
      <c r="B41" s="57"/>
      <c r="C41" s="57"/>
      <c r="D41" s="112">
        <f t="shared" si="6"/>
        <v>0</v>
      </c>
      <c r="E41" s="57"/>
      <c r="F41" s="57"/>
      <c r="G41" s="57"/>
      <c r="H41" s="112">
        <f t="shared" si="8"/>
        <v>0</v>
      </c>
      <c r="I41" s="57"/>
      <c r="J41" s="57"/>
      <c r="K41" s="57"/>
      <c r="L41" s="57"/>
      <c r="M41" s="57"/>
      <c r="N41" s="113">
        <f>M41*B41</f>
        <v>0</v>
      </c>
      <c r="O41" s="57"/>
      <c r="P41" s="57"/>
      <c r="Q41" s="57"/>
      <c r="R41" s="57"/>
      <c r="S41" s="57"/>
      <c r="T41" s="57"/>
      <c r="U41" s="59"/>
      <c r="V41" s="59"/>
      <c r="W41" s="59"/>
      <c r="X41" s="59"/>
      <c r="Y41" s="59"/>
      <c r="Z41" s="59"/>
      <c r="AA41" s="59"/>
      <c r="AB41" s="59"/>
      <c r="AC41" s="59"/>
      <c r="AD41" s="81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59"/>
    </row>
    <row r="42" s="1" customFormat="1" ht="20.1" customHeight="1" spans="21:46">
      <c r="U42" s="120"/>
      <c r="V42" s="120"/>
      <c r="W42" s="120"/>
      <c r="X42" s="120"/>
      <c r="Y42" s="120"/>
      <c r="Z42" s="120"/>
      <c r="AA42" s="120"/>
      <c r="AB42" s="120"/>
      <c r="AC42" s="120"/>
      <c r="AE42" s="120"/>
      <c r="AF42" s="120"/>
      <c r="AG42" s="120"/>
      <c r="AH42" s="120"/>
      <c r="AI42" s="120"/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120"/>
    </row>
    <row r="43" s="1" customFormat="1" ht="20.1" customHeight="1" spans="21:38">
      <c r="U43" s="120"/>
      <c r="V43" s="120"/>
      <c r="W43" s="120"/>
      <c r="X43" s="120"/>
      <c r="Y43" s="120"/>
      <c r="Z43" s="120"/>
      <c r="AA43" s="120"/>
      <c r="AB43" s="120"/>
      <c r="AC43" s="120"/>
      <c r="AE43" s="120"/>
      <c r="AF43" s="120"/>
      <c r="AG43" s="120"/>
      <c r="AH43" s="120"/>
      <c r="AI43" s="120"/>
      <c r="AJ43" s="120"/>
      <c r="AK43" s="120"/>
      <c r="AL43" s="120"/>
    </row>
    <row r="44" ht="20.1" customHeight="1"/>
    <row r="45" ht="20.1" customHeight="1" spans="2:2">
      <c r="B45" s="116" t="e">
        <f>B20+B32+B34</f>
        <v>#REF!</v>
      </c>
    </row>
    <row r="46" ht="20.1" customHeight="1"/>
    <row r="47" ht="20.1" customHeight="1"/>
    <row r="48" ht="20.1" customHeight="1"/>
    <row r="49" ht="20.1" customHeight="1"/>
    <row r="50" ht="20.1" customHeight="1"/>
    <row r="51" ht="20.1" customHeight="1"/>
  </sheetData>
  <mergeCells count="22">
    <mergeCell ref="C2:D2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2:X2"/>
    <mergeCell ref="Y2:Z2"/>
    <mergeCell ref="AA2:AB2"/>
    <mergeCell ref="AC2:AD2"/>
    <mergeCell ref="AE2:AF2"/>
    <mergeCell ref="AG2:AH2"/>
    <mergeCell ref="AI2:AJ2"/>
    <mergeCell ref="AK2:AL2"/>
    <mergeCell ref="AM2:AN2"/>
    <mergeCell ref="AO2:AP2"/>
    <mergeCell ref="AQ2:AR2"/>
    <mergeCell ref="AS2:AT2"/>
  </mergeCells>
  <pageMargins left="0.75" right="0.75" top="1" bottom="1" header="0.5" footer="0.5"/>
  <pageSetup paperSize="9" orientation="portrait"/>
  <headerFooter alignWithMargins="0" scaleWithDoc="0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32"/>
  <sheetViews>
    <sheetView workbookViewId="0">
      <selection activeCell="D122" sqref="D122"/>
    </sheetView>
  </sheetViews>
  <sheetFormatPr defaultColWidth="9" defaultRowHeight="15.75"/>
  <cols>
    <col min="1" max="1" width="4.75" style="96" customWidth="1"/>
    <col min="2" max="2" width="21.125" style="1" customWidth="1"/>
    <col min="3" max="7" width="8.25" style="1" customWidth="1"/>
    <col min="8" max="8" width="10" style="1" customWidth="1"/>
    <col min="9" max="16384" width="9" style="1"/>
  </cols>
  <sheetData>
    <row r="1" s="94" customFormat="1" ht="61.5" customHeight="1" spans="1:15">
      <c r="A1" s="97" t="s">
        <v>1986</v>
      </c>
      <c r="B1" s="97"/>
      <c r="C1" s="97"/>
      <c r="D1" s="97"/>
      <c r="E1" s="97"/>
      <c r="F1" s="97"/>
      <c r="G1" s="97"/>
      <c r="H1" s="97"/>
      <c r="J1" s="108"/>
      <c r="K1" s="108"/>
      <c r="L1" s="108"/>
      <c r="M1" s="108"/>
      <c r="N1" s="108"/>
      <c r="O1" s="108"/>
    </row>
    <row r="2" ht="18.75" customHeight="1" spans="1:8">
      <c r="A2" s="98" t="s">
        <v>1987</v>
      </c>
      <c r="B2" s="99"/>
      <c r="C2" s="99"/>
      <c r="D2" s="99"/>
      <c r="E2" s="99"/>
      <c r="F2" s="99"/>
      <c r="G2" s="99"/>
      <c r="H2" s="99"/>
    </row>
    <row r="3" ht="18.75" customHeight="1" spans="1:8">
      <c r="A3" s="57" t="s">
        <v>50</v>
      </c>
      <c r="B3" s="57" t="s">
        <v>1988</v>
      </c>
      <c r="C3" s="57" t="s">
        <v>971</v>
      </c>
      <c r="D3" s="57" t="s">
        <v>1191</v>
      </c>
      <c r="E3" s="57" t="s">
        <v>973</v>
      </c>
      <c r="F3" s="57" t="s">
        <v>1792</v>
      </c>
      <c r="G3" s="57" t="s">
        <v>1989</v>
      </c>
      <c r="H3" s="57" t="s">
        <v>1990</v>
      </c>
    </row>
    <row r="4" ht="18.75" customHeight="1" spans="1:8">
      <c r="A4" s="57">
        <v>1</v>
      </c>
      <c r="B4" s="61" t="s">
        <v>75</v>
      </c>
      <c r="C4" s="100">
        <v>0.048</v>
      </c>
      <c r="D4" s="100"/>
      <c r="E4" s="100">
        <v>0.04</v>
      </c>
      <c r="F4" s="100">
        <v>0.05</v>
      </c>
      <c r="G4" s="100">
        <v>0.09</v>
      </c>
      <c r="H4" s="101">
        <v>0.03</v>
      </c>
    </row>
    <row r="5" ht="18.75" customHeight="1" spans="1:8">
      <c r="A5" s="57">
        <v>2</v>
      </c>
      <c r="B5" s="61" t="s">
        <v>1991</v>
      </c>
      <c r="C5" s="100">
        <f>C4</f>
        <v>0.048</v>
      </c>
      <c r="D5" s="100"/>
      <c r="E5" s="100">
        <v>0.085</v>
      </c>
      <c r="F5" s="100">
        <v>0.05</v>
      </c>
      <c r="G5" s="100">
        <f t="shared" ref="G5:G12" si="0">G4</f>
        <v>0.09</v>
      </c>
      <c r="H5" s="101">
        <f t="shared" ref="H5:H12" si="1">H4</f>
        <v>0.03</v>
      </c>
    </row>
    <row r="6" ht="18.75" customHeight="1" spans="1:8">
      <c r="A6" s="57">
        <v>3</v>
      </c>
      <c r="B6" s="61" t="s">
        <v>1992</v>
      </c>
      <c r="C6" s="100">
        <f>C5</f>
        <v>0.048</v>
      </c>
      <c r="D6" s="100"/>
      <c r="E6" s="100">
        <v>0.085</v>
      </c>
      <c r="F6" s="100">
        <v>0.07</v>
      </c>
      <c r="G6" s="100">
        <f t="shared" si="0"/>
        <v>0.09</v>
      </c>
      <c r="H6" s="101">
        <f t="shared" si="1"/>
        <v>0.03</v>
      </c>
    </row>
    <row r="7" ht="18.75" customHeight="1" spans="1:8">
      <c r="A7" s="57">
        <v>4</v>
      </c>
      <c r="B7" s="61" t="s">
        <v>1993</v>
      </c>
      <c r="C7" s="100">
        <f>C6</f>
        <v>0.048</v>
      </c>
      <c r="D7" s="100"/>
      <c r="E7" s="100">
        <v>0.07</v>
      </c>
      <c r="F7" s="100">
        <v>0.07</v>
      </c>
      <c r="G7" s="100">
        <f t="shared" si="0"/>
        <v>0.09</v>
      </c>
      <c r="H7" s="101">
        <f t="shared" si="1"/>
        <v>0.03</v>
      </c>
    </row>
    <row r="8" ht="18.75" customHeight="1" spans="1:8">
      <c r="A8" s="57">
        <v>5</v>
      </c>
      <c r="B8" s="61" t="s">
        <v>1994</v>
      </c>
      <c r="C8" s="100">
        <f>C7</f>
        <v>0.048</v>
      </c>
      <c r="D8" s="100"/>
      <c r="E8" s="100">
        <v>0.05</v>
      </c>
      <c r="F8" s="100">
        <v>0.07</v>
      </c>
      <c r="G8" s="100">
        <f t="shared" si="0"/>
        <v>0.09</v>
      </c>
      <c r="H8" s="102">
        <f t="shared" si="1"/>
        <v>0.03</v>
      </c>
    </row>
    <row r="9" ht="18.75" customHeight="1" spans="1:8">
      <c r="A9" s="57">
        <v>6</v>
      </c>
      <c r="B9" s="61" t="s">
        <v>1995</v>
      </c>
      <c r="C9" s="100">
        <f>C7</f>
        <v>0.048</v>
      </c>
      <c r="D9" s="100"/>
      <c r="E9" s="100">
        <v>0.0925</v>
      </c>
      <c r="F9" s="100">
        <v>0.07</v>
      </c>
      <c r="G9" s="100">
        <f t="shared" si="0"/>
        <v>0.09</v>
      </c>
      <c r="H9" s="101">
        <f>H7</f>
        <v>0.03</v>
      </c>
    </row>
    <row r="10" ht="18.75" customHeight="1" spans="1:8">
      <c r="A10" s="57">
        <v>7</v>
      </c>
      <c r="B10" s="61" t="s">
        <v>1996</v>
      </c>
      <c r="C10" s="100">
        <f>C8</f>
        <v>0.048</v>
      </c>
      <c r="D10" s="100"/>
      <c r="E10" s="100">
        <v>0.0625</v>
      </c>
      <c r="F10" s="100">
        <v>0.05</v>
      </c>
      <c r="G10" s="100">
        <f t="shared" si="0"/>
        <v>0.09</v>
      </c>
      <c r="H10" s="101">
        <f t="shared" si="1"/>
        <v>0.03</v>
      </c>
    </row>
    <row r="11" ht="18.75" customHeight="1" spans="1:8">
      <c r="A11" s="57">
        <v>8</v>
      </c>
      <c r="B11" s="61" t="s">
        <v>1997</v>
      </c>
      <c r="C11" s="100">
        <v>0.056</v>
      </c>
      <c r="D11" s="100"/>
      <c r="E11" s="103">
        <v>0.7</v>
      </c>
      <c r="F11" s="100">
        <v>0.07</v>
      </c>
      <c r="G11" s="100">
        <f t="shared" si="0"/>
        <v>0.09</v>
      </c>
      <c r="H11" s="101">
        <f t="shared" si="1"/>
        <v>0.03</v>
      </c>
    </row>
    <row r="12" ht="18.75" customHeight="1" spans="1:8">
      <c r="A12" s="57">
        <v>9</v>
      </c>
      <c r="B12" s="61" t="s">
        <v>1998</v>
      </c>
      <c r="C12" s="100">
        <f>C9</f>
        <v>0.048</v>
      </c>
      <c r="D12" s="100"/>
      <c r="E12" s="100">
        <v>0.0725</v>
      </c>
      <c r="F12" s="100">
        <v>0.05</v>
      </c>
      <c r="G12" s="100">
        <f t="shared" si="0"/>
        <v>0.09</v>
      </c>
      <c r="H12" s="101">
        <f t="shared" si="1"/>
        <v>0.03</v>
      </c>
    </row>
    <row r="13" ht="18.75" customHeight="1" spans="1:8">
      <c r="A13" s="82"/>
      <c r="B13" s="82"/>
      <c r="C13" s="82"/>
      <c r="D13" s="82"/>
      <c r="E13" s="82"/>
      <c r="F13" s="82"/>
      <c r="G13" s="82"/>
      <c r="H13" s="82"/>
    </row>
    <row r="14" s="95" customFormat="1" ht="19.5" customHeight="1" spans="1:8">
      <c r="A14" s="104"/>
      <c r="B14" s="105"/>
      <c r="C14" s="106"/>
      <c r="D14" s="106"/>
      <c r="E14" s="106"/>
      <c r="F14" s="106"/>
      <c r="G14" s="107"/>
      <c r="H14" s="107"/>
    </row>
    <row r="15" s="95" customFormat="1" ht="19.5" customHeight="1" spans="1:8">
      <c r="A15" s="104"/>
      <c r="B15" s="105"/>
      <c r="C15" s="106"/>
      <c r="D15" s="106"/>
      <c r="E15" s="106"/>
      <c r="F15" s="106"/>
      <c r="G15" s="107"/>
      <c r="H15" s="107"/>
    </row>
    <row r="16" s="95" customFormat="1" ht="19.5" customHeight="1" spans="1:8">
      <c r="A16" s="104"/>
      <c r="B16" s="105"/>
      <c r="C16" s="106"/>
      <c r="D16" s="106"/>
      <c r="E16" s="106"/>
      <c r="F16" s="106"/>
      <c r="G16" s="107"/>
      <c r="H16" s="107"/>
    </row>
    <row r="17" s="95" customFormat="1" ht="19.5" customHeight="1" spans="1:8">
      <c r="A17" s="104"/>
      <c r="B17" s="105"/>
      <c r="C17" s="106"/>
      <c r="D17" s="106"/>
      <c r="E17" s="106"/>
      <c r="F17" s="106"/>
      <c r="G17" s="107"/>
      <c r="H17" s="107"/>
    </row>
    <row r="18" s="95" customFormat="1" ht="19.5" customHeight="1" spans="1:8">
      <c r="A18" s="104"/>
      <c r="B18" s="105"/>
      <c r="C18" s="106"/>
      <c r="D18" s="106"/>
      <c r="E18" s="106"/>
      <c r="F18" s="106"/>
      <c r="G18" s="107"/>
      <c r="H18" s="107"/>
    </row>
    <row r="19" s="95" customFormat="1" ht="19.5" customHeight="1" spans="1:8">
      <c r="A19" s="104"/>
      <c r="B19" s="105"/>
      <c r="C19" s="106"/>
      <c r="D19" s="106"/>
      <c r="E19" s="106"/>
      <c r="F19" s="106"/>
      <c r="G19" s="107"/>
      <c r="H19" s="107"/>
    </row>
    <row r="20" s="95" customFormat="1" ht="19.5" customHeight="1" spans="1:8">
      <c r="A20" s="104"/>
      <c r="B20" s="105"/>
      <c r="C20" s="106"/>
      <c r="D20" s="106"/>
      <c r="E20" s="106"/>
      <c r="F20" s="106"/>
      <c r="G20" s="107"/>
      <c r="H20" s="107"/>
    </row>
    <row r="21" spans="2:8">
      <c r="B21" s="99"/>
      <c r="C21" s="107"/>
      <c r="D21" s="107"/>
      <c r="E21" s="107"/>
      <c r="F21" s="107"/>
      <c r="G21" s="107"/>
      <c r="H21" s="107"/>
    </row>
    <row r="22" spans="2:8">
      <c r="B22" s="99"/>
      <c r="C22" s="107"/>
      <c r="D22" s="107"/>
      <c r="E22" s="107"/>
      <c r="F22" s="107"/>
      <c r="G22" s="107"/>
      <c r="H22" s="107"/>
    </row>
    <row r="23" spans="2:8">
      <c r="B23" s="99"/>
      <c r="C23" s="107"/>
      <c r="D23" s="107"/>
      <c r="E23" s="107"/>
      <c r="F23" s="107"/>
      <c r="G23" s="107"/>
      <c r="H23" s="107"/>
    </row>
    <row r="24" spans="2:8">
      <c r="B24" s="99"/>
      <c r="C24" s="107"/>
      <c r="D24" s="107"/>
      <c r="E24" s="107"/>
      <c r="F24" s="107"/>
      <c r="G24" s="107"/>
      <c r="H24" s="107"/>
    </row>
    <row r="25" spans="2:8">
      <c r="B25" s="99"/>
      <c r="C25" s="107"/>
      <c r="D25" s="107"/>
      <c r="E25" s="107"/>
      <c r="F25" s="107"/>
      <c r="G25" s="107"/>
      <c r="H25" s="107"/>
    </row>
    <row r="26" spans="2:8">
      <c r="B26" s="99"/>
      <c r="C26" s="107"/>
      <c r="D26" s="107"/>
      <c r="E26" s="107"/>
      <c r="F26" s="107"/>
      <c r="G26" s="107"/>
      <c r="H26" s="107"/>
    </row>
    <row r="27" spans="2:8">
      <c r="B27" s="99"/>
      <c r="C27" s="99"/>
      <c r="D27" s="99"/>
      <c r="E27" s="99"/>
      <c r="F27" s="99"/>
      <c r="G27" s="99"/>
      <c r="H27" s="99"/>
    </row>
    <row r="28" spans="2:8">
      <c r="B28" s="99"/>
      <c r="C28" s="99"/>
      <c r="D28" s="99"/>
      <c r="E28" s="99"/>
      <c r="F28" s="99"/>
      <c r="G28" s="99"/>
      <c r="H28" s="99"/>
    </row>
    <row r="29" spans="2:8">
      <c r="B29" s="99"/>
      <c r="C29" s="99"/>
      <c r="D29" s="99"/>
      <c r="E29" s="99"/>
      <c r="F29" s="99"/>
      <c r="G29" s="99"/>
      <c r="H29" s="99"/>
    </row>
    <row r="30" spans="2:8">
      <c r="B30" s="99"/>
      <c r="C30" s="99"/>
      <c r="D30" s="99"/>
      <c r="E30" s="99"/>
      <c r="F30" s="99"/>
      <c r="G30" s="99"/>
      <c r="H30" s="99"/>
    </row>
    <row r="31" spans="2:8">
      <c r="B31" s="99"/>
      <c r="C31" s="99"/>
      <c r="D31" s="99"/>
      <c r="E31" s="99"/>
      <c r="F31" s="99"/>
      <c r="G31" s="99"/>
      <c r="H31" s="99"/>
    </row>
    <row r="32" spans="2:8">
      <c r="B32" s="99"/>
      <c r="C32" s="99"/>
      <c r="D32" s="99"/>
      <c r="E32" s="99"/>
      <c r="F32" s="99"/>
      <c r="G32" s="99"/>
      <c r="H32" s="99"/>
    </row>
  </sheetData>
  <mergeCells count="7">
    <mergeCell ref="A1:H1"/>
    <mergeCell ref="C21:H21"/>
    <mergeCell ref="C22:H22"/>
    <mergeCell ref="C23:H23"/>
    <mergeCell ref="C24:H24"/>
    <mergeCell ref="C25:H25"/>
    <mergeCell ref="C26:H26"/>
  </mergeCells>
  <pageMargins left="0.75" right="0.75" top="1" bottom="1" header="0.5" footer="0.5"/>
  <pageSetup paperSize="9" orientation="portrait"/>
  <headerFooter alignWithMargins="0" scaleWithDoc="0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38"/>
  <sheetViews>
    <sheetView workbookViewId="0">
      <selection activeCell="D122" sqref="D122"/>
    </sheetView>
  </sheetViews>
  <sheetFormatPr defaultColWidth="9" defaultRowHeight="20.1" customHeight="1"/>
  <cols>
    <col min="1" max="1" width="8" customWidth="1"/>
    <col min="2" max="2" width="24.125" customWidth="1"/>
    <col min="3" max="3" width="10.25" customWidth="1"/>
    <col min="4" max="4" width="16.75" customWidth="1"/>
    <col min="5" max="5" width="11.5" customWidth="1"/>
    <col min="7" max="7" width="8" style="1" customWidth="1"/>
    <col min="8" max="8" width="21.625" style="1" customWidth="1"/>
    <col min="9" max="9" width="10.25" style="1" customWidth="1"/>
    <col min="10" max="10" width="15" style="1" customWidth="1"/>
    <col min="11" max="11" width="11.5" style="1" customWidth="1"/>
  </cols>
  <sheetData>
    <row r="1" ht="33" customHeight="1" spans="1:11">
      <c r="A1" s="53" t="s">
        <v>1999</v>
      </c>
      <c r="B1" s="53"/>
      <c r="C1" s="53"/>
      <c r="D1" s="53"/>
      <c r="E1" s="53"/>
      <c r="G1" s="53" t="s">
        <v>2000</v>
      </c>
      <c r="H1" s="54"/>
      <c r="I1" s="54"/>
      <c r="J1" s="54"/>
      <c r="K1" s="54"/>
    </row>
    <row r="2" customHeight="1" spans="1:11">
      <c r="A2" s="55" t="s">
        <v>354</v>
      </c>
      <c r="B2" s="55" t="s">
        <v>956</v>
      </c>
      <c r="C2" s="55" t="s">
        <v>52</v>
      </c>
      <c r="D2" s="55" t="s">
        <v>855</v>
      </c>
      <c r="E2" s="56"/>
      <c r="G2" s="55" t="s">
        <v>354</v>
      </c>
      <c r="H2" s="55" t="s">
        <v>956</v>
      </c>
      <c r="I2" s="55" t="s">
        <v>52</v>
      </c>
      <c r="J2" s="55" t="s">
        <v>855</v>
      </c>
      <c r="K2" s="56"/>
    </row>
    <row r="3" customHeight="1" spans="1:11">
      <c r="A3" s="57">
        <v>1</v>
      </c>
      <c r="B3" s="58" t="s">
        <v>1543</v>
      </c>
      <c r="C3" s="59" t="s">
        <v>69</v>
      </c>
      <c r="D3" s="60">
        <v>330</v>
      </c>
      <c r="E3" s="58"/>
      <c r="G3" s="57">
        <v>1</v>
      </c>
      <c r="H3" s="58" t="s">
        <v>1543</v>
      </c>
      <c r="I3" s="59" t="s">
        <v>69</v>
      </c>
      <c r="J3" s="57">
        <f>0.1*1000</f>
        <v>100</v>
      </c>
      <c r="K3" s="82"/>
    </row>
    <row r="4" customHeight="1" spans="1:11">
      <c r="A4" s="57">
        <v>2</v>
      </c>
      <c r="B4" s="61" t="s">
        <v>1247</v>
      </c>
      <c r="C4" s="59" t="s">
        <v>90</v>
      </c>
      <c r="D4" s="60">
        <v>1.35</v>
      </c>
      <c r="E4" s="58"/>
      <c r="G4" s="57">
        <v>2</v>
      </c>
      <c r="H4" s="61" t="s">
        <v>1247</v>
      </c>
      <c r="I4" s="59" t="s">
        <v>90</v>
      </c>
      <c r="J4" s="57">
        <v>0.56</v>
      </c>
      <c r="K4" s="82"/>
    </row>
    <row r="5" customHeight="1" spans="1:11">
      <c r="A5" s="57">
        <v>3</v>
      </c>
      <c r="B5" s="62" t="s">
        <v>1278</v>
      </c>
      <c r="C5" s="63" t="s">
        <v>184</v>
      </c>
      <c r="D5" s="64">
        <v>5.97</v>
      </c>
      <c r="E5" s="58"/>
      <c r="G5" s="57">
        <v>3</v>
      </c>
      <c r="H5" s="65" t="s">
        <v>1278</v>
      </c>
      <c r="I5" s="57" t="s">
        <v>184</v>
      </c>
      <c r="J5" s="83">
        <v>5.97</v>
      </c>
      <c r="K5" s="82"/>
    </row>
    <row r="6" customHeight="1" spans="1:11">
      <c r="A6" s="57">
        <v>4</v>
      </c>
      <c r="B6" s="61" t="s">
        <v>2001</v>
      </c>
      <c r="C6" s="57" t="s">
        <v>267</v>
      </c>
      <c r="D6" s="60">
        <v>1.4</v>
      </c>
      <c r="E6" s="58"/>
      <c r="G6" s="57">
        <v>4</v>
      </c>
      <c r="H6" s="61" t="s">
        <v>2001</v>
      </c>
      <c r="I6" s="57" t="s">
        <v>267</v>
      </c>
      <c r="J6" s="57">
        <v>0.66</v>
      </c>
      <c r="K6" s="82"/>
    </row>
    <row r="7" customHeight="1" spans="1:11">
      <c r="A7" s="57">
        <v>5</v>
      </c>
      <c r="B7" s="66" t="s">
        <v>2002</v>
      </c>
      <c r="C7" s="57" t="s">
        <v>184</v>
      </c>
      <c r="D7" s="67">
        <v>4.2</v>
      </c>
      <c r="E7" s="58"/>
      <c r="G7" s="57">
        <v>5</v>
      </c>
      <c r="H7" s="65" t="s">
        <v>2003</v>
      </c>
      <c r="I7" s="57" t="s">
        <v>184</v>
      </c>
      <c r="J7" s="84">
        <v>0</v>
      </c>
      <c r="K7" s="82"/>
    </row>
    <row r="8" customHeight="1" spans="1:11">
      <c r="A8" s="57">
        <v>6</v>
      </c>
      <c r="B8" s="66" t="s">
        <v>2004</v>
      </c>
      <c r="C8" s="57" t="s">
        <v>184</v>
      </c>
      <c r="D8" s="67">
        <v>4.2</v>
      </c>
      <c r="E8" s="58"/>
      <c r="G8" s="57">
        <v>6</v>
      </c>
      <c r="H8" s="65" t="s">
        <v>2004</v>
      </c>
      <c r="I8" s="57" t="s">
        <v>184</v>
      </c>
      <c r="J8" s="84">
        <f>J7</f>
        <v>0</v>
      </c>
      <c r="K8" s="82"/>
    </row>
    <row r="9" customHeight="1" spans="1:11">
      <c r="A9" s="57">
        <v>7</v>
      </c>
      <c r="B9" s="61" t="s">
        <v>2005</v>
      </c>
      <c r="C9" s="59" t="s">
        <v>184</v>
      </c>
      <c r="D9" s="67">
        <v>2.5</v>
      </c>
      <c r="E9" s="58"/>
      <c r="G9" s="57">
        <v>7</v>
      </c>
      <c r="H9" s="61" t="s">
        <v>2005</v>
      </c>
      <c r="I9" s="59" t="s">
        <v>184</v>
      </c>
      <c r="J9" s="83">
        <v>2.5</v>
      </c>
      <c r="K9" s="82"/>
    </row>
    <row r="10" customHeight="1" spans="1:11">
      <c r="A10" s="57">
        <v>8</v>
      </c>
      <c r="B10" s="58" t="s">
        <v>1101</v>
      </c>
      <c r="C10" s="57" t="s">
        <v>184</v>
      </c>
      <c r="D10" s="67">
        <v>3</v>
      </c>
      <c r="E10" s="58"/>
      <c r="G10" s="57">
        <v>8</v>
      </c>
      <c r="H10" s="58" t="s">
        <v>1101</v>
      </c>
      <c r="I10" s="57" t="s">
        <v>184</v>
      </c>
      <c r="J10" s="83">
        <v>0</v>
      </c>
      <c r="K10" s="82"/>
    </row>
    <row r="11" customHeight="1" spans="1:11">
      <c r="A11" s="57">
        <v>9</v>
      </c>
      <c r="B11" s="61" t="s">
        <v>1244</v>
      </c>
      <c r="C11" s="57" t="s">
        <v>2006</v>
      </c>
      <c r="D11" s="60">
        <v>230</v>
      </c>
      <c r="E11" s="58"/>
      <c r="G11" s="57">
        <v>9</v>
      </c>
      <c r="H11" s="61" t="s">
        <v>1244</v>
      </c>
      <c r="I11" s="57" t="s">
        <v>2006</v>
      </c>
      <c r="J11" s="57">
        <v>83.97</v>
      </c>
      <c r="K11" s="82"/>
    </row>
    <row r="12" customHeight="1" spans="1:11">
      <c r="A12" s="57">
        <v>10</v>
      </c>
      <c r="B12" s="66" t="s">
        <v>2007</v>
      </c>
      <c r="C12" s="57" t="s">
        <v>184</v>
      </c>
      <c r="D12" s="67">
        <v>6.68</v>
      </c>
      <c r="E12" s="58"/>
      <c r="G12" s="57">
        <v>10</v>
      </c>
      <c r="H12" s="65" t="s">
        <v>2007</v>
      </c>
      <c r="I12" s="85" t="s">
        <v>184</v>
      </c>
      <c r="J12" s="83">
        <v>4.44</v>
      </c>
      <c r="K12" s="82"/>
    </row>
    <row r="13" customHeight="1" spans="1:11">
      <c r="A13" s="57">
        <v>11</v>
      </c>
      <c r="B13" s="58" t="s">
        <v>2008</v>
      </c>
      <c r="C13" s="57" t="s">
        <v>1188</v>
      </c>
      <c r="D13" s="68">
        <v>14000</v>
      </c>
      <c r="E13" s="58"/>
      <c r="G13" s="57">
        <v>11</v>
      </c>
      <c r="H13" s="58" t="s">
        <v>2008</v>
      </c>
      <c r="I13" s="57" t="s">
        <v>1188</v>
      </c>
      <c r="J13" s="86">
        <v>14000</v>
      </c>
      <c r="K13" s="82"/>
    </row>
    <row r="14" customHeight="1" spans="1:11">
      <c r="A14" s="57">
        <v>12</v>
      </c>
      <c r="B14" s="66" t="s">
        <v>1552</v>
      </c>
      <c r="C14" s="57" t="s">
        <v>184</v>
      </c>
      <c r="D14" s="67">
        <v>5.5</v>
      </c>
      <c r="E14" s="58"/>
      <c r="G14" s="57">
        <v>12</v>
      </c>
      <c r="H14" s="65" t="s">
        <v>1552</v>
      </c>
      <c r="I14" s="57" t="s">
        <v>184</v>
      </c>
      <c r="J14" s="83">
        <v>5.5</v>
      </c>
      <c r="K14" s="82"/>
    </row>
    <row r="15" customHeight="1" spans="1:11">
      <c r="A15" s="57">
        <v>13</v>
      </c>
      <c r="B15" s="58" t="s">
        <v>1272</v>
      </c>
      <c r="C15" s="57" t="s">
        <v>1188</v>
      </c>
      <c r="D15" s="67">
        <v>1150</v>
      </c>
      <c r="E15" s="58"/>
      <c r="G15" s="57">
        <v>13</v>
      </c>
      <c r="H15" s="58" t="s">
        <v>1272</v>
      </c>
      <c r="I15" s="85" t="s">
        <v>2009</v>
      </c>
      <c r="J15" s="83">
        <v>0</v>
      </c>
      <c r="K15" s="82"/>
    </row>
    <row r="16" customHeight="1" spans="1:11">
      <c r="A16" s="57">
        <v>14</v>
      </c>
      <c r="B16" s="62" t="s">
        <v>1275</v>
      </c>
      <c r="C16" s="63" t="s">
        <v>184</v>
      </c>
      <c r="D16" s="64">
        <v>5.15</v>
      </c>
      <c r="E16" s="58"/>
      <c r="G16" s="57">
        <v>14</v>
      </c>
      <c r="H16" s="65" t="s">
        <v>1275</v>
      </c>
      <c r="I16" s="57" t="s">
        <v>184</v>
      </c>
      <c r="J16" s="83">
        <v>5.15</v>
      </c>
      <c r="K16" s="82"/>
    </row>
    <row r="17" customHeight="1" spans="1:11">
      <c r="A17" s="57">
        <v>15</v>
      </c>
      <c r="B17" s="58" t="s">
        <v>1111</v>
      </c>
      <c r="C17" s="57" t="s">
        <v>1188</v>
      </c>
      <c r="D17" s="60">
        <v>40</v>
      </c>
      <c r="E17" s="58"/>
      <c r="G17" s="57">
        <v>15</v>
      </c>
      <c r="H17" s="58" t="s">
        <v>1111</v>
      </c>
      <c r="I17" s="57" t="s">
        <v>1188</v>
      </c>
      <c r="J17" s="57">
        <v>0</v>
      </c>
      <c r="K17" s="82"/>
    </row>
    <row r="18" customHeight="1" spans="1:11">
      <c r="A18" s="57">
        <v>16</v>
      </c>
      <c r="B18" s="61" t="s">
        <v>1246</v>
      </c>
      <c r="C18" s="57" t="s">
        <v>267</v>
      </c>
      <c r="D18" s="60">
        <v>1.4</v>
      </c>
      <c r="E18" s="58"/>
      <c r="G18" s="57">
        <v>16</v>
      </c>
      <c r="H18" s="61" t="s">
        <v>1246</v>
      </c>
      <c r="I18" s="57" t="s">
        <v>267</v>
      </c>
      <c r="J18" s="57">
        <v>0.66</v>
      </c>
      <c r="K18" s="82"/>
    </row>
    <row r="19" customHeight="1" spans="1:11">
      <c r="A19" s="57">
        <v>17</v>
      </c>
      <c r="B19" s="58" t="s">
        <v>1484</v>
      </c>
      <c r="C19" s="59" t="s">
        <v>69</v>
      </c>
      <c r="D19" s="67">
        <v>6</v>
      </c>
      <c r="E19" s="58"/>
      <c r="G19" s="57">
        <v>17</v>
      </c>
      <c r="H19" s="58" t="s">
        <v>1484</v>
      </c>
      <c r="I19" s="59" t="s">
        <v>69</v>
      </c>
      <c r="J19" s="83">
        <v>2</v>
      </c>
      <c r="K19" s="82"/>
    </row>
    <row r="20" customHeight="1" spans="1:11">
      <c r="A20" s="57">
        <v>18</v>
      </c>
      <c r="B20" s="61" t="s">
        <v>1403</v>
      </c>
      <c r="C20" s="57" t="s">
        <v>2010</v>
      </c>
      <c r="D20" s="67">
        <v>4.9</v>
      </c>
      <c r="E20" s="58"/>
      <c r="G20" s="57">
        <v>18</v>
      </c>
      <c r="H20" s="69" t="s">
        <v>1403</v>
      </c>
      <c r="I20" s="85" t="s">
        <v>2010</v>
      </c>
      <c r="J20" s="83">
        <v>4.85</v>
      </c>
      <c r="K20" s="82"/>
    </row>
    <row r="21" customHeight="1" spans="1:11">
      <c r="A21" s="57">
        <v>19</v>
      </c>
      <c r="B21" s="70" t="s">
        <v>2011</v>
      </c>
      <c r="C21" s="71" t="s">
        <v>2012</v>
      </c>
      <c r="D21" s="72">
        <v>35</v>
      </c>
      <c r="E21" s="58"/>
      <c r="G21" s="57">
        <v>19</v>
      </c>
      <c r="H21" s="73" t="s">
        <v>2011</v>
      </c>
      <c r="I21" s="87" t="s">
        <v>2013</v>
      </c>
      <c r="J21" s="88">
        <v>0</v>
      </c>
      <c r="K21" s="82"/>
    </row>
    <row r="22" customHeight="1" spans="1:11">
      <c r="A22" s="57">
        <v>20</v>
      </c>
      <c r="B22" s="61" t="s">
        <v>2014</v>
      </c>
      <c r="C22" s="57" t="s">
        <v>2010</v>
      </c>
      <c r="D22" s="67">
        <v>5.74</v>
      </c>
      <c r="E22" s="58"/>
      <c r="G22" s="57">
        <v>20</v>
      </c>
      <c r="H22" s="69" t="s">
        <v>2014</v>
      </c>
      <c r="I22" s="85" t="s">
        <v>2010</v>
      </c>
      <c r="J22" s="83">
        <v>5.74</v>
      </c>
      <c r="K22" s="82"/>
    </row>
    <row r="23" customHeight="1" spans="1:11">
      <c r="A23" s="57">
        <v>21</v>
      </c>
      <c r="B23" s="66" t="s">
        <v>1405</v>
      </c>
      <c r="C23" s="57" t="s">
        <v>184</v>
      </c>
      <c r="D23" s="67">
        <v>0.45</v>
      </c>
      <c r="E23" s="58"/>
      <c r="G23" s="57">
        <v>21</v>
      </c>
      <c r="H23" s="65" t="s">
        <v>1405</v>
      </c>
      <c r="I23" s="57" t="s">
        <v>184</v>
      </c>
      <c r="J23" s="83">
        <v>0.18</v>
      </c>
      <c r="K23" s="82"/>
    </row>
    <row r="24" customHeight="1" spans="1:11">
      <c r="A24" s="57">
        <v>22</v>
      </c>
      <c r="B24" s="66" t="s">
        <v>1404</v>
      </c>
      <c r="C24" s="57" t="s">
        <v>1188</v>
      </c>
      <c r="D24" s="67">
        <v>30</v>
      </c>
      <c r="E24" s="58"/>
      <c r="G24" s="57">
        <v>22</v>
      </c>
      <c r="H24" s="65" t="s">
        <v>1404</v>
      </c>
      <c r="I24" s="57" t="s">
        <v>1188</v>
      </c>
      <c r="J24" s="83">
        <v>0</v>
      </c>
      <c r="K24" s="82"/>
    </row>
    <row r="25" customHeight="1" spans="1:11">
      <c r="A25" s="57">
        <v>23</v>
      </c>
      <c r="B25" s="58" t="s">
        <v>1483</v>
      </c>
      <c r="C25" s="57" t="s">
        <v>1188</v>
      </c>
      <c r="D25" s="67">
        <v>35</v>
      </c>
      <c r="E25" s="58"/>
      <c r="G25" s="57">
        <v>23</v>
      </c>
      <c r="H25" s="58" t="s">
        <v>1483</v>
      </c>
      <c r="I25" s="57" t="s">
        <v>1188</v>
      </c>
      <c r="J25" s="83">
        <f>J21</f>
        <v>0</v>
      </c>
      <c r="K25" s="82"/>
    </row>
    <row r="26" customHeight="1" spans="1:11">
      <c r="A26" s="57">
        <v>24</v>
      </c>
      <c r="B26" s="58" t="s">
        <v>2015</v>
      </c>
      <c r="C26" s="57" t="s">
        <v>184</v>
      </c>
      <c r="D26" s="67">
        <v>5</v>
      </c>
      <c r="E26" s="58"/>
      <c r="G26" s="57">
        <v>24</v>
      </c>
      <c r="H26" s="58" t="s">
        <v>2015</v>
      </c>
      <c r="I26" s="57" t="s">
        <v>184</v>
      </c>
      <c r="J26" s="84">
        <v>5</v>
      </c>
      <c r="K26" s="82"/>
    </row>
    <row r="27" customHeight="1" spans="1:11">
      <c r="A27" s="57">
        <v>25</v>
      </c>
      <c r="B27" s="58" t="s">
        <v>2016</v>
      </c>
      <c r="C27" s="59" t="s">
        <v>90</v>
      </c>
      <c r="D27" s="67">
        <v>116</v>
      </c>
      <c r="E27" s="58"/>
      <c r="G27" s="57">
        <v>25</v>
      </c>
      <c r="H27" s="58" t="s">
        <v>2016</v>
      </c>
      <c r="I27" s="59" t="s">
        <v>90</v>
      </c>
      <c r="J27" s="83">
        <v>116</v>
      </c>
      <c r="K27" s="82"/>
    </row>
    <row r="28" customHeight="1" spans="1:11">
      <c r="A28" s="57">
        <v>26</v>
      </c>
      <c r="B28" s="62" t="s">
        <v>1276</v>
      </c>
      <c r="C28" s="63" t="s">
        <v>184</v>
      </c>
      <c r="D28" s="64">
        <v>4.5</v>
      </c>
      <c r="E28" s="58"/>
      <c r="G28" s="57">
        <v>26</v>
      </c>
      <c r="H28" s="65" t="s">
        <v>1276</v>
      </c>
      <c r="I28" s="57" t="s">
        <v>184</v>
      </c>
      <c r="J28" s="83">
        <v>4.5</v>
      </c>
      <c r="K28" s="82"/>
    </row>
    <row r="29" customHeight="1" spans="1:11">
      <c r="A29" s="57">
        <v>27</v>
      </c>
      <c r="B29" s="62" t="s">
        <v>1427</v>
      </c>
      <c r="C29" s="63" t="s">
        <v>184</v>
      </c>
      <c r="D29" s="64">
        <v>5</v>
      </c>
      <c r="E29" s="58"/>
      <c r="G29" s="57">
        <v>27</v>
      </c>
      <c r="H29" s="65" t="s">
        <v>1427</v>
      </c>
      <c r="I29" s="57" t="s">
        <v>184</v>
      </c>
      <c r="J29" s="83">
        <v>5</v>
      </c>
      <c r="K29" s="82"/>
    </row>
    <row r="30" customHeight="1" spans="1:11">
      <c r="A30" s="57">
        <v>28</v>
      </c>
      <c r="B30" s="62" t="s">
        <v>1274</v>
      </c>
      <c r="C30" s="63" t="s">
        <v>184</v>
      </c>
      <c r="D30" s="64">
        <v>4.5</v>
      </c>
      <c r="E30" s="58"/>
      <c r="G30" s="57">
        <v>28</v>
      </c>
      <c r="H30" s="65" t="s">
        <v>1274</v>
      </c>
      <c r="I30" s="57" t="s">
        <v>184</v>
      </c>
      <c r="J30" s="83">
        <v>4.5</v>
      </c>
      <c r="K30" s="82"/>
    </row>
    <row r="31" customHeight="1" spans="1:11">
      <c r="A31" s="57">
        <v>29</v>
      </c>
      <c r="B31" s="62" t="s">
        <v>1378</v>
      </c>
      <c r="C31" s="63" t="s">
        <v>184</v>
      </c>
      <c r="D31" s="64">
        <v>7.99</v>
      </c>
      <c r="E31" s="58"/>
      <c r="G31" s="57">
        <v>29</v>
      </c>
      <c r="H31" s="66" t="s">
        <v>1378</v>
      </c>
      <c r="I31" s="57" t="s">
        <v>184</v>
      </c>
      <c r="J31" s="84">
        <v>7.99</v>
      </c>
      <c r="K31" s="82"/>
    </row>
    <row r="32" customHeight="1" spans="1:11">
      <c r="A32" s="57">
        <v>30</v>
      </c>
      <c r="B32" s="62" t="s">
        <v>1277</v>
      </c>
      <c r="C32" s="63" t="s">
        <v>184</v>
      </c>
      <c r="D32" s="64">
        <v>6.39</v>
      </c>
      <c r="E32" s="58"/>
      <c r="G32" s="57">
        <v>30</v>
      </c>
      <c r="H32" s="66" t="s">
        <v>1277</v>
      </c>
      <c r="I32" s="57" t="s">
        <v>184</v>
      </c>
      <c r="J32" s="84">
        <v>5.5</v>
      </c>
      <c r="K32" s="82"/>
    </row>
    <row r="33" customHeight="1" spans="1:11">
      <c r="A33" s="57">
        <v>31</v>
      </c>
      <c r="B33" s="58" t="s">
        <v>2017</v>
      </c>
      <c r="C33" s="59" t="s">
        <v>1410</v>
      </c>
      <c r="D33" s="67">
        <v>2.5</v>
      </c>
      <c r="E33" s="58"/>
      <c r="G33" s="57">
        <v>31</v>
      </c>
      <c r="H33" s="58" t="s">
        <v>2017</v>
      </c>
      <c r="I33" s="59" t="s">
        <v>1410</v>
      </c>
      <c r="J33" s="83">
        <v>2.5</v>
      </c>
      <c r="K33" s="82"/>
    </row>
    <row r="34" customHeight="1" spans="1:11">
      <c r="A34" s="57">
        <v>32</v>
      </c>
      <c r="B34" s="74" t="s">
        <v>2018</v>
      </c>
      <c r="C34" s="75" t="s">
        <v>184</v>
      </c>
      <c r="D34" s="76">
        <v>4.44</v>
      </c>
      <c r="E34" s="58"/>
      <c r="G34" s="57">
        <v>32</v>
      </c>
      <c r="H34" s="73" t="s">
        <v>2018</v>
      </c>
      <c r="I34" s="89" t="s">
        <v>184</v>
      </c>
      <c r="J34" s="88">
        <f>J8</f>
        <v>0</v>
      </c>
      <c r="K34" s="82"/>
    </row>
    <row r="35" customHeight="1" spans="1:11">
      <c r="A35" s="57">
        <v>33</v>
      </c>
      <c r="B35" s="66" t="s">
        <v>1385</v>
      </c>
      <c r="C35" s="57" t="s">
        <v>1188</v>
      </c>
      <c r="D35" s="67">
        <v>1220.8</v>
      </c>
      <c r="E35" s="58"/>
      <c r="G35" s="57">
        <v>33</v>
      </c>
      <c r="H35" s="66" t="s">
        <v>1385</v>
      </c>
      <c r="I35" s="57" t="s">
        <v>1188</v>
      </c>
      <c r="J35" s="84">
        <f>J15*0.7</f>
        <v>0</v>
      </c>
      <c r="K35" s="82"/>
    </row>
    <row r="36" customHeight="1" spans="1:11">
      <c r="A36" s="57">
        <v>34</v>
      </c>
      <c r="B36" s="61" t="s">
        <v>1245</v>
      </c>
      <c r="C36" s="59" t="s">
        <v>184</v>
      </c>
      <c r="D36" s="60">
        <v>11</v>
      </c>
      <c r="E36" s="58"/>
      <c r="G36" s="57">
        <v>34</v>
      </c>
      <c r="H36" s="61" t="s">
        <v>1245</v>
      </c>
      <c r="I36" s="59" t="s">
        <v>184</v>
      </c>
      <c r="J36" s="57">
        <v>3.96</v>
      </c>
      <c r="K36" s="82"/>
    </row>
    <row r="37" customHeight="1" spans="1:11">
      <c r="A37" s="57">
        <v>35</v>
      </c>
      <c r="B37" s="66" t="s">
        <v>1273</v>
      </c>
      <c r="C37" s="57" t="s">
        <v>184</v>
      </c>
      <c r="D37" s="67">
        <v>4.44</v>
      </c>
      <c r="E37" s="58"/>
      <c r="G37" s="57">
        <v>35</v>
      </c>
      <c r="H37" s="65" t="s">
        <v>1273</v>
      </c>
      <c r="I37" s="57" t="s">
        <v>184</v>
      </c>
      <c r="J37" s="83">
        <f>J8</f>
        <v>0</v>
      </c>
      <c r="K37" s="82"/>
    </row>
    <row r="38" customHeight="1" spans="1:11">
      <c r="A38" s="57">
        <v>36</v>
      </c>
      <c r="B38" s="61" t="s">
        <v>2019</v>
      </c>
      <c r="C38" s="59" t="s">
        <v>90</v>
      </c>
      <c r="D38" s="60">
        <v>15.08</v>
      </c>
      <c r="E38" s="58"/>
      <c r="G38" s="57">
        <v>36</v>
      </c>
      <c r="H38" s="61" t="s">
        <v>2019</v>
      </c>
      <c r="I38" s="59" t="s">
        <v>90</v>
      </c>
      <c r="J38" s="57">
        <v>15.08</v>
      </c>
      <c r="K38" s="82"/>
    </row>
    <row r="39" customHeight="1" spans="1:11">
      <c r="A39" s="57">
        <v>43</v>
      </c>
      <c r="B39" s="66" t="s">
        <v>1845</v>
      </c>
      <c r="C39" s="57" t="s">
        <v>1188</v>
      </c>
      <c r="D39" s="60">
        <v>6.63</v>
      </c>
      <c r="E39" s="58"/>
      <c r="G39" s="57">
        <v>37</v>
      </c>
      <c r="H39" s="61" t="s">
        <v>2020</v>
      </c>
      <c r="I39" s="59" t="s">
        <v>90</v>
      </c>
      <c r="J39" s="90">
        <v>1785</v>
      </c>
      <c r="K39" s="82"/>
    </row>
    <row r="40" customHeight="1" spans="1:11">
      <c r="A40" s="57">
        <v>44</v>
      </c>
      <c r="B40" s="58" t="s">
        <v>2021</v>
      </c>
      <c r="C40" s="59" t="s">
        <v>184</v>
      </c>
      <c r="D40" s="60">
        <v>4.5</v>
      </c>
      <c r="E40" s="58"/>
      <c r="G40" s="57">
        <v>38</v>
      </c>
      <c r="H40" s="61" t="s">
        <v>2022</v>
      </c>
      <c r="I40" s="59" t="s">
        <v>90</v>
      </c>
      <c r="J40" s="90">
        <v>1362</v>
      </c>
      <c r="K40" s="82"/>
    </row>
    <row r="41" customHeight="1" spans="1:11">
      <c r="A41" s="57">
        <v>45</v>
      </c>
      <c r="B41" s="58" t="s">
        <v>2023</v>
      </c>
      <c r="C41" s="59" t="s">
        <v>184</v>
      </c>
      <c r="D41" s="77">
        <v>4.8</v>
      </c>
      <c r="E41" s="58"/>
      <c r="G41" s="57">
        <v>39</v>
      </c>
      <c r="H41" s="61" t="s">
        <v>2024</v>
      </c>
      <c r="I41" s="59" t="s">
        <v>90</v>
      </c>
      <c r="J41" s="90">
        <v>1048</v>
      </c>
      <c r="K41" s="82"/>
    </row>
    <row r="42" customHeight="1" spans="1:11">
      <c r="A42" s="57">
        <v>46</v>
      </c>
      <c r="B42" s="58" t="s">
        <v>2025</v>
      </c>
      <c r="C42" s="59" t="s">
        <v>90</v>
      </c>
      <c r="D42" s="60">
        <v>537</v>
      </c>
      <c r="E42" s="58"/>
      <c r="G42" s="57">
        <v>40</v>
      </c>
      <c r="H42" s="61" t="s">
        <v>2026</v>
      </c>
      <c r="I42" s="59" t="s">
        <v>90</v>
      </c>
      <c r="J42" s="90">
        <v>790</v>
      </c>
      <c r="K42" s="82"/>
    </row>
    <row r="43" customHeight="1" spans="1:11">
      <c r="A43" s="57">
        <v>47</v>
      </c>
      <c r="B43" s="58" t="s">
        <v>2027</v>
      </c>
      <c r="C43" s="57" t="s">
        <v>267</v>
      </c>
      <c r="D43" s="60">
        <f>0.15*0.15*0.04*60000</f>
        <v>54</v>
      </c>
      <c r="E43" s="58"/>
      <c r="G43" s="57">
        <v>41</v>
      </c>
      <c r="H43" s="61" t="s">
        <v>2028</v>
      </c>
      <c r="I43" s="59" t="s">
        <v>90</v>
      </c>
      <c r="J43" s="90">
        <v>677</v>
      </c>
      <c r="K43" s="82"/>
    </row>
    <row r="44" customHeight="1" spans="1:11">
      <c r="A44" s="57">
        <v>48</v>
      </c>
      <c r="B44" s="61" t="s">
        <v>2029</v>
      </c>
      <c r="C44" s="59" t="s">
        <v>90</v>
      </c>
      <c r="D44" s="60">
        <v>10</v>
      </c>
      <c r="E44" s="58"/>
      <c r="G44" s="57">
        <v>42</v>
      </c>
      <c r="H44" s="61" t="s">
        <v>2030</v>
      </c>
      <c r="I44" s="59" t="s">
        <v>90</v>
      </c>
      <c r="J44" s="91">
        <v>376.44</v>
      </c>
      <c r="K44" s="82"/>
    </row>
    <row r="45" customHeight="1" spans="1:11">
      <c r="A45" s="57">
        <v>49</v>
      </c>
      <c r="B45" s="78" t="s">
        <v>2031</v>
      </c>
      <c r="C45" s="59" t="s">
        <v>90</v>
      </c>
      <c r="D45" s="60">
        <v>19.5</v>
      </c>
      <c r="E45" s="58"/>
      <c r="G45" s="57">
        <v>43</v>
      </c>
      <c r="H45" s="66" t="s">
        <v>1845</v>
      </c>
      <c r="I45" s="57" t="s">
        <v>1188</v>
      </c>
      <c r="J45" s="57">
        <v>6.63</v>
      </c>
      <c r="K45" s="82"/>
    </row>
    <row r="46" customHeight="1" spans="1:11">
      <c r="A46" s="58"/>
      <c r="B46" s="58"/>
      <c r="C46" s="58"/>
      <c r="D46" s="58"/>
      <c r="E46" s="58"/>
      <c r="G46" s="57">
        <v>44</v>
      </c>
      <c r="H46" s="58" t="s">
        <v>2021</v>
      </c>
      <c r="I46" s="59" t="s">
        <v>184</v>
      </c>
      <c r="J46" s="57">
        <v>3.9</v>
      </c>
      <c r="K46" s="82"/>
    </row>
    <row r="47" customHeight="1" spans="1:11">
      <c r="A47" s="58"/>
      <c r="B47" s="58"/>
      <c r="C47" s="58"/>
      <c r="D47" s="58"/>
      <c r="E47" s="58"/>
      <c r="G47" s="57">
        <v>45</v>
      </c>
      <c r="H47" s="58" t="s">
        <v>2023</v>
      </c>
      <c r="I47" s="59" t="s">
        <v>184</v>
      </c>
      <c r="J47" s="92">
        <v>4</v>
      </c>
      <c r="K47" s="82"/>
    </row>
    <row r="48" customHeight="1" spans="1:11">
      <c r="A48" s="58"/>
      <c r="B48" s="58"/>
      <c r="C48" s="58"/>
      <c r="D48" s="58"/>
      <c r="E48" s="58"/>
      <c r="G48" s="57">
        <v>46</v>
      </c>
      <c r="H48" s="58" t="s">
        <v>2025</v>
      </c>
      <c r="I48" s="59" t="s">
        <v>90</v>
      </c>
      <c r="J48" s="57">
        <v>537</v>
      </c>
      <c r="K48" s="82"/>
    </row>
    <row r="49" customHeight="1" spans="1:11">
      <c r="A49" s="58"/>
      <c r="B49" s="58"/>
      <c r="C49" s="58"/>
      <c r="D49" s="58"/>
      <c r="E49" s="58"/>
      <c r="G49" s="57">
        <v>47</v>
      </c>
      <c r="H49" s="58" t="s">
        <v>2027</v>
      </c>
      <c r="I49" s="57" t="s">
        <v>267</v>
      </c>
      <c r="J49" s="57">
        <f>0.15*0.15*0.04*60000</f>
        <v>54</v>
      </c>
      <c r="K49" s="82"/>
    </row>
    <row r="50" customHeight="1" spans="1:11">
      <c r="A50" s="58"/>
      <c r="B50" s="58"/>
      <c r="C50" s="58"/>
      <c r="D50" s="58"/>
      <c r="E50" s="58"/>
      <c r="G50" s="57">
        <v>48</v>
      </c>
      <c r="H50" s="61" t="s">
        <v>2029</v>
      </c>
      <c r="I50" s="59" t="s">
        <v>90</v>
      </c>
      <c r="J50" s="57">
        <v>10</v>
      </c>
      <c r="K50" s="82"/>
    </row>
    <row r="51" customHeight="1" spans="1:11">
      <c r="A51" s="79"/>
      <c r="B51" s="79"/>
      <c r="C51" s="79"/>
      <c r="D51" s="79"/>
      <c r="E51" s="79"/>
      <c r="G51" s="57">
        <v>49</v>
      </c>
      <c r="H51" s="78" t="s">
        <v>2031</v>
      </c>
      <c r="I51" s="59" t="s">
        <v>90</v>
      </c>
      <c r="J51" s="57">
        <v>19.5</v>
      </c>
      <c r="K51" s="82"/>
    </row>
    <row r="52" customHeight="1" spans="1:11">
      <c r="A52" s="79"/>
      <c r="B52" s="79"/>
      <c r="C52" s="79"/>
      <c r="D52" s="79"/>
      <c r="E52" s="79"/>
      <c r="G52" s="80"/>
      <c r="H52" s="80"/>
      <c r="I52" s="80"/>
      <c r="J52" s="93"/>
      <c r="K52" s="81"/>
    </row>
    <row r="53" customHeight="1" spans="1:11">
      <c r="A53" s="79"/>
      <c r="B53" s="79"/>
      <c r="C53" s="79"/>
      <c r="D53" s="79"/>
      <c r="E53" s="79"/>
      <c r="G53" s="81"/>
      <c r="H53" s="81"/>
      <c r="I53" s="81"/>
      <c r="J53" s="81"/>
      <c r="K53" s="81"/>
    </row>
    <row r="54" customHeight="1" spans="1:11">
      <c r="A54" s="79"/>
      <c r="B54" s="79"/>
      <c r="C54" s="79"/>
      <c r="D54" s="79"/>
      <c r="E54" s="79"/>
      <c r="G54" s="81"/>
      <c r="H54" s="81"/>
      <c r="I54" s="81"/>
      <c r="J54" s="81"/>
      <c r="K54" s="81"/>
    </row>
    <row r="55" customHeight="1" spans="1:11">
      <c r="A55" s="79"/>
      <c r="B55" s="79"/>
      <c r="C55" s="79"/>
      <c r="D55" s="79"/>
      <c r="E55" s="79"/>
      <c r="G55" s="81"/>
      <c r="H55" s="81"/>
      <c r="I55" s="81"/>
      <c r="J55" s="81"/>
      <c r="K55" s="81"/>
    </row>
    <row r="56" customHeight="1" spans="1:11">
      <c r="A56" s="79"/>
      <c r="B56" s="79"/>
      <c r="C56" s="79"/>
      <c r="D56" s="79"/>
      <c r="E56" s="79"/>
      <c r="G56" s="81"/>
      <c r="H56" s="81"/>
      <c r="I56" s="81"/>
      <c r="J56" s="81"/>
      <c r="K56" s="81"/>
    </row>
    <row r="57" customHeight="1" spans="1:11">
      <c r="A57" s="79"/>
      <c r="B57" s="79"/>
      <c r="C57" s="79"/>
      <c r="D57" s="79"/>
      <c r="E57" s="79"/>
      <c r="G57" s="81"/>
      <c r="H57" s="81"/>
      <c r="I57" s="81"/>
      <c r="J57" s="81"/>
      <c r="K57" s="81"/>
    </row>
    <row r="58" customHeight="1" spans="1:11">
      <c r="A58" s="79"/>
      <c r="B58" s="79"/>
      <c r="C58" s="79"/>
      <c r="D58" s="79"/>
      <c r="E58" s="79"/>
      <c r="G58" s="81"/>
      <c r="H58" s="81"/>
      <c r="I58" s="81"/>
      <c r="J58" s="81"/>
      <c r="K58" s="81"/>
    </row>
    <row r="59" customHeight="1" spans="1:11">
      <c r="A59" s="79"/>
      <c r="B59" s="79"/>
      <c r="C59" s="79"/>
      <c r="D59" s="79"/>
      <c r="E59" s="79"/>
      <c r="G59" s="81"/>
      <c r="H59" s="81"/>
      <c r="I59" s="81"/>
      <c r="J59" s="81"/>
      <c r="K59" s="81"/>
    </row>
    <row r="60" customHeight="1" spans="1:11">
      <c r="A60" s="79"/>
      <c r="B60" s="79"/>
      <c r="C60" s="79"/>
      <c r="D60" s="79"/>
      <c r="E60" s="79"/>
      <c r="G60" s="81"/>
      <c r="H60" s="81"/>
      <c r="I60" s="81"/>
      <c r="J60" s="81"/>
      <c r="K60" s="81"/>
    </row>
    <row r="61" customHeight="1" spans="1:11">
      <c r="A61" s="79"/>
      <c r="B61" s="79"/>
      <c r="C61" s="79"/>
      <c r="D61" s="79"/>
      <c r="E61" s="79"/>
      <c r="G61" s="81"/>
      <c r="H61" s="81"/>
      <c r="I61" s="81"/>
      <c r="J61" s="81"/>
      <c r="K61" s="81"/>
    </row>
    <row r="62" customHeight="1" spans="1:11">
      <c r="A62" s="79"/>
      <c r="B62" s="79"/>
      <c r="C62" s="79"/>
      <c r="D62" s="79"/>
      <c r="E62" s="79"/>
      <c r="G62" s="81"/>
      <c r="H62" s="81"/>
      <c r="I62" s="81"/>
      <c r="J62" s="81"/>
      <c r="K62" s="81"/>
    </row>
    <row r="63" customHeight="1" spans="1:11">
      <c r="A63" s="79"/>
      <c r="B63" s="79"/>
      <c r="C63" s="79"/>
      <c r="D63" s="79"/>
      <c r="E63" s="79"/>
      <c r="G63" s="81"/>
      <c r="H63" s="81"/>
      <c r="I63" s="81"/>
      <c r="J63" s="81"/>
      <c r="K63" s="81"/>
    </row>
    <row r="64" customHeight="1" spans="1:11">
      <c r="A64" s="79"/>
      <c r="B64" s="79"/>
      <c r="C64" s="79"/>
      <c r="D64" s="79"/>
      <c r="E64" s="79"/>
      <c r="G64" s="81"/>
      <c r="H64" s="81"/>
      <c r="I64" s="81"/>
      <c r="J64" s="81"/>
      <c r="K64" s="81"/>
    </row>
    <row r="65" customHeight="1" spans="1:11">
      <c r="A65" s="79"/>
      <c r="B65" s="79"/>
      <c r="C65" s="79"/>
      <c r="D65" s="79"/>
      <c r="E65" s="79"/>
      <c r="G65" s="81"/>
      <c r="H65" s="81"/>
      <c r="I65" s="81"/>
      <c r="J65" s="81"/>
      <c r="K65" s="81"/>
    </row>
    <row r="66" customHeight="1" spans="1:11">
      <c r="A66" s="79"/>
      <c r="B66" s="79"/>
      <c r="C66" s="79"/>
      <c r="D66" s="79"/>
      <c r="E66" s="79"/>
      <c r="G66" s="81"/>
      <c r="H66" s="81"/>
      <c r="I66" s="81"/>
      <c r="J66" s="81"/>
      <c r="K66" s="81"/>
    </row>
    <row r="67" customHeight="1" spans="1:11">
      <c r="A67" s="79"/>
      <c r="B67" s="79"/>
      <c r="C67" s="79"/>
      <c r="D67" s="79"/>
      <c r="E67" s="79"/>
      <c r="G67" s="81"/>
      <c r="H67" s="81"/>
      <c r="I67" s="81"/>
      <c r="J67" s="81"/>
      <c r="K67" s="81"/>
    </row>
    <row r="68" customHeight="1" spans="1:11">
      <c r="A68" s="79"/>
      <c r="B68" s="79"/>
      <c r="C68" s="79"/>
      <c r="D68" s="79"/>
      <c r="E68" s="79"/>
      <c r="G68" s="81"/>
      <c r="H68" s="81"/>
      <c r="I68" s="81"/>
      <c r="J68" s="81"/>
      <c r="K68" s="81"/>
    </row>
    <row r="69" customHeight="1" spans="1:11">
      <c r="A69" s="79"/>
      <c r="B69" s="79"/>
      <c r="C69" s="79"/>
      <c r="D69" s="79"/>
      <c r="E69" s="79"/>
      <c r="G69" s="81"/>
      <c r="H69" s="81"/>
      <c r="I69" s="81"/>
      <c r="J69" s="81"/>
      <c r="K69" s="81"/>
    </row>
    <row r="70" customHeight="1" spans="1:11">
      <c r="A70" s="79"/>
      <c r="B70" s="79"/>
      <c r="C70" s="79"/>
      <c r="D70" s="79"/>
      <c r="E70" s="79"/>
      <c r="G70" s="81"/>
      <c r="H70" s="81"/>
      <c r="I70" s="81"/>
      <c r="J70" s="81"/>
      <c r="K70" s="81"/>
    </row>
    <row r="71" customHeight="1" spans="1:11">
      <c r="A71" s="79"/>
      <c r="B71" s="79"/>
      <c r="C71" s="79"/>
      <c r="D71" s="79"/>
      <c r="E71" s="79"/>
      <c r="G71" s="81"/>
      <c r="H71" s="81"/>
      <c r="I71" s="81"/>
      <c r="J71" s="81"/>
      <c r="K71" s="81"/>
    </row>
    <row r="72" customHeight="1" spans="1:11">
      <c r="A72" s="79"/>
      <c r="B72" s="79"/>
      <c r="C72" s="79"/>
      <c r="D72" s="79"/>
      <c r="E72" s="79"/>
      <c r="G72" s="81"/>
      <c r="H72" s="81"/>
      <c r="I72" s="81"/>
      <c r="J72" s="81"/>
      <c r="K72" s="81"/>
    </row>
    <row r="73" customHeight="1" spans="1:11">
      <c r="A73" s="79"/>
      <c r="B73" s="79"/>
      <c r="C73" s="79"/>
      <c r="D73" s="79"/>
      <c r="E73" s="79"/>
      <c r="G73" s="81"/>
      <c r="H73" s="81"/>
      <c r="I73" s="81"/>
      <c r="J73" s="81"/>
      <c r="K73" s="81"/>
    </row>
    <row r="74" customHeight="1" spans="1:11">
      <c r="A74" s="79"/>
      <c r="B74" s="79"/>
      <c r="C74" s="79"/>
      <c r="D74" s="79"/>
      <c r="E74" s="79"/>
      <c r="G74" s="81"/>
      <c r="H74" s="81"/>
      <c r="I74" s="81"/>
      <c r="J74" s="81"/>
      <c r="K74" s="81"/>
    </row>
    <row r="75" customHeight="1" spans="1:11">
      <c r="A75" s="79"/>
      <c r="B75" s="79"/>
      <c r="C75" s="79"/>
      <c r="D75" s="79"/>
      <c r="E75" s="79"/>
      <c r="G75" s="81"/>
      <c r="H75" s="81"/>
      <c r="I75" s="81"/>
      <c r="J75" s="81"/>
      <c r="K75" s="81"/>
    </row>
    <row r="76" customHeight="1" spans="1:11">
      <c r="A76" s="79"/>
      <c r="B76" s="79"/>
      <c r="C76" s="79"/>
      <c r="D76" s="79"/>
      <c r="E76" s="79"/>
      <c r="G76" s="81"/>
      <c r="H76" s="81"/>
      <c r="I76" s="81"/>
      <c r="J76" s="81"/>
      <c r="K76" s="81"/>
    </row>
    <row r="77" customHeight="1" spans="1:11">
      <c r="A77" s="79"/>
      <c r="B77" s="79"/>
      <c r="C77" s="79"/>
      <c r="D77" s="79"/>
      <c r="E77" s="79"/>
      <c r="G77" s="81"/>
      <c r="H77" s="81"/>
      <c r="I77" s="81"/>
      <c r="J77" s="81"/>
      <c r="K77" s="81"/>
    </row>
    <row r="78" customHeight="1" spans="1:11">
      <c r="A78" s="79"/>
      <c r="B78" s="79"/>
      <c r="C78" s="79"/>
      <c r="D78" s="79"/>
      <c r="E78" s="79"/>
      <c r="G78" s="81"/>
      <c r="H78" s="81"/>
      <c r="I78" s="81"/>
      <c r="J78" s="81"/>
      <c r="K78" s="81"/>
    </row>
    <row r="79" customHeight="1" spans="1:11">
      <c r="A79" s="79"/>
      <c r="B79" s="79"/>
      <c r="C79" s="79"/>
      <c r="D79" s="79"/>
      <c r="E79" s="79"/>
      <c r="G79" s="81"/>
      <c r="H79" s="81"/>
      <c r="I79" s="81"/>
      <c r="J79" s="81"/>
      <c r="K79" s="81"/>
    </row>
    <row r="80" customHeight="1" spans="1:11">
      <c r="A80" s="79"/>
      <c r="B80" s="79"/>
      <c r="C80" s="79"/>
      <c r="D80" s="79"/>
      <c r="E80" s="79"/>
      <c r="G80" s="81"/>
      <c r="H80" s="81"/>
      <c r="I80" s="81"/>
      <c r="J80" s="81"/>
      <c r="K80" s="81"/>
    </row>
    <row r="81" customHeight="1" spans="1:11">
      <c r="A81" s="79"/>
      <c r="B81" s="79"/>
      <c r="C81" s="79"/>
      <c r="D81" s="79"/>
      <c r="E81" s="79"/>
      <c r="G81" s="81"/>
      <c r="H81" s="81"/>
      <c r="I81" s="81"/>
      <c r="J81" s="81"/>
      <c r="K81" s="81"/>
    </row>
    <row r="82" customHeight="1" spans="1:11">
      <c r="A82" s="79"/>
      <c r="B82" s="79"/>
      <c r="C82" s="79"/>
      <c r="D82" s="79"/>
      <c r="E82" s="79"/>
      <c r="G82" s="81"/>
      <c r="H82" s="81"/>
      <c r="I82" s="81"/>
      <c r="J82" s="81"/>
      <c r="K82" s="81"/>
    </row>
    <row r="83" customHeight="1" spans="1:11">
      <c r="A83" s="79"/>
      <c r="B83" s="79"/>
      <c r="C83" s="79"/>
      <c r="D83" s="79"/>
      <c r="E83" s="79"/>
      <c r="G83" s="81"/>
      <c r="H83" s="81"/>
      <c r="I83" s="81"/>
      <c r="J83" s="81"/>
      <c r="K83" s="81"/>
    </row>
    <row r="84" customHeight="1" spans="1:11">
      <c r="A84" s="79"/>
      <c r="B84" s="79"/>
      <c r="C84" s="79"/>
      <c r="D84" s="79"/>
      <c r="E84" s="79"/>
      <c r="G84" s="81"/>
      <c r="H84" s="81"/>
      <c r="I84" s="81"/>
      <c r="J84" s="81"/>
      <c r="K84" s="81"/>
    </row>
    <row r="85" customHeight="1" spans="1:11">
      <c r="A85" s="79"/>
      <c r="B85" s="79"/>
      <c r="C85" s="79"/>
      <c r="D85" s="79"/>
      <c r="E85" s="79"/>
      <c r="G85" s="81"/>
      <c r="H85" s="81"/>
      <c r="I85" s="81"/>
      <c r="J85" s="81"/>
      <c r="K85" s="81"/>
    </row>
    <row r="86" customHeight="1" spans="1:11">
      <c r="A86" s="79"/>
      <c r="B86" s="79"/>
      <c r="C86" s="79"/>
      <c r="D86" s="79"/>
      <c r="E86" s="79"/>
      <c r="G86" s="81"/>
      <c r="H86" s="81"/>
      <c r="I86" s="81"/>
      <c r="J86" s="81"/>
      <c r="K86" s="81"/>
    </row>
    <row r="87" customHeight="1" spans="1:11">
      <c r="A87" s="79"/>
      <c r="B87" s="79"/>
      <c r="C87" s="79"/>
      <c r="D87" s="79"/>
      <c r="E87" s="79"/>
      <c r="G87" s="81"/>
      <c r="H87" s="81"/>
      <c r="I87" s="81"/>
      <c r="J87" s="81"/>
      <c r="K87" s="81"/>
    </row>
    <row r="88" customHeight="1" spans="1:11">
      <c r="A88" s="79"/>
      <c r="B88" s="79"/>
      <c r="C88" s="79"/>
      <c r="D88" s="79"/>
      <c r="E88" s="79"/>
      <c r="G88" s="81"/>
      <c r="H88" s="81"/>
      <c r="I88" s="81"/>
      <c r="J88" s="81"/>
      <c r="K88" s="81"/>
    </row>
    <row r="89" customHeight="1" spans="1:11">
      <c r="A89" s="79"/>
      <c r="B89" s="79"/>
      <c r="C89" s="79"/>
      <c r="D89" s="79"/>
      <c r="E89" s="79"/>
      <c r="G89" s="81"/>
      <c r="H89" s="81"/>
      <c r="I89" s="81"/>
      <c r="J89" s="81"/>
      <c r="K89" s="81"/>
    </row>
    <row r="90" customHeight="1" spans="1:11">
      <c r="A90" s="79"/>
      <c r="B90" s="79"/>
      <c r="C90" s="79"/>
      <c r="D90" s="79"/>
      <c r="E90" s="79"/>
      <c r="G90" s="81"/>
      <c r="H90" s="81"/>
      <c r="I90" s="81"/>
      <c r="J90" s="81"/>
      <c r="K90" s="81"/>
    </row>
    <row r="91" customHeight="1" spans="1:11">
      <c r="A91" s="79"/>
      <c r="B91" s="79"/>
      <c r="C91" s="79"/>
      <c r="D91" s="79"/>
      <c r="E91" s="79"/>
      <c r="G91" s="81"/>
      <c r="H91" s="81"/>
      <c r="I91" s="81"/>
      <c r="J91" s="81"/>
      <c r="K91" s="81"/>
    </row>
    <row r="92" customHeight="1" spans="1:11">
      <c r="A92" s="79"/>
      <c r="B92" s="79"/>
      <c r="C92" s="79"/>
      <c r="D92" s="79"/>
      <c r="E92" s="79"/>
      <c r="G92" s="81"/>
      <c r="H92" s="81"/>
      <c r="I92" s="81"/>
      <c r="J92" s="81"/>
      <c r="K92" s="81"/>
    </row>
    <row r="93" customHeight="1" spans="1:11">
      <c r="A93" s="79"/>
      <c r="B93" s="79"/>
      <c r="C93" s="79"/>
      <c r="D93" s="79"/>
      <c r="E93" s="79"/>
      <c r="G93" s="81"/>
      <c r="H93" s="81"/>
      <c r="I93" s="81"/>
      <c r="J93" s="81"/>
      <c r="K93" s="81"/>
    </row>
    <row r="94" customHeight="1" spans="1:11">
      <c r="A94" s="79"/>
      <c r="B94" s="79"/>
      <c r="C94" s="79"/>
      <c r="D94" s="79"/>
      <c r="E94" s="79"/>
      <c r="G94" s="81"/>
      <c r="H94" s="81"/>
      <c r="I94" s="81"/>
      <c r="J94" s="81"/>
      <c r="K94" s="81"/>
    </row>
    <row r="95" customHeight="1" spans="1:11">
      <c r="A95" s="79"/>
      <c r="B95" s="79"/>
      <c r="C95" s="79"/>
      <c r="D95" s="79"/>
      <c r="E95" s="79"/>
      <c r="G95" s="81"/>
      <c r="H95" s="81"/>
      <c r="I95" s="81"/>
      <c r="J95" s="81"/>
      <c r="K95" s="81"/>
    </row>
    <row r="96" customHeight="1" spans="1:11">
      <c r="A96" s="79"/>
      <c r="B96" s="79"/>
      <c r="C96" s="79"/>
      <c r="D96" s="79"/>
      <c r="E96" s="79"/>
      <c r="G96" s="81"/>
      <c r="H96" s="81"/>
      <c r="I96" s="81"/>
      <c r="J96" s="81"/>
      <c r="K96" s="81"/>
    </row>
    <row r="97" customHeight="1" spans="1:11">
      <c r="A97" s="79"/>
      <c r="B97" s="79"/>
      <c r="C97" s="79"/>
      <c r="D97" s="79"/>
      <c r="E97" s="79"/>
      <c r="G97" s="81"/>
      <c r="H97" s="81"/>
      <c r="I97" s="81"/>
      <c r="J97" s="81"/>
      <c r="K97" s="81"/>
    </row>
    <row r="98" customHeight="1" spans="1:11">
      <c r="A98" s="79"/>
      <c r="B98" s="79"/>
      <c r="C98" s="79"/>
      <c r="D98" s="79"/>
      <c r="E98" s="79"/>
      <c r="G98" s="81"/>
      <c r="H98" s="81"/>
      <c r="I98" s="81"/>
      <c r="J98" s="81"/>
      <c r="K98" s="81"/>
    </row>
    <row r="99" customHeight="1" spans="1:11">
      <c r="A99" s="79"/>
      <c r="B99" s="79"/>
      <c r="C99" s="79"/>
      <c r="D99" s="79"/>
      <c r="E99" s="79"/>
      <c r="G99" s="81"/>
      <c r="H99" s="81"/>
      <c r="I99" s="81"/>
      <c r="J99" s="81"/>
      <c r="K99" s="81"/>
    </row>
    <row r="100" customHeight="1" spans="1:11">
      <c r="A100" s="79"/>
      <c r="B100" s="79"/>
      <c r="C100" s="79"/>
      <c r="D100" s="79"/>
      <c r="E100" s="79"/>
      <c r="G100" s="81"/>
      <c r="H100" s="81"/>
      <c r="I100" s="81"/>
      <c r="J100" s="81"/>
      <c r="K100" s="81"/>
    </row>
    <row r="101" customHeight="1" spans="1:11">
      <c r="A101" s="79"/>
      <c r="B101" s="79"/>
      <c r="C101" s="79"/>
      <c r="D101" s="79"/>
      <c r="E101" s="79"/>
      <c r="G101" s="81"/>
      <c r="H101" s="81"/>
      <c r="I101" s="81"/>
      <c r="J101" s="81"/>
      <c r="K101" s="81"/>
    </row>
    <row r="102" customHeight="1" spans="1:11">
      <c r="A102" s="79"/>
      <c r="B102" s="79"/>
      <c r="C102" s="79"/>
      <c r="D102" s="79"/>
      <c r="E102" s="79"/>
      <c r="G102" s="81"/>
      <c r="H102" s="81"/>
      <c r="I102" s="81"/>
      <c r="J102" s="81"/>
      <c r="K102" s="81"/>
    </row>
    <row r="103" customHeight="1" spans="1:11">
      <c r="A103" s="79"/>
      <c r="B103" s="79"/>
      <c r="C103" s="79"/>
      <c r="D103" s="79"/>
      <c r="E103" s="79"/>
      <c r="G103" s="81"/>
      <c r="H103" s="81"/>
      <c r="I103" s="81"/>
      <c r="J103" s="81"/>
      <c r="K103" s="81"/>
    </row>
    <row r="104" customHeight="1" spans="1:11">
      <c r="A104" s="79"/>
      <c r="B104" s="79"/>
      <c r="C104" s="79"/>
      <c r="D104" s="79"/>
      <c r="E104" s="79"/>
      <c r="G104" s="81"/>
      <c r="H104" s="81"/>
      <c r="I104" s="81"/>
      <c r="J104" s="81"/>
      <c r="K104" s="81"/>
    </row>
    <row r="105" customHeight="1" spans="1:11">
      <c r="A105" s="79"/>
      <c r="B105" s="79"/>
      <c r="C105" s="79"/>
      <c r="D105" s="79"/>
      <c r="E105" s="79"/>
      <c r="G105" s="81"/>
      <c r="H105" s="81"/>
      <c r="I105" s="81"/>
      <c r="J105" s="81"/>
      <c r="K105" s="81"/>
    </row>
    <row r="106" customHeight="1" spans="1:11">
      <c r="A106" s="79"/>
      <c r="B106" s="79"/>
      <c r="C106" s="79"/>
      <c r="D106" s="79"/>
      <c r="E106" s="79"/>
      <c r="G106" s="81"/>
      <c r="H106" s="81"/>
      <c r="I106" s="81"/>
      <c r="J106" s="81"/>
      <c r="K106" s="81"/>
    </row>
    <row r="107" customHeight="1" spans="1:11">
      <c r="A107" s="79"/>
      <c r="B107" s="79"/>
      <c r="C107" s="79"/>
      <c r="D107" s="79"/>
      <c r="E107" s="79"/>
      <c r="G107" s="81"/>
      <c r="H107" s="81"/>
      <c r="I107" s="81"/>
      <c r="J107" s="81"/>
      <c r="K107" s="81"/>
    </row>
    <row r="108" customHeight="1" spans="1:11">
      <c r="A108" s="79"/>
      <c r="B108" s="79"/>
      <c r="C108" s="79"/>
      <c r="D108" s="79"/>
      <c r="E108" s="79"/>
      <c r="G108" s="81"/>
      <c r="H108" s="81"/>
      <c r="I108" s="81"/>
      <c r="J108" s="81"/>
      <c r="K108" s="81"/>
    </row>
    <row r="109" customHeight="1" spans="1:11">
      <c r="A109" s="79"/>
      <c r="B109" s="79"/>
      <c r="C109" s="79"/>
      <c r="D109" s="79"/>
      <c r="E109" s="79"/>
      <c r="G109" s="81"/>
      <c r="H109" s="81"/>
      <c r="I109" s="81"/>
      <c r="J109" s="81"/>
      <c r="K109" s="81"/>
    </row>
    <row r="110" customHeight="1" spans="1:11">
      <c r="A110" s="79"/>
      <c r="B110" s="79"/>
      <c r="C110" s="79"/>
      <c r="D110" s="79"/>
      <c r="E110" s="79"/>
      <c r="G110" s="81"/>
      <c r="H110" s="81"/>
      <c r="I110" s="81"/>
      <c r="J110" s="81"/>
      <c r="K110" s="81"/>
    </row>
    <row r="111" customHeight="1" spans="1:11">
      <c r="A111" s="79"/>
      <c r="B111" s="79"/>
      <c r="C111" s="79"/>
      <c r="D111" s="79"/>
      <c r="E111" s="79"/>
      <c r="G111" s="81"/>
      <c r="H111" s="81"/>
      <c r="I111" s="81"/>
      <c r="J111" s="81"/>
      <c r="K111" s="81"/>
    </row>
    <row r="112" customHeight="1" spans="1:11">
      <c r="A112" s="79"/>
      <c r="B112" s="79"/>
      <c r="C112" s="79"/>
      <c r="D112" s="79"/>
      <c r="E112" s="79"/>
      <c r="G112" s="81"/>
      <c r="H112" s="81"/>
      <c r="I112" s="81"/>
      <c r="J112" s="81"/>
      <c r="K112" s="81"/>
    </row>
    <row r="113" customHeight="1" spans="1:11">
      <c r="A113" s="79"/>
      <c r="B113" s="79"/>
      <c r="C113" s="79"/>
      <c r="D113" s="79"/>
      <c r="E113" s="79"/>
      <c r="G113" s="81"/>
      <c r="H113" s="81"/>
      <c r="I113" s="81"/>
      <c r="J113" s="81"/>
      <c r="K113" s="81"/>
    </row>
    <row r="114" customHeight="1" spans="1:11">
      <c r="A114" s="79"/>
      <c r="B114" s="79"/>
      <c r="C114" s="79"/>
      <c r="D114" s="79"/>
      <c r="E114" s="79"/>
      <c r="G114" s="81"/>
      <c r="H114" s="81"/>
      <c r="I114" s="81"/>
      <c r="J114" s="81"/>
      <c r="K114" s="81"/>
    </row>
    <row r="115" customHeight="1" spans="1:11">
      <c r="A115" s="79"/>
      <c r="B115" s="79"/>
      <c r="C115" s="79"/>
      <c r="D115" s="79"/>
      <c r="E115" s="79"/>
      <c r="G115" s="81"/>
      <c r="H115" s="81"/>
      <c r="I115" s="81"/>
      <c r="J115" s="81"/>
      <c r="K115" s="81"/>
    </row>
    <row r="116" customHeight="1" spans="1:11">
      <c r="A116" s="79"/>
      <c r="B116" s="79"/>
      <c r="C116" s="79"/>
      <c r="D116" s="79"/>
      <c r="E116" s="79"/>
      <c r="G116" s="81"/>
      <c r="H116" s="81"/>
      <c r="I116" s="81"/>
      <c r="J116" s="81"/>
      <c r="K116" s="81"/>
    </row>
    <row r="117" customHeight="1" spans="1:11">
      <c r="A117" s="79"/>
      <c r="B117" s="79"/>
      <c r="C117" s="79"/>
      <c r="D117" s="79"/>
      <c r="E117" s="79"/>
      <c r="G117" s="81"/>
      <c r="H117" s="81"/>
      <c r="I117" s="81"/>
      <c r="J117" s="81"/>
      <c r="K117" s="81"/>
    </row>
    <row r="118" customHeight="1" spans="1:11">
      <c r="A118" s="79"/>
      <c r="B118" s="79"/>
      <c r="C118" s="79"/>
      <c r="D118" s="79"/>
      <c r="E118" s="79"/>
      <c r="G118" s="81"/>
      <c r="H118" s="81"/>
      <c r="I118" s="81"/>
      <c r="J118" s="81"/>
      <c r="K118" s="81"/>
    </row>
    <row r="119" customHeight="1" spans="1:11">
      <c r="A119" s="79"/>
      <c r="B119" s="79"/>
      <c r="C119" s="79"/>
      <c r="D119" s="79"/>
      <c r="E119" s="79"/>
      <c r="G119" s="81"/>
      <c r="H119" s="81"/>
      <c r="I119" s="81"/>
      <c r="J119" s="81"/>
      <c r="K119" s="81"/>
    </row>
    <row r="120" customHeight="1" spans="1:11">
      <c r="A120" s="79"/>
      <c r="B120" s="79"/>
      <c r="C120" s="79"/>
      <c r="D120" s="79"/>
      <c r="E120" s="79"/>
      <c r="G120" s="81"/>
      <c r="H120" s="81"/>
      <c r="I120" s="81"/>
      <c r="J120" s="81"/>
      <c r="K120" s="81"/>
    </row>
    <row r="121" customHeight="1" spans="1:11">
      <c r="A121" s="79"/>
      <c r="B121" s="79"/>
      <c r="C121" s="79"/>
      <c r="D121" s="79"/>
      <c r="E121" s="79"/>
      <c r="G121" s="81"/>
      <c r="H121" s="81"/>
      <c r="I121" s="81"/>
      <c r="J121" s="81"/>
      <c r="K121" s="81"/>
    </row>
    <row r="122" customHeight="1" spans="1:11">
      <c r="A122" s="79"/>
      <c r="B122" s="79"/>
      <c r="C122" s="79"/>
      <c r="D122" s="79"/>
      <c r="E122" s="79"/>
      <c r="G122" s="81"/>
      <c r="H122" s="81"/>
      <c r="I122" s="81"/>
      <c r="J122" s="81"/>
      <c r="K122" s="81"/>
    </row>
    <row r="123" customHeight="1" spans="1:11">
      <c r="A123" s="79"/>
      <c r="B123" s="79"/>
      <c r="C123" s="79"/>
      <c r="D123" s="79"/>
      <c r="E123" s="79"/>
      <c r="G123" s="81"/>
      <c r="H123" s="81"/>
      <c r="I123" s="81"/>
      <c r="J123" s="81"/>
      <c r="K123" s="81"/>
    </row>
    <row r="124" customHeight="1" spans="1:11">
      <c r="A124" s="79"/>
      <c r="B124" s="79"/>
      <c r="C124" s="79"/>
      <c r="D124" s="79"/>
      <c r="E124" s="79"/>
      <c r="G124" s="81"/>
      <c r="H124" s="81"/>
      <c r="I124" s="81"/>
      <c r="J124" s="81"/>
      <c r="K124" s="81"/>
    </row>
    <row r="125" customHeight="1" spans="1:11">
      <c r="A125" s="79"/>
      <c r="B125" s="79"/>
      <c r="C125" s="79"/>
      <c r="D125" s="79"/>
      <c r="E125" s="79"/>
      <c r="G125" s="81"/>
      <c r="H125" s="81"/>
      <c r="I125" s="81"/>
      <c r="J125" s="81"/>
      <c r="K125" s="81"/>
    </row>
    <row r="126" customHeight="1" spans="1:11">
      <c r="A126" s="79"/>
      <c r="B126" s="79"/>
      <c r="C126" s="79"/>
      <c r="D126" s="79"/>
      <c r="E126" s="79"/>
      <c r="G126" s="81"/>
      <c r="H126" s="81"/>
      <c r="I126" s="81"/>
      <c r="J126" s="81"/>
      <c r="K126" s="81"/>
    </row>
    <row r="127" customHeight="1" spans="1:11">
      <c r="A127" s="79"/>
      <c r="B127" s="79"/>
      <c r="C127" s="79"/>
      <c r="D127" s="79"/>
      <c r="E127" s="79"/>
      <c r="G127" s="81"/>
      <c r="H127" s="81"/>
      <c r="I127" s="81"/>
      <c r="J127" s="81"/>
      <c r="K127" s="81"/>
    </row>
    <row r="128" customHeight="1" spans="1:11">
      <c r="A128" s="79"/>
      <c r="B128" s="79"/>
      <c r="C128" s="79"/>
      <c r="D128" s="79"/>
      <c r="E128" s="79"/>
      <c r="G128" s="81"/>
      <c r="H128" s="81"/>
      <c r="I128" s="81"/>
      <c r="J128" s="81"/>
      <c r="K128" s="81"/>
    </row>
    <row r="129" customHeight="1" spans="1:11">
      <c r="A129" s="79"/>
      <c r="B129" s="79"/>
      <c r="C129" s="79"/>
      <c r="D129" s="79"/>
      <c r="E129" s="79"/>
      <c r="G129" s="81"/>
      <c r="H129" s="81"/>
      <c r="I129" s="81"/>
      <c r="J129" s="81"/>
      <c r="K129" s="81"/>
    </row>
    <row r="130" customHeight="1" spans="1:11">
      <c r="A130" s="79"/>
      <c r="B130" s="79"/>
      <c r="C130" s="79"/>
      <c r="D130" s="79"/>
      <c r="E130" s="79"/>
      <c r="G130" s="81"/>
      <c r="H130" s="81"/>
      <c r="I130" s="81"/>
      <c r="J130" s="81"/>
      <c r="K130" s="81"/>
    </row>
    <row r="131" customHeight="1" spans="1:11">
      <c r="A131" s="79"/>
      <c r="B131" s="79"/>
      <c r="C131" s="79"/>
      <c r="D131" s="79"/>
      <c r="E131" s="79"/>
      <c r="G131" s="81"/>
      <c r="H131" s="81"/>
      <c r="I131" s="81"/>
      <c r="J131" s="81"/>
      <c r="K131" s="81"/>
    </row>
    <row r="132" customHeight="1" spans="1:11">
      <c r="A132" s="79"/>
      <c r="B132" s="79"/>
      <c r="C132" s="79"/>
      <c r="D132" s="79"/>
      <c r="E132" s="79"/>
      <c r="G132" s="81"/>
      <c r="H132" s="81"/>
      <c r="I132" s="81"/>
      <c r="J132" s="81"/>
      <c r="K132" s="81"/>
    </row>
    <row r="133" customHeight="1" spans="7:11">
      <c r="G133" s="81"/>
      <c r="H133" s="81"/>
      <c r="I133" s="81"/>
      <c r="J133" s="81"/>
      <c r="K133" s="81"/>
    </row>
    <row r="134" customHeight="1" spans="7:11">
      <c r="G134" s="81"/>
      <c r="H134" s="81"/>
      <c r="I134" s="81"/>
      <c r="J134" s="81"/>
      <c r="K134" s="81"/>
    </row>
    <row r="135" customHeight="1" spans="7:11">
      <c r="G135" s="81"/>
      <c r="H135" s="81"/>
      <c r="I135" s="81"/>
      <c r="J135" s="81"/>
      <c r="K135" s="81"/>
    </row>
    <row r="136" customHeight="1" spans="7:11">
      <c r="G136" s="81"/>
      <c r="H136" s="81"/>
      <c r="I136" s="81"/>
      <c r="J136" s="81"/>
      <c r="K136" s="81"/>
    </row>
    <row r="137" customHeight="1" spans="7:11">
      <c r="G137" s="81"/>
      <c r="H137" s="81"/>
      <c r="I137" s="81"/>
      <c r="J137" s="81"/>
      <c r="K137" s="81"/>
    </row>
    <row r="138" customHeight="1" spans="7:11">
      <c r="G138" s="81"/>
      <c r="H138" s="81"/>
      <c r="I138" s="81"/>
      <c r="J138" s="81"/>
      <c r="K138" s="81"/>
    </row>
  </sheetData>
  <mergeCells count="1">
    <mergeCell ref="A1:E1"/>
  </mergeCells>
  <pageMargins left="1.33680555555556" right="0.747916666666667" top="0.984027777777778" bottom="0.984027777777778" header="0.510416666666667" footer="0.510416666666667"/>
  <pageSetup paperSize="9" orientation="portrait" horizontalDpi="300" verticalDpi="300"/>
  <headerFooter alignWithMargins="0" scaleWithDoc="0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103"/>
  <sheetViews>
    <sheetView workbookViewId="0">
      <selection activeCell="D122" sqref="D122"/>
    </sheetView>
  </sheetViews>
  <sheetFormatPr defaultColWidth="9" defaultRowHeight="15.75"/>
  <cols>
    <col min="1" max="33" width="9" style="1"/>
  </cols>
  <sheetData>
    <row r="1" ht="18.75" spans="1:33">
      <c r="A1" s="2" t="s">
        <v>0</v>
      </c>
      <c r="B1" s="2"/>
      <c r="C1" s="3"/>
      <c r="D1" s="3"/>
      <c r="E1" s="3"/>
      <c r="F1" s="3"/>
      <c r="G1" s="3"/>
      <c r="H1" s="3"/>
      <c r="I1" s="3"/>
      <c r="J1" s="2" t="s">
        <v>0</v>
      </c>
      <c r="K1" s="2"/>
      <c r="L1" s="3"/>
      <c r="M1" s="3"/>
      <c r="N1" s="3"/>
      <c r="O1" s="3"/>
      <c r="P1" s="3"/>
      <c r="Q1" s="3"/>
      <c r="R1" s="3"/>
      <c r="S1" s="40" t="s">
        <v>1</v>
      </c>
      <c r="T1" s="40"/>
      <c r="U1" s="41"/>
      <c r="V1" s="41"/>
      <c r="W1" s="41"/>
      <c r="X1" s="41"/>
      <c r="Y1" s="41"/>
      <c r="Z1" s="41" t="s">
        <v>2</v>
      </c>
      <c r="AA1" s="41"/>
      <c r="AB1" s="34"/>
      <c r="AC1" s="34"/>
      <c r="AD1" s="34"/>
      <c r="AE1" s="34"/>
      <c r="AF1" s="34"/>
      <c r="AG1" s="34"/>
    </row>
    <row r="2" ht="14.25" spans="1:33">
      <c r="A2" s="4"/>
      <c r="B2" s="4"/>
      <c r="C2" s="4"/>
      <c r="D2" s="4"/>
      <c r="E2" s="5" t="s">
        <v>3</v>
      </c>
      <c r="F2" s="6">
        <v>10000</v>
      </c>
      <c r="G2" s="4" t="s">
        <v>4</v>
      </c>
      <c r="H2" s="4" t="s">
        <v>5</v>
      </c>
      <c r="I2" s="4"/>
      <c r="J2" s="4"/>
      <c r="K2" s="4"/>
      <c r="L2" s="4"/>
      <c r="M2" s="4"/>
      <c r="N2" s="5" t="s">
        <v>3</v>
      </c>
      <c r="O2" s="32">
        <v>12000</v>
      </c>
      <c r="P2" s="4" t="s">
        <v>4</v>
      </c>
      <c r="Q2" s="4" t="s">
        <v>6</v>
      </c>
      <c r="R2" s="4">
        <f>O2/1000*AA5</f>
        <v>2.4996</v>
      </c>
      <c r="S2" s="42"/>
      <c r="T2" s="42"/>
      <c r="U2" s="41"/>
      <c r="V2" s="41"/>
      <c r="W2" s="41"/>
      <c r="X2" s="41"/>
      <c r="Y2" s="41"/>
      <c r="Z2" s="41"/>
      <c r="AA2" s="41"/>
      <c r="AB2" s="34"/>
      <c r="AC2" s="34"/>
      <c r="AD2" s="34"/>
      <c r="AE2" s="34"/>
      <c r="AF2" s="34"/>
      <c r="AG2" s="34"/>
    </row>
    <row r="3" ht="14.25" spans="1:33">
      <c r="A3" s="7" t="s">
        <v>7</v>
      </c>
      <c r="B3" s="7"/>
      <c r="C3" s="7" t="s">
        <v>8</v>
      </c>
      <c r="D3" s="7"/>
      <c r="E3" s="7"/>
      <c r="F3" s="7"/>
      <c r="G3" s="7"/>
      <c r="H3" s="7"/>
      <c r="I3" s="7"/>
      <c r="J3" s="7" t="s">
        <v>7</v>
      </c>
      <c r="K3" s="7"/>
      <c r="L3" s="7" t="s">
        <v>8</v>
      </c>
      <c r="M3" s="7"/>
      <c r="N3" s="7"/>
      <c r="O3" s="7"/>
      <c r="P3" s="7"/>
      <c r="Q3" s="7"/>
      <c r="R3" s="7"/>
      <c r="S3" s="43" t="s">
        <v>9</v>
      </c>
      <c r="T3" s="44" t="s">
        <v>10</v>
      </c>
      <c r="U3" s="45"/>
      <c r="V3" s="45"/>
      <c r="W3" s="45"/>
      <c r="X3" s="45"/>
      <c r="Y3" s="45"/>
      <c r="Z3" s="45"/>
      <c r="AA3" s="52"/>
      <c r="AB3" s="34"/>
      <c r="AC3" s="34"/>
      <c r="AD3" s="34"/>
      <c r="AE3" s="34"/>
      <c r="AF3" s="34"/>
      <c r="AG3" s="34"/>
    </row>
    <row r="4" ht="14.25" spans="1:33">
      <c r="A4" s="7"/>
      <c r="B4" s="8" t="s">
        <v>11</v>
      </c>
      <c r="C4" s="9" t="s">
        <v>12</v>
      </c>
      <c r="D4" s="9" t="s">
        <v>13</v>
      </c>
      <c r="E4" s="9" t="s">
        <v>14</v>
      </c>
      <c r="F4" s="9" t="s">
        <v>15</v>
      </c>
      <c r="G4" s="9" t="s">
        <v>16</v>
      </c>
      <c r="H4" s="9" t="s">
        <v>17</v>
      </c>
      <c r="I4" s="9" t="s">
        <v>18</v>
      </c>
      <c r="J4" s="7"/>
      <c r="K4" s="33" t="s">
        <v>11</v>
      </c>
      <c r="L4" s="9" t="s">
        <v>12</v>
      </c>
      <c r="M4" s="9" t="s">
        <v>13</v>
      </c>
      <c r="N4" s="9" t="s">
        <v>14</v>
      </c>
      <c r="O4" s="9" t="s">
        <v>15</v>
      </c>
      <c r="P4" s="9" t="s">
        <v>16</v>
      </c>
      <c r="Q4" s="9" t="s">
        <v>17</v>
      </c>
      <c r="R4" s="9" t="s">
        <v>18</v>
      </c>
      <c r="S4" s="46"/>
      <c r="T4" s="33" t="s">
        <v>11</v>
      </c>
      <c r="U4" s="33" t="s">
        <v>12</v>
      </c>
      <c r="V4" s="33" t="s">
        <v>13</v>
      </c>
      <c r="W4" s="33" t="s">
        <v>14</v>
      </c>
      <c r="X4" s="33" t="s">
        <v>15</v>
      </c>
      <c r="Y4" s="33" t="s">
        <v>16</v>
      </c>
      <c r="Z4" s="33" t="s">
        <v>17</v>
      </c>
      <c r="AA4" s="33" t="s">
        <v>18</v>
      </c>
      <c r="AB4" s="34"/>
      <c r="AC4" s="34"/>
      <c r="AD4" s="34"/>
      <c r="AE4" s="34"/>
      <c r="AF4" s="34"/>
      <c r="AG4" s="34"/>
    </row>
    <row r="5" ht="15" spans="1:33">
      <c r="A5" s="7" t="s">
        <v>19</v>
      </c>
      <c r="B5" s="7"/>
      <c r="C5" s="10"/>
      <c r="D5" s="10"/>
      <c r="E5" s="10"/>
      <c r="F5" s="10"/>
      <c r="G5" s="10"/>
      <c r="H5" s="11">
        <f t="shared" ref="H5:I20" si="0">Q5*1000</f>
        <v>2200</v>
      </c>
      <c r="I5" s="11">
        <f t="shared" si="0"/>
        <v>2500</v>
      </c>
      <c r="J5" s="7" t="s">
        <v>19</v>
      </c>
      <c r="K5" s="7"/>
      <c r="L5" s="10"/>
      <c r="M5" s="10"/>
      <c r="N5" s="10"/>
      <c r="O5" s="10"/>
      <c r="P5" s="10"/>
      <c r="Q5" s="19">
        <f t="shared" ref="Q5:R20" si="1">ROUND($O$2*Z5/1000,2)</f>
        <v>2.2</v>
      </c>
      <c r="R5" s="47">
        <f t="shared" si="1"/>
        <v>2.5</v>
      </c>
      <c r="S5" s="33" t="s">
        <v>19</v>
      </c>
      <c r="T5" s="33"/>
      <c r="U5" s="48"/>
      <c r="V5" s="48"/>
      <c r="W5" s="48"/>
      <c r="X5" s="48"/>
      <c r="Y5" s="48"/>
      <c r="Z5" s="48">
        <v>0.1833</v>
      </c>
      <c r="AA5" s="48">
        <v>0.2083</v>
      </c>
      <c r="AB5" s="34"/>
      <c r="AC5" s="34"/>
      <c r="AD5" s="34"/>
      <c r="AE5" s="34"/>
      <c r="AF5" s="34"/>
      <c r="AG5" s="34"/>
    </row>
    <row r="6" ht="15" spans="1:33">
      <c r="A6" s="7" t="s">
        <v>20</v>
      </c>
      <c r="B6" s="7"/>
      <c r="C6" s="10"/>
      <c r="D6" s="10"/>
      <c r="E6" s="10"/>
      <c r="F6" s="10"/>
      <c r="G6" s="11">
        <f t="shared" ref="G6:H26" si="2">P6*1000</f>
        <v>2770</v>
      </c>
      <c r="H6" s="11">
        <f t="shared" si="0"/>
        <v>3220</v>
      </c>
      <c r="I6" s="11">
        <f t="shared" si="0"/>
        <v>3760</v>
      </c>
      <c r="J6" s="7" t="s">
        <v>20</v>
      </c>
      <c r="K6" s="7"/>
      <c r="L6" s="10"/>
      <c r="M6" s="10"/>
      <c r="N6" s="10"/>
      <c r="O6" s="10"/>
      <c r="P6" s="19">
        <f t="shared" ref="P6:Q26" si="3">ROUND($O$2*Y6/1000,2)</f>
        <v>2.77</v>
      </c>
      <c r="Q6" s="19">
        <f t="shared" si="1"/>
        <v>3.22</v>
      </c>
      <c r="R6" s="19">
        <f t="shared" si="1"/>
        <v>3.76</v>
      </c>
      <c r="S6" s="33" t="s">
        <v>20</v>
      </c>
      <c r="T6" s="33"/>
      <c r="U6" s="48"/>
      <c r="V6" s="48"/>
      <c r="W6" s="48"/>
      <c r="X6" s="48"/>
      <c r="Y6" s="48">
        <v>0.2311</v>
      </c>
      <c r="Z6" s="48">
        <v>0.268</v>
      </c>
      <c r="AA6" s="48">
        <v>0.3135</v>
      </c>
      <c r="AB6" s="34"/>
      <c r="AC6" s="34"/>
      <c r="AD6" s="34"/>
      <c r="AE6" s="34"/>
      <c r="AF6" s="34"/>
      <c r="AG6" s="34"/>
    </row>
    <row r="7" ht="15" spans="1:33">
      <c r="A7" s="7" t="s">
        <v>21</v>
      </c>
      <c r="B7" s="7"/>
      <c r="C7" s="10"/>
      <c r="D7" s="10"/>
      <c r="E7" s="10"/>
      <c r="F7" s="11">
        <f t="shared" ref="F7:F26" si="4">O7*1000</f>
        <v>3630</v>
      </c>
      <c r="G7" s="11">
        <f t="shared" si="2"/>
        <v>4310</v>
      </c>
      <c r="H7" s="11">
        <f t="shared" si="0"/>
        <v>5110</v>
      </c>
      <c r="I7" s="11">
        <f t="shared" si="0"/>
        <v>6160</v>
      </c>
      <c r="J7" s="7" t="s">
        <v>21</v>
      </c>
      <c r="K7" s="7"/>
      <c r="L7" s="10"/>
      <c r="M7" s="10"/>
      <c r="N7" s="10"/>
      <c r="O7" s="19">
        <f t="shared" ref="O7:O26" si="5">ROUND($O$2*X7/1000,2)</f>
        <v>3.63</v>
      </c>
      <c r="P7" s="19">
        <f t="shared" si="3"/>
        <v>4.31</v>
      </c>
      <c r="Q7" s="19">
        <f t="shared" si="1"/>
        <v>5.11</v>
      </c>
      <c r="R7" s="19">
        <f t="shared" si="1"/>
        <v>6.16</v>
      </c>
      <c r="S7" s="33" t="s">
        <v>21</v>
      </c>
      <c r="T7" s="33"/>
      <c r="U7" s="48"/>
      <c r="V7" s="48"/>
      <c r="W7" s="48"/>
      <c r="X7" s="48">
        <v>0.3026</v>
      </c>
      <c r="Y7" s="48">
        <v>0.3589</v>
      </c>
      <c r="Z7" s="48">
        <v>0.4258</v>
      </c>
      <c r="AA7" s="48">
        <v>0.5134</v>
      </c>
      <c r="AB7" s="34"/>
      <c r="AC7" s="34"/>
      <c r="AD7" s="34"/>
      <c r="AE7" s="34"/>
      <c r="AF7" s="34"/>
      <c r="AG7" s="34"/>
    </row>
    <row r="8" ht="15" spans="1:33">
      <c r="A8" s="7" t="s">
        <v>22</v>
      </c>
      <c r="B8" s="7"/>
      <c r="C8" s="10"/>
      <c r="D8" s="10"/>
      <c r="E8" s="11">
        <f t="shared" ref="E8:E26" si="6">N8*1000</f>
        <v>4610</v>
      </c>
      <c r="F8" s="11">
        <f t="shared" si="4"/>
        <v>5490</v>
      </c>
      <c r="G8" s="11">
        <f t="shared" si="2"/>
        <v>6630</v>
      </c>
      <c r="H8" s="11">
        <f t="shared" si="0"/>
        <v>8110</v>
      </c>
      <c r="I8" s="11">
        <f t="shared" si="0"/>
        <v>9610</v>
      </c>
      <c r="J8" s="7" t="s">
        <v>22</v>
      </c>
      <c r="K8" s="7"/>
      <c r="L8" s="10"/>
      <c r="M8" s="10"/>
      <c r="N8" s="19">
        <f t="shared" ref="N8:N26" si="7">ROUND($O$2*W8/1000,2)</f>
        <v>4.61</v>
      </c>
      <c r="O8" s="19">
        <f t="shared" si="5"/>
        <v>5.49</v>
      </c>
      <c r="P8" s="19">
        <f t="shared" si="3"/>
        <v>6.63</v>
      </c>
      <c r="Q8" s="19">
        <f t="shared" si="1"/>
        <v>8.11</v>
      </c>
      <c r="R8" s="19">
        <f t="shared" si="1"/>
        <v>9.61</v>
      </c>
      <c r="S8" s="33" t="s">
        <v>22</v>
      </c>
      <c r="T8" s="33"/>
      <c r="U8" s="48"/>
      <c r="V8" s="48"/>
      <c r="W8" s="48">
        <v>0.3841</v>
      </c>
      <c r="X8" s="48">
        <v>0.4574</v>
      </c>
      <c r="Y8" s="48">
        <v>0.5521</v>
      </c>
      <c r="Z8" s="48">
        <v>0.6761</v>
      </c>
      <c r="AA8" s="48">
        <v>0.8005</v>
      </c>
      <c r="AB8" s="34"/>
      <c r="AC8" s="34"/>
      <c r="AD8" s="34"/>
      <c r="AE8" s="34"/>
      <c r="AF8" s="34"/>
      <c r="AG8" s="34"/>
    </row>
    <row r="9" ht="15" spans="1:33">
      <c r="A9" s="7" t="s">
        <v>23</v>
      </c>
      <c r="B9" s="7"/>
      <c r="C9" s="10"/>
      <c r="D9" s="11">
        <f t="shared" ref="D9:D26" si="8">M9*1000</f>
        <v>5860</v>
      </c>
      <c r="E9" s="11">
        <f t="shared" si="6"/>
        <v>6990</v>
      </c>
      <c r="F9" s="11">
        <f t="shared" si="4"/>
        <v>8480</v>
      </c>
      <c r="G9" s="11">
        <f t="shared" si="2"/>
        <v>10670</v>
      </c>
      <c r="H9" s="11">
        <f t="shared" si="0"/>
        <v>12640</v>
      </c>
      <c r="I9" s="11">
        <f t="shared" si="0"/>
        <v>15070</v>
      </c>
      <c r="J9" s="7" t="s">
        <v>23</v>
      </c>
      <c r="K9" s="7"/>
      <c r="L9" s="10"/>
      <c r="M9" s="19">
        <f t="shared" ref="M9:M26" si="9">ROUND($O$2*V9/1000,2)</f>
        <v>5.86</v>
      </c>
      <c r="N9" s="19">
        <f t="shared" si="7"/>
        <v>6.99</v>
      </c>
      <c r="O9" s="19">
        <f t="shared" si="5"/>
        <v>8.48</v>
      </c>
      <c r="P9" s="19">
        <f t="shared" si="3"/>
        <v>10.67</v>
      </c>
      <c r="Q9" s="19">
        <f t="shared" si="1"/>
        <v>12.64</v>
      </c>
      <c r="R9" s="19">
        <f t="shared" si="1"/>
        <v>15.07</v>
      </c>
      <c r="S9" s="33" t="s">
        <v>23</v>
      </c>
      <c r="T9" s="33"/>
      <c r="U9" s="48"/>
      <c r="V9" s="48">
        <v>0.4887</v>
      </c>
      <c r="W9" s="48">
        <v>0.5829</v>
      </c>
      <c r="X9" s="48">
        <v>0.7063</v>
      </c>
      <c r="Y9" s="48">
        <v>0.8889</v>
      </c>
      <c r="Z9" s="48">
        <v>1.0531</v>
      </c>
      <c r="AA9" s="48">
        <v>1.2556</v>
      </c>
      <c r="AB9" s="34"/>
      <c r="AC9" s="34"/>
      <c r="AD9" s="34"/>
      <c r="AE9" s="34"/>
      <c r="AF9" s="34"/>
      <c r="AG9" s="34"/>
    </row>
    <row r="10" ht="15" spans="1:33">
      <c r="A10" s="7" t="s">
        <v>24</v>
      </c>
      <c r="B10" s="7"/>
      <c r="C10" s="11">
        <f t="shared" ref="C10:C26" si="10">L10*1000</f>
        <v>7510</v>
      </c>
      <c r="D10" s="11">
        <f t="shared" si="8"/>
        <v>9260</v>
      </c>
      <c r="E10" s="11">
        <f t="shared" si="6"/>
        <v>10840</v>
      </c>
      <c r="F10" s="11">
        <f t="shared" si="4"/>
        <v>13480</v>
      </c>
      <c r="G10" s="11">
        <f t="shared" si="2"/>
        <v>16490</v>
      </c>
      <c r="H10" s="11">
        <f t="shared" si="0"/>
        <v>20130</v>
      </c>
      <c r="I10" s="11">
        <f t="shared" si="0"/>
        <v>24030</v>
      </c>
      <c r="J10" s="7" t="s">
        <v>24</v>
      </c>
      <c r="K10" s="7"/>
      <c r="L10" s="19">
        <f t="shared" ref="L10:L26" si="11">ROUND($O$2*U10/1000,2)</f>
        <v>7.51</v>
      </c>
      <c r="M10" s="19">
        <f t="shared" si="9"/>
        <v>9.26</v>
      </c>
      <c r="N10" s="19">
        <f t="shared" si="7"/>
        <v>10.84</v>
      </c>
      <c r="O10" s="19">
        <f t="shared" si="5"/>
        <v>13.48</v>
      </c>
      <c r="P10" s="19">
        <f t="shared" si="3"/>
        <v>16.49</v>
      </c>
      <c r="Q10" s="19">
        <f t="shared" si="1"/>
        <v>20.13</v>
      </c>
      <c r="R10" s="19">
        <f t="shared" si="1"/>
        <v>24.03</v>
      </c>
      <c r="S10" s="33" t="s">
        <v>24</v>
      </c>
      <c r="T10" s="43"/>
      <c r="U10" s="48">
        <v>0.626</v>
      </c>
      <c r="V10" s="48">
        <v>0.7714</v>
      </c>
      <c r="W10" s="48">
        <v>0.9036</v>
      </c>
      <c r="X10" s="48">
        <v>1.1237</v>
      </c>
      <c r="Y10" s="48">
        <v>1.3743</v>
      </c>
      <c r="Z10" s="48">
        <v>1.6777</v>
      </c>
      <c r="AA10" s="48">
        <v>2.0029</v>
      </c>
      <c r="AB10" s="34"/>
      <c r="AC10" s="34"/>
      <c r="AD10" s="34"/>
      <c r="AE10" s="34"/>
      <c r="AF10" s="34"/>
      <c r="AG10" s="34"/>
    </row>
    <row r="11" ht="15" spans="1:33">
      <c r="A11" s="7" t="s">
        <v>25</v>
      </c>
      <c r="B11" s="11">
        <f t="shared" ref="B11:B22" si="12">K11*1000</f>
        <v>6720</v>
      </c>
      <c r="C11" s="11">
        <f t="shared" si="10"/>
        <v>10330</v>
      </c>
      <c r="D11" s="11">
        <f t="shared" si="8"/>
        <v>12660</v>
      </c>
      <c r="E11" s="11">
        <f t="shared" si="6"/>
        <v>15510</v>
      </c>
      <c r="F11" s="11">
        <f t="shared" si="4"/>
        <v>19030</v>
      </c>
      <c r="G11" s="11">
        <f t="shared" si="2"/>
        <v>23330</v>
      </c>
      <c r="H11" s="11">
        <f t="shared" si="0"/>
        <v>28610</v>
      </c>
      <c r="I11" s="11">
        <f t="shared" si="0"/>
        <v>33930</v>
      </c>
      <c r="J11" s="7" t="s">
        <v>25</v>
      </c>
      <c r="K11" s="19">
        <f t="shared" ref="K11:K22" si="13">ROUND($O$2*T11/1000,2)</f>
        <v>6.72</v>
      </c>
      <c r="L11" s="19">
        <f t="shared" si="11"/>
        <v>10.33</v>
      </c>
      <c r="M11" s="19">
        <f t="shared" si="9"/>
        <v>12.66</v>
      </c>
      <c r="N11" s="19">
        <f t="shared" si="7"/>
        <v>15.51</v>
      </c>
      <c r="O11" s="19">
        <f t="shared" si="5"/>
        <v>19.03</v>
      </c>
      <c r="P11" s="19">
        <f t="shared" si="3"/>
        <v>23.33</v>
      </c>
      <c r="Q11" s="19">
        <f t="shared" si="1"/>
        <v>28.61</v>
      </c>
      <c r="R11" s="19">
        <f t="shared" si="1"/>
        <v>33.93</v>
      </c>
      <c r="S11" s="49" t="s">
        <v>25</v>
      </c>
      <c r="T11" s="50">
        <v>0.56</v>
      </c>
      <c r="U11" s="51">
        <v>0.8611</v>
      </c>
      <c r="V11" s="48">
        <v>1.0553</v>
      </c>
      <c r="W11" s="48">
        <v>1.2924</v>
      </c>
      <c r="X11" s="48">
        <v>1.5857</v>
      </c>
      <c r="Y11" s="48">
        <v>1.9443</v>
      </c>
      <c r="Z11" s="48">
        <v>2.3843</v>
      </c>
      <c r="AA11" s="48">
        <v>2.8278</v>
      </c>
      <c r="AB11" s="34"/>
      <c r="AC11" s="34"/>
      <c r="AD11" s="34"/>
      <c r="AE11" s="34"/>
      <c r="AF11" s="34"/>
      <c r="AG11" s="34"/>
    </row>
    <row r="12" ht="15" spans="1:33">
      <c r="A12" s="7" t="s">
        <v>26</v>
      </c>
      <c r="B12" s="11">
        <f t="shared" si="12"/>
        <v>9920</v>
      </c>
      <c r="C12" s="11">
        <f t="shared" si="10"/>
        <v>14850</v>
      </c>
      <c r="D12" s="11">
        <f t="shared" si="8"/>
        <v>18340</v>
      </c>
      <c r="E12" s="11">
        <f t="shared" si="6"/>
        <v>22210</v>
      </c>
      <c r="F12" s="11">
        <f t="shared" si="4"/>
        <v>27560</v>
      </c>
      <c r="G12" s="11">
        <f t="shared" si="2"/>
        <v>35240</v>
      </c>
      <c r="H12" s="11">
        <f t="shared" si="0"/>
        <v>40870</v>
      </c>
      <c r="I12" s="11">
        <f t="shared" si="0"/>
        <v>48870</v>
      </c>
      <c r="J12" s="7" t="s">
        <v>26</v>
      </c>
      <c r="K12" s="19">
        <f t="shared" si="13"/>
        <v>9.92</v>
      </c>
      <c r="L12" s="19">
        <f t="shared" si="11"/>
        <v>14.85</v>
      </c>
      <c r="M12" s="19">
        <f t="shared" si="9"/>
        <v>18.34</v>
      </c>
      <c r="N12" s="19">
        <f t="shared" si="7"/>
        <v>22.21</v>
      </c>
      <c r="O12" s="19">
        <f t="shared" si="5"/>
        <v>27.56</v>
      </c>
      <c r="P12" s="19">
        <f t="shared" si="3"/>
        <v>35.24</v>
      </c>
      <c r="Q12" s="19">
        <f t="shared" si="1"/>
        <v>40.87</v>
      </c>
      <c r="R12" s="19">
        <f t="shared" si="1"/>
        <v>48.87</v>
      </c>
      <c r="S12" s="49" t="s">
        <v>26</v>
      </c>
      <c r="T12" s="50">
        <v>0.827</v>
      </c>
      <c r="U12" s="51">
        <v>1.2373</v>
      </c>
      <c r="V12" s="48">
        <v>1.528</v>
      </c>
      <c r="W12" s="48">
        <v>1.8512</v>
      </c>
      <c r="X12" s="48">
        <v>2.2963</v>
      </c>
      <c r="Y12" s="48">
        <v>2.937</v>
      </c>
      <c r="Z12" s="48">
        <v>3.4055</v>
      </c>
      <c r="AA12" s="48">
        <v>4.0721</v>
      </c>
      <c r="AB12" s="34"/>
      <c r="AC12" s="34"/>
      <c r="AD12" s="34"/>
      <c r="AE12" s="34"/>
      <c r="AF12" s="34"/>
      <c r="AG12" s="34"/>
    </row>
    <row r="13" ht="15" spans="1:33">
      <c r="A13" s="7" t="s">
        <v>27</v>
      </c>
      <c r="B13" s="11">
        <f t="shared" si="12"/>
        <v>15180</v>
      </c>
      <c r="C13" s="11">
        <f t="shared" si="10"/>
        <v>17750</v>
      </c>
      <c r="D13" s="11">
        <f t="shared" si="8"/>
        <v>22100</v>
      </c>
      <c r="E13" s="11">
        <f t="shared" si="6"/>
        <v>26960</v>
      </c>
      <c r="F13" s="11">
        <f t="shared" si="4"/>
        <v>33410</v>
      </c>
      <c r="G13" s="11">
        <f t="shared" si="2"/>
        <v>41050</v>
      </c>
      <c r="H13" s="11">
        <f t="shared" si="0"/>
        <v>50580</v>
      </c>
      <c r="I13" s="11">
        <f t="shared" si="0"/>
        <v>60910</v>
      </c>
      <c r="J13" s="7" t="s">
        <v>27</v>
      </c>
      <c r="K13" s="19">
        <f t="shared" si="13"/>
        <v>15.18</v>
      </c>
      <c r="L13" s="19">
        <f t="shared" si="11"/>
        <v>17.75</v>
      </c>
      <c r="M13" s="19">
        <f t="shared" si="9"/>
        <v>22.1</v>
      </c>
      <c r="N13" s="19">
        <f t="shared" si="7"/>
        <v>26.96</v>
      </c>
      <c r="O13" s="19">
        <f t="shared" si="5"/>
        <v>33.41</v>
      </c>
      <c r="P13" s="19">
        <f t="shared" si="3"/>
        <v>41.05</v>
      </c>
      <c r="Q13" s="19">
        <f t="shared" si="1"/>
        <v>50.58</v>
      </c>
      <c r="R13" s="19">
        <f t="shared" si="1"/>
        <v>60.91</v>
      </c>
      <c r="S13" s="49" t="s">
        <v>27</v>
      </c>
      <c r="T13" s="50">
        <v>1.265</v>
      </c>
      <c r="U13" s="51">
        <v>1.4792</v>
      </c>
      <c r="V13" s="48">
        <v>1.8416</v>
      </c>
      <c r="W13" s="48">
        <v>2.2469</v>
      </c>
      <c r="X13" s="48">
        <v>2.7838</v>
      </c>
      <c r="Y13" s="48">
        <v>3.4208</v>
      </c>
      <c r="Z13" s="48">
        <v>4.2147</v>
      </c>
      <c r="AA13" s="48">
        <v>5.0758</v>
      </c>
      <c r="AB13" s="34"/>
      <c r="AC13" s="34"/>
      <c r="AD13" s="34"/>
      <c r="AE13" s="34"/>
      <c r="AF13" s="34"/>
      <c r="AG13" s="34"/>
    </row>
    <row r="14" ht="15" spans="1:33">
      <c r="A14" s="7" t="s">
        <v>28</v>
      </c>
      <c r="B14" s="11">
        <f t="shared" si="12"/>
        <v>17880</v>
      </c>
      <c r="C14" s="11">
        <f t="shared" si="10"/>
        <v>23250</v>
      </c>
      <c r="D14" s="11">
        <f t="shared" si="8"/>
        <v>28530</v>
      </c>
      <c r="E14" s="11">
        <f t="shared" si="6"/>
        <v>35040</v>
      </c>
      <c r="F14" s="11">
        <f t="shared" si="4"/>
        <v>42980</v>
      </c>
      <c r="G14" s="11">
        <f t="shared" si="2"/>
        <v>53210</v>
      </c>
      <c r="H14" s="11">
        <f t="shared" si="0"/>
        <v>65100</v>
      </c>
      <c r="I14" s="11">
        <f t="shared" si="0"/>
        <v>79200</v>
      </c>
      <c r="J14" s="7" t="s">
        <v>28</v>
      </c>
      <c r="K14" s="19">
        <f t="shared" si="13"/>
        <v>17.88</v>
      </c>
      <c r="L14" s="19">
        <f t="shared" si="11"/>
        <v>23.25</v>
      </c>
      <c r="M14" s="19">
        <f t="shared" si="9"/>
        <v>28.53</v>
      </c>
      <c r="N14" s="19">
        <f t="shared" si="7"/>
        <v>35.04</v>
      </c>
      <c r="O14" s="19">
        <f t="shared" si="5"/>
        <v>42.98</v>
      </c>
      <c r="P14" s="19">
        <f t="shared" si="3"/>
        <v>53.21</v>
      </c>
      <c r="Q14" s="19">
        <f t="shared" si="1"/>
        <v>65.1</v>
      </c>
      <c r="R14" s="19">
        <f t="shared" si="1"/>
        <v>79.2</v>
      </c>
      <c r="S14" s="49" t="s">
        <v>28</v>
      </c>
      <c r="T14" s="50">
        <v>1.49</v>
      </c>
      <c r="U14" s="51">
        <v>1.9371</v>
      </c>
      <c r="V14" s="48">
        <v>2.3774</v>
      </c>
      <c r="W14" s="48">
        <v>2.9199</v>
      </c>
      <c r="X14" s="48">
        <v>3.5814</v>
      </c>
      <c r="Y14" s="48">
        <v>4.434</v>
      </c>
      <c r="Z14" s="48">
        <v>5.4254</v>
      </c>
      <c r="AA14" s="48">
        <v>6.6</v>
      </c>
      <c r="AB14" s="34"/>
      <c r="AC14" s="34"/>
      <c r="AD14" s="34"/>
      <c r="AE14" s="34"/>
      <c r="AF14" s="34"/>
      <c r="AG14" s="34"/>
    </row>
    <row r="15" ht="15" spans="1:33">
      <c r="A15" s="7" t="s">
        <v>29</v>
      </c>
      <c r="B15" s="11">
        <f t="shared" si="12"/>
        <v>25040</v>
      </c>
      <c r="C15" s="11">
        <f t="shared" si="10"/>
        <v>29100</v>
      </c>
      <c r="D15" s="11">
        <f t="shared" si="8"/>
        <v>35400</v>
      </c>
      <c r="E15" s="11">
        <f t="shared" si="6"/>
        <v>44140</v>
      </c>
      <c r="F15" s="11">
        <f t="shared" si="4"/>
        <v>54090</v>
      </c>
      <c r="G15" s="11">
        <f t="shared" si="2"/>
        <v>67200</v>
      </c>
      <c r="H15" s="11">
        <f t="shared" si="0"/>
        <v>81750</v>
      </c>
      <c r="I15" s="11">
        <f t="shared" si="0"/>
        <v>98860</v>
      </c>
      <c r="J15" s="7" t="s">
        <v>29</v>
      </c>
      <c r="K15" s="19">
        <f t="shared" si="13"/>
        <v>25.04</v>
      </c>
      <c r="L15" s="19">
        <f t="shared" si="11"/>
        <v>29.1</v>
      </c>
      <c r="M15" s="19">
        <f t="shared" si="9"/>
        <v>35.4</v>
      </c>
      <c r="N15" s="19">
        <f t="shared" si="7"/>
        <v>44.14</v>
      </c>
      <c r="O15" s="19">
        <f t="shared" si="5"/>
        <v>54.09</v>
      </c>
      <c r="P15" s="19">
        <f t="shared" si="3"/>
        <v>67.2</v>
      </c>
      <c r="Q15" s="19">
        <f t="shared" si="1"/>
        <v>81.75</v>
      </c>
      <c r="R15" s="19">
        <f t="shared" si="1"/>
        <v>98.86</v>
      </c>
      <c r="S15" s="49" t="s">
        <v>29</v>
      </c>
      <c r="T15" s="50">
        <v>2.087</v>
      </c>
      <c r="U15" s="51">
        <v>2.4254</v>
      </c>
      <c r="V15" s="48">
        <v>2.9496</v>
      </c>
      <c r="W15" s="48">
        <v>3.678</v>
      </c>
      <c r="X15" s="48">
        <v>4.5078</v>
      </c>
      <c r="Y15" s="48">
        <v>5.5998</v>
      </c>
      <c r="Z15" s="48">
        <v>6.8123</v>
      </c>
      <c r="AA15" s="48">
        <v>8.2383</v>
      </c>
      <c r="AB15" s="34"/>
      <c r="AC15" s="34"/>
      <c r="AD15" s="34"/>
      <c r="AE15" s="34"/>
      <c r="AF15" s="34"/>
      <c r="AG15" s="34"/>
    </row>
    <row r="16" ht="15" spans="1:33">
      <c r="A16" s="7" t="s">
        <v>30</v>
      </c>
      <c r="B16" s="11">
        <f t="shared" si="12"/>
        <v>30900</v>
      </c>
      <c r="C16" s="11">
        <f t="shared" si="10"/>
        <v>37680</v>
      </c>
      <c r="D16" s="11">
        <f t="shared" si="8"/>
        <v>46150</v>
      </c>
      <c r="E16" s="11">
        <f t="shared" si="6"/>
        <v>57800</v>
      </c>
      <c r="F16" s="11">
        <f t="shared" si="4"/>
        <v>70830</v>
      </c>
      <c r="G16" s="11">
        <f t="shared" si="2"/>
        <v>86340</v>
      </c>
      <c r="H16" s="11">
        <f t="shared" si="0"/>
        <v>106970</v>
      </c>
      <c r="I16" s="11">
        <f t="shared" si="0"/>
        <v>129540</v>
      </c>
      <c r="J16" s="7" t="s">
        <v>30</v>
      </c>
      <c r="K16" s="19">
        <f t="shared" si="13"/>
        <v>30.9</v>
      </c>
      <c r="L16" s="19">
        <f t="shared" si="11"/>
        <v>37.68</v>
      </c>
      <c r="M16" s="19">
        <f t="shared" si="9"/>
        <v>46.15</v>
      </c>
      <c r="N16" s="19">
        <f t="shared" si="7"/>
        <v>57.8</v>
      </c>
      <c r="O16" s="19">
        <f t="shared" si="5"/>
        <v>70.83</v>
      </c>
      <c r="P16" s="19">
        <f t="shared" si="3"/>
        <v>86.34</v>
      </c>
      <c r="Q16" s="19">
        <f t="shared" si="1"/>
        <v>106.97</v>
      </c>
      <c r="R16" s="19">
        <f t="shared" si="1"/>
        <v>129.54</v>
      </c>
      <c r="S16" s="49" t="s">
        <v>30</v>
      </c>
      <c r="T16" s="50">
        <v>2.575</v>
      </c>
      <c r="U16" s="51">
        <v>3.1401</v>
      </c>
      <c r="V16" s="48">
        <v>3.8456</v>
      </c>
      <c r="W16" s="48">
        <v>4.817</v>
      </c>
      <c r="X16" s="48">
        <v>5.9022</v>
      </c>
      <c r="Y16" s="48">
        <v>7.1951</v>
      </c>
      <c r="Z16" s="48">
        <v>8.9141</v>
      </c>
      <c r="AA16" s="48">
        <v>10.7954</v>
      </c>
      <c r="AB16" s="34"/>
      <c r="AC16" s="34"/>
      <c r="AD16" s="34"/>
      <c r="AE16" s="34"/>
      <c r="AF16" s="34"/>
      <c r="AG16" s="34"/>
    </row>
    <row r="17" ht="15" spans="1:33">
      <c r="A17" s="7" t="s">
        <v>31</v>
      </c>
      <c r="B17" s="11">
        <f t="shared" si="12"/>
        <v>37370</v>
      </c>
      <c r="C17" s="11">
        <f t="shared" si="10"/>
        <v>46890</v>
      </c>
      <c r="D17" s="11">
        <f t="shared" si="8"/>
        <v>58330</v>
      </c>
      <c r="E17" s="11">
        <f t="shared" si="6"/>
        <v>72420</v>
      </c>
      <c r="F17" s="11">
        <f t="shared" si="4"/>
        <v>88920</v>
      </c>
      <c r="G17" s="11">
        <f t="shared" si="2"/>
        <v>111750</v>
      </c>
      <c r="H17" s="11">
        <f t="shared" si="0"/>
        <v>135600</v>
      </c>
      <c r="I17" s="11">
        <f t="shared" si="0"/>
        <v>163980</v>
      </c>
      <c r="J17" s="7" t="s">
        <v>31</v>
      </c>
      <c r="K17" s="19">
        <f t="shared" si="13"/>
        <v>37.37</v>
      </c>
      <c r="L17" s="19">
        <f t="shared" si="11"/>
        <v>46.89</v>
      </c>
      <c r="M17" s="19">
        <f t="shared" si="9"/>
        <v>58.33</v>
      </c>
      <c r="N17" s="19">
        <f t="shared" si="7"/>
        <v>72.42</v>
      </c>
      <c r="O17" s="19">
        <f t="shared" si="5"/>
        <v>88.92</v>
      </c>
      <c r="P17" s="19">
        <f t="shared" si="3"/>
        <v>111.75</v>
      </c>
      <c r="Q17" s="19">
        <f t="shared" si="1"/>
        <v>135.6</v>
      </c>
      <c r="R17" s="19">
        <f t="shared" si="1"/>
        <v>163.98</v>
      </c>
      <c r="S17" s="49" t="s">
        <v>31</v>
      </c>
      <c r="T17" s="50">
        <v>3.114</v>
      </c>
      <c r="U17" s="51">
        <v>3.9071</v>
      </c>
      <c r="V17" s="48">
        <v>4.8608</v>
      </c>
      <c r="W17" s="48">
        <v>6.0346</v>
      </c>
      <c r="X17" s="48">
        <v>7.4098</v>
      </c>
      <c r="Y17" s="48">
        <v>9.3123</v>
      </c>
      <c r="Z17" s="48">
        <v>11.3001</v>
      </c>
      <c r="AA17" s="48">
        <v>13.6653</v>
      </c>
      <c r="AB17" s="34"/>
      <c r="AC17" s="34"/>
      <c r="AD17" s="34"/>
      <c r="AE17" s="34"/>
      <c r="AF17" s="34"/>
      <c r="AG17" s="34"/>
    </row>
    <row r="18" ht="15" spans="1:33">
      <c r="A18" s="7" t="s">
        <v>32</v>
      </c>
      <c r="B18" s="11">
        <f t="shared" si="12"/>
        <v>46040</v>
      </c>
      <c r="C18" s="11">
        <f t="shared" si="10"/>
        <v>58310</v>
      </c>
      <c r="D18" s="11">
        <f t="shared" si="8"/>
        <v>73190</v>
      </c>
      <c r="E18" s="11">
        <f t="shared" si="6"/>
        <v>89910</v>
      </c>
      <c r="F18" s="11">
        <f t="shared" si="4"/>
        <v>113710</v>
      </c>
      <c r="G18" s="11">
        <f t="shared" si="2"/>
        <v>137470</v>
      </c>
      <c r="H18" s="11">
        <f t="shared" si="0"/>
        <v>167580</v>
      </c>
      <c r="I18" s="11">
        <f t="shared" si="0"/>
        <v>203010</v>
      </c>
      <c r="J18" s="7" t="s">
        <v>32</v>
      </c>
      <c r="K18" s="19">
        <f t="shared" si="13"/>
        <v>46.04</v>
      </c>
      <c r="L18" s="19">
        <f t="shared" si="11"/>
        <v>58.31</v>
      </c>
      <c r="M18" s="19">
        <f t="shared" si="9"/>
        <v>73.19</v>
      </c>
      <c r="N18" s="19">
        <f t="shared" si="7"/>
        <v>89.91</v>
      </c>
      <c r="O18" s="19">
        <f t="shared" si="5"/>
        <v>113.71</v>
      </c>
      <c r="P18" s="19">
        <f t="shared" si="3"/>
        <v>137.47</v>
      </c>
      <c r="Q18" s="19">
        <f t="shared" si="1"/>
        <v>167.58</v>
      </c>
      <c r="R18" s="19">
        <f t="shared" si="1"/>
        <v>203.01</v>
      </c>
      <c r="S18" s="49" t="s">
        <v>32</v>
      </c>
      <c r="T18" s="50">
        <v>3.837</v>
      </c>
      <c r="U18" s="51">
        <v>4.8592</v>
      </c>
      <c r="V18" s="48">
        <v>6.0994</v>
      </c>
      <c r="W18" s="48">
        <v>7.4926</v>
      </c>
      <c r="X18" s="48">
        <v>9.4761</v>
      </c>
      <c r="Y18" s="48">
        <v>11.4555</v>
      </c>
      <c r="Z18" s="48">
        <v>13.9648</v>
      </c>
      <c r="AA18" s="48">
        <v>16.9172</v>
      </c>
      <c r="AB18" s="34"/>
      <c r="AC18" s="34"/>
      <c r="AD18" s="34"/>
      <c r="AE18" s="34"/>
      <c r="AF18" s="34"/>
      <c r="AG18" s="34"/>
    </row>
    <row r="19" ht="15" spans="1:33">
      <c r="A19" s="7" t="s">
        <v>33</v>
      </c>
      <c r="B19" s="11">
        <f t="shared" si="12"/>
        <v>60120</v>
      </c>
      <c r="C19" s="11">
        <f t="shared" si="10"/>
        <v>73710</v>
      </c>
      <c r="D19" s="11">
        <f t="shared" si="8"/>
        <v>91660</v>
      </c>
      <c r="E19" s="11">
        <f t="shared" si="6"/>
        <v>112870</v>
      </c>
      <c r="F19" s="11">
        <f t="shared" si="4"/>
        <v>140570</v>
      </c>
      <c r="G19" s="11">
        <f t="shared" si="2"/>
        <v>174720</v>
      </c>
      <c r="H19" s="11">
        <f t="shared" si="0"/>
        <v>212470</v>
      </c>
      <c r="I19" s="10"/>
      <c r="J19" s="7" t="s">
        <v>33</v>
      </c>
      <c r="K19" s="19">
        <f t="shared" si="13"/>
        <v>60.12</v>
      </c>
      <c r="L19" s="19">
        <f t="shared" si="11"/>
        <v>73.71</v>
      </c>
      <c r="M19" s="19">
        <f t="shared" si="9"/>
        <v>91.66</v>
      </c>
      <c r="N19" s="19">
        <f t="shared" si="7"/>
        <v>112.87</v>
      </c>
      <c r="O19" s="19">
        <f t="shared" si="5"/>
        <v>140.57</v>
      </c>
      <c r="P19" s="19">
        <f t="shared" si="3"/>
        <v>174.72</v>
      </c>
      <c r="Q19" s="19">
        <f t="shared" si="1"/>
        <v>212.47</v>
      </c>
      <c r="R19" s="10"/>
      <c r="S19" s="49" t="s">
        <v>33</v>
      </c>
      <c r="T19" s="50">
        <v>5.01</v>
      </c>
      <c r="U19" s="51">
        <v>6.1425</v>
      </c>
      <c r="V19" s="48">
        <v>7.6384</v>
      </c>
      <c r="W19" s="48">
        <v>9.4057</v>
      </c>
      <c r="X19" s="48">
        <v>11.7145</v>
      </c>
      <c r="Y19" s="48">
        <v>14.5597</v>
      </c>
      <c r="Z19" s="48">
        <v>17.7056</v>
      </c>
      <c r="AA19" s="48"/>
      <c r="AB19" s="34"/>
      <c r="AC19" s="34"/>
      <c r="AD19" s="34"/>
      <c r="AE19" s="34"/>
      <c r="AF19" s="34"/>
      <c r="AG19" s="34"/>
    </row>
    <row r="20" ht="15" spans="1:33">
      <c r="A20" s="7" t="s">
        <v>34</v>
      </c>
      <c r="B20" s="11">
        <f t="shared" si="12"/>
        <v>72350</v>
      </c>
      <c r="C20" s="11">
        <f t="shared" si="10"/>
        <v>92420</v>
      </c>
      <c r="D20" s="11">
        <f t="shared" si="8"/>
        <v>113740</v>
      </c>
      <c r="E20" s="11">
        <f t="shared" si="6"/>
        <v>140620</v>
      </c>
      <c r="F20" s="11">
        <f t="shared" si="4"/>
        <v>172140</v>
      </c>
      <c r="G20" s="11">
        <f t="shared" si="2"/>
        <v>212960</v>
      </c>
      <c r="H20" s="11">
        <f t="shared" si="0"/>
        <v>262540</v>
      </c>
      <c r="I20" s="10"/>
      <c r="J20" s="7" t="s">
        <v>34</v>
      </c>
      <c r="K20" s="19">
        <f t="shared" si="13"/>
        <v>72.35</v>
      </c>
      <c r="L20" s="19">
        <f t="shared" si="11"/>
        <v>92.42</v>
      </c>
      <c r="M20" s="19">
        <f t="shared" si="9"/>
        <v>113.74</v>
      </c>
      <c r="N20" s="19">
        <f t="shared" si="7"/>
        <v>140.62</v>
      </c>
      <c r="O20" s="19">
        <f t="shared" si="5"/>
        <v>172.14</v>
      </c>
      <c r="P20" s="19">
        <f t="shared" si="3"/>
        <v>212.96</v>
      </c>
      <c r="Q20" s="19">
        <f t="shared" si="1"/>
        <v>262.54</v>
      </c>
      <c r="R20" s="10"/>
      <c r="S20" s="49" t="s">
        <v>34</v>
      </c>
      <c r="T20" s="50">
        <v>6.029</v>
      </c>
      <c r="U20" s="51">
        <v>7.7013</v>
      </c>
      <c r="V20" s="48">
        <v>9.4781</v>
      </c>
      <c r="W20" s="48">
        <v>11.7183</v>
      </c>
      <c r="X20" s="48">
        <v>14.3448</v>
      </c>
      <c r="Y20" s="48">
        <v>17.7469</v>
      </c>
      <c r="Z20" s="48">
        <v>21.8783</v>
      </c>
      <c r="AA20" s="48"/>
      <c r="AB20" s="34"/>
      <c r="AC20" s="34"/>
      <c r="AD20" s="34"/>
      <c r="AE20" s="34"/>
      <c r="AF20" s="34"/>
      <c r="AG20" s="34"/>
    </row>
    <row r="21" ht="15" spans="1:33">
      <c r="A21" s="7" t="s">
        <v>35</v>
      </c>
      <c r="B21" s="11">
        <f t="shared" si="12"/>
        <v>92400</v>
      </c>
      <c r="C21" s="11">
        <f t="shared" si="10"/>
        <v>115680</v>
      </c>
      <c r="D21" s="11">
        <f t="shared" si="8"/>
        <v>143430</v>
      </c>
      <c r="E21" s="11">
        <f t="shared" si="6"/>
        <v>176640</v>
      </c>
      <c r="F21" s="11">
        <f t="shared" si="4"/>
        <v>218470</v>
      </c>
      <c r="G21" s="11">
        <f t="shared" si="2"/>
        <v>268920</v>
      </c>
      <c r="H21" s="11">
        <f t="shared" si="2"/>
        <v>330570</v>
      </c>
      <c r="I21" s="10"/>
      <c r="J21" s="7" t="s">
        <v>35</v>
      </c>
      <c r="K21" s="19">
        <f t="shared" si="13"/>
        <v>92.4</v>
      </c>
      <c r="L21" s="19">
        <f t="shared" si="11"/>
        <v>115.68</v>
      </c>
      <c r="M21" s="19">
        <f t="shared" si="9"/>
        <v>143.43</v>
      </c>
      <c r="N21" s="19">
        <f t="shared" si="7"/>
        <v>176.64</v>
      </c>
      <c r="O21" s="19">
        <f t="shared" si="5"/>
        <v>218.47</v>
      </c>
      <c r="P21" s="19">
        <f t="shared" si="3"/>
        <v>268.92</v>
      </c>
      <c r="Q21" s="19">
        <f t="shared" si="3"/>
        <v>330.57</v>
      </c>
      <c r="R21" s="10"/>
      <c r="S21" s="49" t="s">
        <v>35</v>
      </c>
      <c r="T21" s="50">
        <v>7.7</v>
      </c>
      <c r="U21" s="51">
        <v>9.64</v>
      </c>
      <c r="V21" s="48">
        <v>11.9522</v>
      </c>
      <c r="W21" s="48">
        <v>14.7198</v>
      </c>
      <c r="X21" s="48">
        <v>18.2057</v>
      </c>
      <c r="Y21" s="48">
        <v>22.41</v>
      </c>
      <c r="Z21" s="48">
        <v>27.5478</v>
      </c>
      <c r="AA21" s="48"/>
      <c r="AB21" s="34"/>
      <c r="AC21" s="34"/>
      <c r="AD21" s="34"/>
      <c r="AE21" s="34"/>
      <c r="AF21" s="34"/>
      <c r="AG21" s="34"/>
    </row>
    <row r="22" ht="15" spans="1:33">
      <c r="A22" s="7" t="s">
        <v>36</v>
      </c>
      <c r="B22" s="11">
        <f t="shared" si="12"/>
        <v>116330</v>
      </c>
      <c r="C22" s="11">
        <f t="shared" si="10"/>
        <v>145260</v>
      </c>
      <c r="D22" s="11">
        <f t="shared" si="8"/>
        <v>181600</v>
      </c>
      <c r="E22" s="11">
        <f t="shared" si="6"/>
        <v>224850</v>
      </c>
      <c r="F22" s="11">
        <f t="shared" si="4"/>
        <v>275300</v>
      </c>
      <c r="G22" s="11">
        <f t="shared" si="2"/>
        <v>339000</v>
      </c>
      <c r="H22" s="11">
        <f t="shared" si="2"/>
        <v>419540</v>
      </c>
      <c r="I22" s="10"/>
      <c r="J22" s="7" t="s">
        <v>36</v>
      </c>
      <c r="K22" s="19">
        <f t="shared" si="13"/>
        <v>116.33</v>
      </c>
      <c r="L22" s="19">
        <f t="shared" si="11"/>
        <v>145.26</v>
      </c>
      <c r="M22" s="19">
        <f t="shared" si="9"/>
        <v>181.6</v>
      </c>
      <c r="N22" s="19">
        <f t="shared" si="7"/>
        <v>224.85</v>
      </c>
      <c r="O22" s="19">
        <f t="shared" si="5"/>
        <v>275.3</v>
      </c>
      <c r="P22" s="19">
        <f t="shared" si="3"/>
        <v>339</v>
      </c>
      <c r="Q22" s="19">
        <f t="shared" si="3"/>
        <v>419.54</v>
      </c>
      <c r="R22" s="10"/>
      <c r="S22" s="49" t="s">
        <v>36</v>
      </c>
      <c r="T22" s="50">
        <v>9.694</v>
      </c>
      <c r="U22" s="51">
        <v>12.1052</v>
      </c>
      <c r="V22" s="48">
        <v>15.1333</v>
      </c>
      <c r="W22" s="48">
        <v>18.7378</v>
      </c>
      <c r="X22" s="48">
        <v>22.9414</v>
      </c>
      <c r="Y22" s="48">
        <v>28.25</v>
      </c>
      <c r="Z22" s="48">
        <v>34.9614</v>
      </c>
      <c r="AA22" s="48"/>
      <c r="AB22" s="34"/>
      <c r="AC22" s="34"/>
      <c r="AD22" s="34"/>
      <c r="AE22" s="34"/>
      <c r="AF22" s="34"/>
      <c r="AG22" s="34"/>
    </row>
    <row r="23" ht="15" spans="1:33">
      <c r="A23" s="7" t="s">
        <v>37</v>
      </c>
      <c r="B23" s="12"/>
      <c r="C23" s="11">
        <f t="shared" si="10"/>
        <v>185830</v>
      </c>
      <c r="D23" s="11">
        <f t="shared" si="8"/>
        <v>230700</v>
      </c>
      <c r="E23" s="11">
        <f t="shared" si="6"/>
        <v>285200</v>
      </c>
      <c r="F23" s="11">
        <f t="shared" si="4"/>
        <v>350410</v>
      </c>
      <c r="G23" s="11">
        <f t="shared" si="2"/>
        <v>431640</v>
      </c>
      <c r="H23" s="11">
        <f t="shared" si="2"/>
        <v>533820</v>
      </c>
      <c r="I23" s="10"/>
      <c r="J23" s="7" t="s">
        <v>37</v>
      </c>
      <c r="K23" s="12"/>
      <c r="L23" s="19">
        <f t="shared" si="11"/>
        <v>185.83</v>
      </c>
      <c r="M23" s="19">
        <f t="shared" si="9"/>
        <v>230.7</v>
      </c>
      <c r="N23" s="19">
        <f t="shared" si="7"/>
        <v>285.2</v>
      </c>
      <c r="O23" s="19">
        <f t="shared" si="5"/>
        <v>350.41</v>
      </c>
      <c r="P23" s="19">
        <f t="shared" si="3"/>
        <v>431.64</v>
      </c>
      <c r="Q23" s="19">
        <f t="shared" si="3"/>
        <v>533.82</v>
      </c>
      <c r="R23" s="10"/>
      <c r="S23" s="49" t="s">
        <v>37</v>
      </c>
      <c r="T23" s="50"/>
      <c r="U23" s="51">
        <v>15.4857</v>
      </c>
      <c r="V23" s="48">
        <v>19.2246</v>
      </c>
      <c r="W23" s="48">
        <v>23.7668</v>
      </c>
      <c r="X23" s="48">
        <v>29.2006</v>
      </c>
      <c r="Y23" s="48">
        <v>35.97</v>
      </c>
      <c r="Z23" s="48">
        <v>44.4849</v>
      </c>
      <c r="AA23" s="48"/>
      <c r="AB23" s="34"/>
      <c r="AC23" s="34"/>
      <c r="AD23" s="34"/>
      <c r="AE23" s="34"/>
      <c r="AF23" s="34"/>
      <c r="AG23" s="34"/>
    </row>
    <row r="24" ht="15" spans="1:33">
      <c r="A24" s="7" t="s">
        <v>38</v>
      </c>
      <c r="B24" s="11">
        <f>K24*1000</f>
        <v>183100</v>
      </c>
      <c r="C24" s="11">
        <f t="shared" si="10"/>
        <v>236150</v>
      </c>
      <c r="D24" s="11">
        <f t="shared" si="8"/>
        <v>294530</v>
      </c>
      <c r="E24" s="11">
        <f t="shared" si="6"/>
        <v>362430</v>
      </c>
      <c r="F24" s="11">
        <f t="shared" si="4"/>
        <v>447950</v>
      </c>
      <c r="G24" s="11">
        <f t="shared" si="2"/>
        <v>549360</v>
      </c>
      <c r="H24" s="11">
        <f t="shared" si="2"/>
        <v>680760</v>
      </c>
      <c r="I24" s="10"/>
      <c r="J24" s="7" t="s">
        <v>38</v>
      </c>
      <c r="K24" s="19">
        <f>ROUND($O$2*T24/1000,2)</f>
        <v>183.1</v>
      </c>
      <c r="L24" s="19">
        <f t="shared" si="11"/>
        <v>236.15</v>
      </c>
      <c r="M24" s="19">
        <f t="shared" si="9"/>
        <v>294.53</v>
      </c>
      <c r="N24" s="19">
        <f t="shared" si="7"/>
        <v>362.43</v>
      </c>
      <c r="O24" s="19">
        <f t="shared" si="5"/>
        <v>447.95</v>
      </c>
      <c r="P24" s="19">
        <f t="shared" si="3"/>
        <v>549.36</v>
      </c>
      <c r="Q24" s="19">
        <f t="shared" si="3"/>
        <v>680.76</v>
      </c>
      <c r="R24" s="10"/>
      <c r="S24" s="49" t="s">
        <v>38</v>
      </c>
      <c r="T24" s="50">
        <v>15.258</v>
      </c>
      <c r="U24" s="51">
        <v>19.6794</v>
      </c>
      <c r="V24" s="48">
        <v>24.5442</v>
      </c>
      <c r="W24" s="48">
        <v>30.2023</v>
      </c>
      <c r="X24" s="48">
        <v>37.329</v>
      </c>
      <c r="Y24" s="48">
        <v>45.78</v>
      </c>
      <c r="Z24" s="48">
        <v>56.7297</v>
      </c>
      <c r="AA24" s="48"/>
      <c r="AB24" s="34"/>
      <c r="AC24" s="34"/>
      <c r="AD24" s="34"/>
      <c r="AE24" s="34"/>
      <c r="AF24" s="34"/>
      <c r="AG24" s="34"/>
    </row>
    <row r="25" ht="15" spans="1:33">
      <c r="A25" s="7" t="s">
        <v>39</v>
      </c>
      <c r="B25" s="12"/>
      <c r="C25" s="11">
        <f t="shared" si="10"/>
        <v>298650</v>
      </c>
      <c r="D25" s="11">
        <f t="shared" si="8"/>
        <v>371700</v>
      </c>
      <c r="E25" s="11">
        <f t="shared" si="6"/>
        <v>458910</v>
      </c>
      <c r="F25" s="11">
        <f t="shared" si="4"/>
        <v>568080</v>
      </c>
      <c r="G25" s="11">
        <f t="shared" si="2"/>
        <v>696240</v>
      </c>
      <c r="H25" s="11">
        <f t="shared" si="2"/>
        <v>866550</v>
      </c>
      <c r="I25" s="10"/>
      <c r="J25" s="7" t="s">
        <v>39</v>
      </c>
      <c r="K25" s="12"/>
      <c r="L25" s="19">
        <f t="shared" si="11"/>
        <v>298.65</v>
      </c>
      <c r="M25" s="19">
        <f t="shared" si="9"/>
        <v>371.7</v>
      </c>
      <c r="N25" s="19">
        <f t="shared" si="7"/>
        <v>458.91</v>
      </c>
      <c r="O25" s="19">
        <f t="shared" si="5"/>
        <v>568.08</v>
      </c>
      <c r="P25" s="19">
        <f t="shared" si="3"/>
        <v>696.24</v>
      </c>
      <c r="Q25" s="19">
        <f t="shared" si="3"/>
        <v>866.55</v>
      </c>
      <c r="R25" s="10"/>
      <c r="S25" s="49" t="s">
        <v>39</v>
      </c>
      <c r="T25" s="50"/>
      <c r="U25" s="51">
        <v>24.8877</v>
      </c>
      <c r="V25" s="48">
        <v>30.9748</v>
      </c>
      <c r="W25" s="48">
        <v>38.2429</v>
      </c>
      <c r="X25" s="48">
        <v>47.3397</v>
      </c>
      <c r="Y25" s="48">
        <v>58.02</v>
      </c>
      <c r="Z25" s="48">
        <v>72.2129</v>
      </c>
      <c r="AA25" s="48"/>
      <c r="AB25" s="34"/>
      <c r="AC25" s="34"/>
      <c r="AD25" s="34"/>
      <c r="AE25" s="34"/>
      <c r="AF25" s="34"/>
      <c r="AG25" s="34"/>
    </row>
    <row r="26" ht="15" spans="1:33">
      <c r="A26" s="7" t="s">
        <v>40</v>
      </c>
      <c r="B26" s="11">
        <f>K26*1000</f>
        <v>280240</v>
      </c>
      <c r="C26" s="11">
        <f t="shared" si="10"/>
        <v>370980</v>
      </c>
      <c r="D26" s="11">
        <f t="shared" si="8"/>
        <v>457550</v>
      </c>
      <c r="E26" s="11">
        <f t="shared" si="6"/>
        <v>573600</v>
      </c>
      <c r="F26" s="11">
        <f t="shared" si="4"/>
        <v>700760</v>
      </c>
      <c r="G26" s="11">
        <f t="shared" si="2"/>
        <v>863520</v>
      </c>
      <c r="H26" s="11">
        <f t="shared" si="2"/>
        <v>1079560</v>
      </c>
      <c r="I26" s="10"/>
      <c r="J26" s="7" t="s">
        <v>40</v>
      </c>
      <c r="K26" s="19">
        <f>ROUND($O$2*T26/1000,2)</f>
        <v>280.24</v>
      </c>
      <c r="L26" s="19">
        <f t="shared" si="11"/>
        <v>370.98</v>
      </c>
      <c r="M26" s="19">
        <f t="shared" si="9"/>
        <v>457.55</v>
      </c>
      <c r="N26" s="19">
        <f t="shared" si="7"/>
        <v>573.6</v>
      </c>
      <c r="O26" s="19">
        <f t="shared" si="5"/>
        <v>700.76</v>
      </c>
      <c r="P26" s="19">
        <f t="shared" si="3"/>
        <v>863.52</v>
      </c>
      <c r="Q26" s="19">
        <f t="shared" si="3"/>
        <v>1079.56</v>
      </c>
      <c r="R26" s="10"/>
      <c r="S26" s="49" t="s">
        <v>40</v>
      </c>
      <c r="T26" s="50">
        <v>23.353</v>
      </c>
      <c r="U26" s="51">
        <v>30.9153</v>
      </c>
      <c r="V26" s="48">
        <v>38.1289</v>
      </c>
      <c r="W26" s="48">
        <v>47.8</v>
      </c>
      <c r="X26" s="48">
        <v>58.3963</v>
      </c>
      <c r="Y26" s="48">
        <v>71.96</v>
      </c>
      <c r="Z26" s="48">
        <v>89.9635</v>
      </c>
      <c r="AA26" s="48"/>
      <c r="AB26" s="34"/>
      <c r="AC26" s="34"/>
      <c r="AD26" s="34"/>
      <c r="AE26" s="34"/>
      <c r="AF26" s="34"/>
      <c r="AG26" s="34"/>
    </row>
    <row r="27" ht="14.25" spans="1:33">
      <c r="A27" s="13" t="s">
        <v>2032</v>
      </c>
      <c r="B27" s="14"/>
      <c r="C27" s="14"/>
      <c r="D27" s="14"/>
      <c r="E27" s="14"/>
      <c r="F27" s="14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4"/>
      <c r="AC27" s="34"/>
      <c r="AD27" s="34"/>
      <c r="AE27" s="34"/>
      <c r="AF27" s="34"/>
      <c r="AG27" s="34"/>
    </row>
    <row r="28" ht="18.75" spans="1:33">
      <c r="A28" s="3"/>
      <c r="B28" s="3"/>
      <c r="C28" s="5" t="s">
        <v>3</v>
      </c>
      <c r="D28" s="6">
        <v>12000</v>
      </c>
      <c r="E28" s="4" t="s">
        <v>4</v>
      </c>
      <c r="F28" s="4" t="s">
        <v>6</v>
      </c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2" t="s">
        <v>2033</v>
      </c>
      <c r="T28" s="2"/>
      <c r="U28" s="3"/>
      <c r="V28" s="3"/>
      <c r="W28" s="3"/>
      <c r="X28" s="3"/>
      <c r="Y28" s="3"/>
      <c r="Z28" s="3"/>
      <c r="AA28" s="3"/>
      <c r="AB28" s="34"/>
      <c r="AC28" s="34"/>
      <c r="AD28" s="34"/>
      <c r="AE28" s="34"/>
      <c r="AF28" s="34"/>
      <c r="AG28" s="34"/>
    </row>
    <row r="29" ht="18.75" spans="1:33">
      <c r="A29" s="3"/>
      <c r="B29" s="3"/>
      <c r="C29" s="5"/>
      <c r="D29" s="6"/>
      <c r="E29" s="4"/>
      <c r="F29" s="4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2"/>
      <c r="T29" s="2"/>
      <c r="U29" s="3"/>
      <c r="V29" s="3"/>
      <c r="W29" s="3"/>
      <c r="X29" s="3"/>
      <c r="Y29" s="3"/>
      <c r="Z29" s="3"/>
      <c r="AA29" s="3"/>
      <c r="AB29" s="34"/>
      <c r="AC29" s="34"/>
      <c r="AD29" s="34"/>
      <c r="AE29" s="34"/>
      <c r="AF29" s="34"/>
      <c r="AG29" s="34"/>
    </row>
    <row r="30" ht="15" spans="1:33">
      <c r="A30" s="15">
        <v>44</v>
      </c>
      <c r="B30" s="16" t="s">
        <v>2034</v>
      </c>
      <c r="C30" s="17"/>
      <c r="D30" s="18" t="s">
        <v>2035</v>
      </c>
      <c r="E30" s="15">
        <v>0.19</v>
      </c>
      <c r="F30" s="19" t="e">
        <f t="shared" ref="F30:F34" si="14">#N/A</f>
        <v>#N/A</v>
      </c>
      <c r="G30" s="3"/>
      <c r="H30" s="3"/>
      <c r="I30" s="3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</row>
    <row r="31" ht="15" spans="1:33">
      <c r="A31" s="20">
        <v>45</v>
      </c>
      <c r="B31" s="16" t="s">
        <v>2036</v>
      </c>
      <c r="C31" s="17"/>
      <c r="D31" s="18" t="s">
        <v>2035</v>
      </c>
      <c r="E31" s="15">
        <v>0.26</v>
      </c>
      <c r="F31" s="19" t="e">
        <f t="shared" si="14"/>
        <v>#N/A</v>
      </c>
      <c r="G31" s="3"/>
      <c r="H31" s="3"/>
      <c r="I31" s="3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</row>
    <row r="32" ht="15" spans="1:33">
      <c r="A32" s="15">
        <v>46</v>
      </c>
      <c r="B32" s="16" t="s">
        <v>2037</v>
      </c>
      <c r="C32" s="17"/>
      <c r="D32" s="18" t="s">
        <v>2035</v>
      </c>
      <c r="E32" s="15">
        <v>0.41</v>
      </c>
      <c r="F32" s="19" t="e">
        <f t="shared" si="14"/>
        <v>#N/A</v>
      </c>
      <c r="G32" s="3"/>
      <c r="H32" s="3"/>
      <c r="I32" s="3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</row>
    <row r="33" ht="15" spans="1:33">
      <c r="A33" s="20">
        <v>47</v>
      </c>
      <c r="B33" s="16" t="s">
        <v>2038</v>
      </c>
      <c r="C33" s="17"/>
      <c r="D33" s="18" t="s">
        <v>2035</v>
      </c>
      <c r="E33" s="15">
        <v>0.626</v>
      </c>
      <c r="F33" s="19" t="e">
        <f t="shared" si="14"/>
        <v>#N/A</v>
      </c>
      <c r="G33" s="3"/>
      <c r="H33" s="3"/>
      <c r="I33" s="3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</row>
    <row r="34" ht="15" spans="1:33">
      <c r="A34" s="20">
        <v>48</v>
      </c>
      <c r="B34" s="16" t="s">
        <v>2039</v>
      </c>
      <c r="C34" s="17"/>
      <c r="D34" s="18" t="s">
        <v>2040</v>
      </c>
      <c r="E34" s="15">
        <v>0.76</v>
      </c>
      <c r="F34" s="19" t="e">
        <f t="shared" si="14"/>
        <v>#N/A</v>
      </c>
      <c r="G34" s="3"/>
      <c r="H34" s="3"/>
      <c r="I34" s="3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</row>
    <row r="35" ht="14.25" spans="1:33">
      <c r="A35" s="13" t="s">
        <v>2032</v>
      </c>
      <c r="B35" s="14"/>
      <c r="C35" s="14"/>
      <c r="D35" s="14"/>
      <c r="E35" s="14"/>
      <c r="F35" s="14"/>
      <c r="G35" s="3"/>
      <c r="H35" s="3"/>
      <c r="I35" s="3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</row>
    <row r="36" ht="14.25" spans="1:33">
      <c r="A36" s="3"/>
      <c r="B36" s="3"/>
      <c r="C36" s="5" t="s">
        <v>3</v>
      </c>
      <c r="D36" s="6">
        <f>D28</f>
        <v>12000</v>
      </c>
      <c r="E36" s="4" t="s">
        <v>4</v>
      </c>
      <c r="F36" s="4" t="s">
        <v>6</v>
      </c>
      <c r="G36" s="3"/>
      <c r="H36" s="3"/>
      <c r="I36" s="3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</row>
    <row r="37" ht="15" spans="1:33">
      <c r="A37" s="3"/>
      <c r="B37" s="15" t="s">
        <v>2041</v>
      </c>
      <c r="C37" s="18" t="s">
        <v>2035</v>
      </c>
      <c r="D37" s="15">
        <v>0.18</v>
      </c>
      <c r="E37" s="19">
        <f t="shared" ref="E37:E42" si="15">$D$28/1000*D37</f>
        <v>2.16</v>
      </c>
      <c r="F37" s="18" t="s">
        <v>2042</v>
      </c>
      <c r="G37" s="15">
        <v>0.2341</v>
      </c>
      <c r="H37" s="19">
        <f t="shared" ref="H37:H42" si="16">$D$28/1000*G37</f>
        <v>2.8092</v>
      </c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</row>
    <row r="38" ht="15" spans="1:33">
      <c r="A38" s="3"/>
      <c r="B38" s="15" t="s">
        <v>2043</v>
      </c>
      <c r="C38" s="18" t="s">
        <v>2035</v>
      </c>
      <c r="D38" s="15">
        <v>0.265</v>
      </c>
      <c r="E38" s="19">
        <f t="shared" si="15"/>
        <v>3.18</v>
      </c>
      <c r="F38" s="18" t="s">
        <v>2042</v>
      </c>
      <c r="G38" s="15">
        <v>0.3642</v>
      </c>
      <c r="H38" s="19">
        <f t="shared" si="16"/>
        <v>4.3704</v>
      </c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</row>
    <row r="39" ht="15" spans="1:33">
      <c r="A39" s="3"/>
      <c r="B39" s="15" t="s">
        <v>2044</v>
      </c>
      <c r="C39" s="18" t="s">
        <v>2035</v>
      </c>
      <c r="D39" s="15">
        <v>0.41</v>
      </c>
      <c r="E39" s="19">
        <f t="shared" si="15"/>
        <v>4.92</v>
      </c>
      <c r="F39" s="18" t="s">
        <v>2042</v>
      </c>
      <c r="G39" s="15">
        <v>0.5595</v>
      </c>
      <c r="H39" s="19">
        <f t="shared" si="16"/>
        <v>6.714</v>
      </c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</row>
    <row r="40" ht="15" spans="1:33">
      <c r="A40" s="15">
        <v>44</v>
      </c>
      <c r="B40" s="15" t="s">
        <v>2045</v>
      </c>
      <c r="C40" s="18" t="s">
        <v>2035</v>
      </c>
      <c r="D40" s="15">
        <v>0.597</v>
      </c>
      <c r="E40" s="19">
        <f t="shared" si="15"/>
        <v>7.164</v>
      </c>
      <c r="F40" s="18" t="s">
        <v>2042</v>
      </c>
      <c r="G40" s="15">
        <v>0.8889</v>
      </c>
      <c r="H40" s="19">
        <f t="shared" si="16"/>
        <v>10.6668</v>
      </c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</row>
    <row r="41" ht="15" spans="1:33">
      <c r="A41" s="20">
        <v>45</v>
      </c>
      <c r="B41" s="15" t="s">
        <v>2046</v>
      </c>
      <c r="C41" s="18" t="s">
        <v>2035</v>
      </c>
      <c r="D41" s="15">
        <v>0.851</v>
      </c>
      <c r="E41" s="19">
        <f t="shared" si="15"/>
        <v>10.212</v>
      </c>
      <c r="F41" s="18" t="s">
        <v>2042</v>
      </c>
      <c r="G41" s="15">
        <v>1.2356</v>
      </c>
      <c r="H41" s="19">
        <f t="shared" si="16"/>
        <v>14.8272</v>
      </c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</row>
    <row r="42" ht="15" spans="1:33">
      <c r="A42" s="15">
        <v>46</v>
      </c>
      <c r="B42" s="21" t="s">
        <v>2047</v>
      </c>
      <c r="C42" s="18" t="s">
        <v>2035</v>
      </c>
      <c r="D42" s="15">
        <v>1.23</v>
      </c>
      <c r="E42" s="19">
        <f t="shared" si="15"/>
        <v>14.76</v>
      </c>
      <c r="F42" s="18" t="s">
        <v>2035</v>
      </c>
      <c r="G42" s="15">
        <v>1.7717</v>
      </c>
      <c r="H42" s="19">
        <f t="shared" si="16"/>
        <v>21.2604</v>
      </c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</row>
    <row r="43" ht="18.75" spans="1:33">
      <c r="A43" s="2" t="s">
        <v>2048</v>
      </c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</row>
    <row r="44" ht="14.25" spans="1:33">
      <c r="A44" s="4" t="s">
        <v>2049</v>
      </c>
      <c r="B44" s="4"/>
      <c r="C44" s="4"/>
      <c r="D44" s="5"/>
      <c r="E44" s="5"/>
      <c r="F44" s="4"/>
      <c r="G44" s="22">
        <v>40105</v>
      </c>
      <c r="H44" s="22"/>
      <c r="I44" s="35" t="s">
        <v>2050</v>
      </c>
      <c r="J44" s="35"/>
      <c r="K44" s="4" t="s">
        <v>5</v>
      </c>
      <c r="L44" s="3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</row>
    <row r="45" ht="14.25" spans="1:33">
      <c r="A45" s="23" t="s">
        <v>2051</v>
      </c>
      <c r="B45" s="23" t="s">
        <v>2052</v>
      </c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</row>
    <row r="46" ht="14.25" spans="1:33">
      <c r="A46" s="23"/>
      <c r="B46" s="24" t="s">
        <v>12</v>
      </c>
      <c r="C46" s="24" t="s">
        <v>13</v>
      </c>
      <c r="D46" s="24" t="s">
        <v>14</v>
      </c>
      <c r="E46" s="24" t="s">
        <v>15</v>
      </c>
      <c r="F46" s="24" t="s">
        <v>16</v>
      </c>
      <c r="G46" s="24" t="s">
        <v>17</v>
      </c>
      <c r="H46" s="24" t="s">
        <v>18</v>
      </c>
      <c r="I46" s="24" t="s">
        <v>2053</v>
      </c>
      <c r="J46" s="24" t="s">
        <v>2054</v>
      </c>
      <c r="K46" s="24" t="s">
        <v>2055</v>
      </c>
      <c r="L46" s="24" t="s">
        <v>2056</v>
      </c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</row>
    <row r="47" ht="14.25" spans="1:33">
      <c r="A47" s="23" t="s">
        <v>22</v>
      </c>
      <c r="B47" s="25"/>
      <c r="C47" s="25"/>
      <c r="D47" s="26"/>
      <c r="E47" s="26"/>
      <c r="F47" s="26"/>
      <c r="G47" s="26"/>
      <c r="H47" s="26"/>
      <c r="I47" s="36">
        <f t="shared" ref="I47:K47" si="17">39*1000</f>
        <v>39000</v>
      </c>
      <c r="J47" s="36">
        <f t="shared" si="17"/>
        <v>39000</v>
      </c>
      <c r="K47" s="36">
        <f t="shared" si="17"/>
        <v>39000</v>
      </c>
      <c r="L47" s="36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</row>
    <row r="48" ht="14.25" spans="1:33">
      <c r="A48" s="23" t="s">
        <v>23</v>
      </c>
      <c r="B48" s="25"/>
      <c r="C48" s="26"/>
      <c r="D48" s="26"/>
      <c r="E48" s="26"/>
      <c r="F48" s="26"/>
      <c r="G48" s="26"/>
      <c r="H48" s="26"/>
      <c r="I48" s="36">
        <f t="shared" ref="I48:K48" si="18">49*1000</f>
        <v>49000</v>
      </c>
      <c r="J48" s="36">
        <f t="shared" si="18"/>
        <v>49000</v>
      </c>
      <c r="K48" s="36">
        <f t="shared" si="18"/>
        <v>49000</v>
      </c>
      <c r="L48" s="36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</row>
    <row r="49" ht="14.25" spans="1:33">
      <c r="A49" s="23" t="s">
        <v>24</v>
      </c>
      <c r="B49" s="26"/>
      <c r="C49" s="26"/>
      <c r="D49" s="26"/>
      <c r="E49" s="26"/>
      <c r="F49" s="26"/>
      <c r="G49" s="26"/>
      <c r="H49" s="26"/>
      <c r="I49" s="36">
        <f t="shared" ref="I49:K49" si="19">59*1000</f>
        <v>59000</v>
      </c>
      <c r="J49" s="36">
        <f t="shared" si="19"/>
        <v>59000</v>
      </c>
      <c r="K49" s="36">
        <f t="shared" si="19"/>
        <v>59000</v>
      </c>
      <c r="L49" s="36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</row>
    <row r="50" ht="14.25" spans="1:33">
      <c r="A50" s="23" t="s">
        <v>25</v>
      </c>
      <c r="B50" s="26"/>
      <c r="C50" s="26"/>
      <c r="D50" s="26"/>
      <c r="E50" s="26"/>
      <c r="F50" s="26"/>
      <c r="G50" s="26"/>
      <c r="H50" s="26"/>
      <c r="I50" s="36">
        <f t="shared" ref="I50:K50" si="20">75*1000</f>
        <v>75000</v>
      </c>
      <c r="J50" s="36">
        <f t="shared" si="20"/>
        <v>75000</v>
      </c>
      <c r="K50" s="36">
        <f t="shared" si="20"/>
        <v>75000</v>
      </c>
      <c r="L50" s="36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</row>
    <row r="51" ht="14.25" spans="1:33">
      <c r="A51" s="23" t="s">
        <v>26</v>
      </c>
      <c r="B51" s="26"/>
      <c r="C51" s="26"/>
      <c r="D51" s="26"/>
      <c r="E51" s="26"/>
      <c r="F51" s="26"/>
      <c r="G51" s="26"/>
      <c r="H51" s="26"/>
      <c r="I51" s="36"/>
      <c r="J51" s="36"/>
      <c r="K51" s="36">
        <f>135*1000</f>
        <v>135000</v>
      </c>
      <c r="L51" s="36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</row>
    <row r="52" ht="14.25" spans="1:33">
      <c r="A52" s="23" t="s">
        <v>2057</v>
      </c>
      <c r="B52" s="26"/>
      <c r="C52" s="26"/>
      <c r="D52" s="26"/>
      <c r="E52" s="26"/>
      <c r="F52" s="26"/>
      <c r="G52" s="26"/>
      <c r="H52" s="26"/>
      <c r="I52" s="36">
        <f>120*1000</f>
        <v>120000</v>
      </c>
      <c r="J52" s="36">
        <f>120*1000</f>
        <v>120000</v>
      </c>
      <c r="K52" s="36"/>
      <c r="L52" s="36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</row>
    <row r="53" ht="14.25" spans="1:33">
      <c r="A53" s="23" t="s">
        <v>27</v>
      </c>
      <c r="B53" s="26"/>
      <c r="C53" s="26"/>
      <c r="D53" s="26"/>
      <c r="E53" s="26"/>
      <c r="F53" s="26"/>
      <c r="G53" s="26"/>
      <c r="H53" s="26"/>
      <c r="I53" s="36"/>
      <c r="J53" s="36">
        <f>120*1000</f>
        <v>120000</v>
      </c>
      <c r="K53" s="37">
        <f>120*1000</f>
        <v>120000</v>
      </c>
      <c r="L53" s="36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</row>
    <row r="54" ht="14.25" spans="1:33">
      <c r="A54" s="23" t="s">
        <v>28</v>
      </c>
      <c r="B54" s="26"/>
      <c r="C54" s="26"/>
      <c r="D54" s="26"/>
      <c r="E54" s="26"/>
      <c r="F54" s="26"/>
      <c r="G54" s="26"/>
      <c r="H54" s="26">
        <v>155000</v>
      </c>
      <c r="I54" s="36"/>
      <c r="J54" s="37">
        <f>147*1000</f>
        <v>147000</v>
      </c>
      <c r="K54" s="36">
        <f>180*1000</f>
        <v>180000</v>
      </c>
      <c r="L54" s="36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</row>
    <row r="55" ht="14.25" spans="1:33">
      <c r="A55" s="23" t="s">
        <v>2058</v>
      </c>
      <c r="B55" s="27">
        <f>100*1000</f>
        <v>100000</v>
      </c>
      <c r="C55" s="28">
        <f>110*1000</f>
        <v>110000</v>
      </c>
      <c r="D55" s="28">
        <f>125*1000</f>
        <v>125000</v>
      </c>
      <c r="E55" s="28">
        <f>145*1000</f>
        <v>145000</v>
      </c>
      <c r="F55" s="28">
        <f>158*1000</f>
        <v>158000</v>
      </c>
      <c r="G55" s="28">
        <f>166*1000</f>
        <v>166000</v>
      </c>
      <c r="H55" s="29">
        <f>174*1000</f>
        <v>174000</v>
      </c>
      <c r="I55" s="29">
        <f>195*1000</f>
        <v>195000</v>
      </c>
      <c r="J55" s="29">
        <f>200*1000</f>
        <v>200000</v>
      </c>
      <c r="K55" s="29"/>
      <c r="L55" s="38">
        <f>200*1.2*1000+27.25*1000</f>
        <v>267250</v>
      </c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</row>
    <row r="56" ht="14.25" spans="1:33">
      <c r="A56" s="23" t="s">
        <v>30</v>
      </c>
      <c r="B56" s="28"/>
      <c r="C56" s="28"/>
      <c r="D56" s="28"/>
      <c r="E56" s="28"/>
      <c r="F56" s="28"/>
      <c r="G56" s="28"/>
      <c r="H56" s="28"/>
      <c r="I56" s="39">
        <f>148*1.1*1000+27.66*1000</f>
        <v>190460</v>
      </c>
      <c r="J56" s="29"/>
      <c r="K56" s="29"/>
      <c r="L56" s="29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</row>
    <row r="57" ht="14.25" spans="1:33">
      <c r="A57" s="23" t="s">
        <v>32</v>
      </c>
      <c r="B57" s="28">
        <f>115*1000</f>
        <v>115000</v>
      </c>
      <c r="C57" s="28">
        <f>125*1000</f>
        <v>125000</v>
      </c>
      <c r="D57" s="28">
        <f>140*1000</f>
        <v>140000</v>
      </c>
      <c r="E57" s="28">
        <f>155*1000</f>
        <v>155000</v>
      </c>
      <c r="F57" s="28">
        <f>168*1000</f>
        <v>168000</v>
      </c>
      <c r="G57" s="29">
        <f>225*1000</f>
        <v>225000</v>
      </c>
      <c r="H57" s="29">
        <f>261*1000</f>
        <v>261000</v>
      </c>
      <c r="I57" s="29">
        <f>340*0.9*1000</f>
        <v>306000</v>
      </c>
      <c r="J57" s="29">
        <f>360*0.9*1000</f>
        <v>324000</v>
      </c>
      <c r="K57" s="29"/>
      <c r="L57" s="29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</row>
    <row r="58" ht="14.25" spans="1:33">
      <c r="A58" s="23" t="s">
        <v>34</v>
      </c>
      <c r="B58" s="27">
        <f>165*1000</f>
        <v>165000</v>
      </c>
      <c r="C58" s="27">
        <f>180*1000</f>
        <v>180000</v>
      </c>
      <c r="D58" s="27">
        <f>200*1000</f>
        <v>200000</v>
      </c>
      <c r="E58" s="27">
        <f>210*1000</f>
        <v>210000</v>
      </c>
      <c r="F58" s="27">
        <f>220*1000</f>
        <v>220000</v>
      </c>
      <c r="G58" s="27">
        <f>260*1000</f>
        <v>260000</v>
      </c>
      <c r="H58" s="29">
        <f>324*1000</f>
        <v>324000</v>
      </c>
      <c r="I58" s="29">
        <f>369*1000</f>
        <v>369000</v>
      </c>
      <c r="J58" s="29"/>
      <c r="K58" s="29"/>
      <c r="L58" s="29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</row>
    <row r="59" ht="14.25" spans="1:33">
      <c r="A59" s="23" t="s">
        <v>2059</v>
      </c>
      <c r="B59" s="27">
        <f>170*1000</f>
        <v>170000</v>
      </c>
      <c r="C59" s="27">
        <f>195*1000</f>
        <v>195000</v>
      </c>
      <c r="D59" s="27">
        <f>220*1000</f>
        <v>220000</v>
      </c>
      <c r="E59" s="27">
        <f>240*1000</f>
        <v>240000</v>
      </c>
      <c r="F59" s="29">
        <f>288*1000</f>
        <v>288000</v>
      </c>
      <c r="G59" s="29">
        <f>351*1000</f>
        <v>351000</v>
      </c>
      <c r="H59" s="27">
        <f>400*1000</f>
        <v>400000</v>
      </c>
      <c r="I59" s="27">
        <f>450*1000</f>
        <v>450000</v>
      </c>
      <c r="J59" s="29"/>
      <c r="K59" s="29"/>
      <c r="L59" s="29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</row>
    <row r="60" ht="14.25" spans="1:33">
      <c r="A60" s="23" t="s">
        <v>38</v>
      </c>
      <c r="B60" s="27">
        <f>266*1000</f>
        <v>266000</v>
      </c>
      <c r="C60" s="27">
        <f>285*1000</f>
        <v>285000</v>
      </c>
      <c r="D60" s="27">
        <f>318*1000</f>
        <v>318000</v>
      </c>
      <c r="E60" s="27">
        <f>330*1000</f>
        <v>330000</v>
      </c>
      <c r="F60" s="29">
        <f>425*1000</f>
        <v>425000</v>
      </c>
      <c r="G60" s="29">
        <f>493*1000</f>
        <v>493000</v>
      </c>
      <c r="H60" s="27">
        <f>540*1000</f>
        <v>540000</v>
      </c>
      <c r="I60" s="27">
        <f>600*1000</f>
        <v>600000</v>
      </c>
      <c r="J60" s="29"/>
      <c r="K60" s="29"/>
      <c r="L60" s="29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</row>
    <row r="61" ht="14.25" spans="1:33">
      <c r="A61" s="23" t="s">
        <v>39</v>
      </c>
      <c r="B61" s="27">
        <f>290*1000</f>
        <v>290000</v>
      </c>
      <c r="C61" s="27">
        <f>315*1000</f>
        <v>315000</v>
      </c>
      <c r="D61" s="27">
        <f>335*1000</f>
        <v>335000</v>
      </c>
      <c r="E61" s="27">
        <f>350*1000</f>
        <v>350000</v>
      </c>
      <c r="F61" s="29">
        <f>459*1000</f>
        <v>459000</v>
      </c>
      <c r="G61" s="29">
        <f>553*1000</f>
        <v>553000</v>
      </c>
      <c r="H61" s="29">
        <f>646*1000</f>
        <v>646000</v>
      </c>
      <c r="I61" s="27">
        <f>700*1000</f>
        <v>700000</v>
      </c>
      <c r="J61" s="29"/>
      <c r="K61" s="29"/>
      <c r="L61" s="29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</row>
    <row r="62" ht="14.25" spans="1:33">
      <c r="A62" s="23" t="s">
        <v>40</v>
      </c>
      <c r="B62" s="30">
        <f>330*1000</f>
        <v>330000</v>
      </c>
      <c r="C62" s="27">
        <f>365*1000</f>
        <v>365000</v>
      </c>
      <c r="D62" s="27">
        <f>378*1000</f>
        <v>378000</v>
      </c>
      <c r="E62" s="27">
        <f>430*1000</f>
        <v>430000</v>
      </c>
      <c r="F62" s="27">
        <f>480*1000</f>
        <v>480000</v>
      </c>
      <c r="G62" s="28">
        <v>620000</v>
      </c>
      <c r="H62" s="31">
        <v>780000</v>
      </c>
      <c r="I62" s="27">
        <f>940*1000</f>
        <v>940000</v>
      </c>
      <c r="J62" s="29"/>
      <c r="K62" s="29"/>
      <c r="L62" s="29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</row>
    <row r="63" ht="14.25" spans="1:33">
      <c r="A63" s="23" t="s">
        <v>2060</v>
      </c>
      <c r="B63" s="27">
        <f>450*1000</f>
        <v>450000</v>
      </c>
      <c r="C63" s="27">
        <f>488*1000</f>
        <v>488000</v>
      </c>
      <c r="D63" s="27">
        <f>515*1000</f>
        <v>515000</v>
      </c>
      <c r="E63" s="27">
        <f>550*1000</f>
        <v>550000</v>
      </c>
      <c r="F63" s="27">
        <f>610*1000</f>
        <v>610000</v>
      </c>
      <c r="G63" s="27">
        <f>700*1000</f>
        <v>700000</v>
      </c>
      <c r="H63" s="27">
        <f>820*1000</f>
        <v>820000</v>
      </c>
      <c r="I63" s="27">
        <f>1000*1000</f>
        <v>1000000</v>
      </c>
      <c r="J63" s="30"/>
      <c r="K63" s="30"/>
      <c r="L63" s="30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</row>
    <row r="64" ht="14.25" spans="1:33">
      <c r="A64" s="23" t="s">
        <v>2061</v>
      </c>
      <c r="B64" s="27">
        <f>560*1000</f>
        <v>560000</v>
      </c>
      <c r="C64" s="27">
        <f>590*1000</f>
        <v>590000</v>
      </c>
      <c r="D64" s="27">
        <f>625*1000</f>
        <v>625000</v>
      </c>
      <c r="E64" s="27">
        <f>6800*1000</f>
        <v>6800000</v>
      </c>
      <c r="F64" s="27">
        <f>760*1000</f>
        <v>760000</v>
      </c>
      <c r="G64" s="27">
        <f>840*1000</f>
        <v>840000</v>
      </c>
      <c r="H64" s="27">
        <f>960*1000</f>
        <v>960000</v>
      </c>
      <c r="I64" s="27">
        <f>1080*1000</f>
        <v>1080000</v>
      </c>
      <c r="J64" s="30"/>
      <c r="K64" s="30"/>
      <c r="L64" s="30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</row>
    <row r="65" ht="14.25" spans="1:33">
      <c r="A65" s="23" t="s">
        <v>2062</v>
      </c>
      <c r="B65" s="27">
        <f>680*1000</f>
        <v>680000</v>
      </c>
      <c r="C65" s="27">
        <f>710*1000</f>
        <v>710000</v>
      </c>
      <c r="D65" s="27">
        <f>740*1000</f>
        <v>740000</v>
      </c>
      <c r="E65" s="27">
        <f>790*1000</f>
        <v>790000</v>
      </c>
      <c r="F65" s="27">
        <f>860*1000</f>
        <v>860000</v>
      </c>
      <c r="G65" s="27">
        <f>1020*1000</f>
        <v>1020000</v>
      </c>
      <c r="H65" s="27">
        <f>1180*1000</f>
        <v>1180000</v>
      </c>
      <c r="I65" s="27">
        <f>1360*1000</f>
        <v>1360000</v>
      </c>
      <c r="J65" s="30"/>
      <c r="K65" s="30"/>
      <c r="L65" s="30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</row>
    <row r="66" ht="14.25" spans="1:33">
      <c r="A66" s="23" t="s">
        <v>2063</v>
      </c>
      <c r="B66" s="27">
        <f>920*1000</f>
        <v>920000</v>
      </c>
      <c r="C66" s="27">
        <f>960*1000</f>
        <v>960000</v>
      </c>
      <c r="D66" s="27">
        <f>1000*1000</f>
        <v>1000000</v>
      </c>
      <c r="E66" s="27">
        <f>1080*1000</f>
        <v>1080000</v>
      </c>
      <c r="F66" s="27">
        <f>1190*1000</f>
        <v>1190000</v>
      </c>
      <c r="G66" s="27">
        <f>1380*1000</f>
        <v>1380000</v>
      </c>
      <c r="H66" s="27">
        <f>1560*1000</f>
        <v>1560000</v>
      </c>
      <c r="I66" s="27">
        <f>1780*1000</f>
        <v>1780000</v>
      </c>
      <c r="J66" s="30"/>
      <c r="K66" s="30"/>
      <c r="L66" s="30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</row>
    <row r="67" ht="14.25" spans="1:33">
      <c r="A67" s="23" t="s">
        <v>2064</v>
      </c>
      <c r="B67" s="27">
        <f>1160*1000</f>
        <v>1160000</v>
      </c>
      <c r="C67" s="27">
        <f>1200*1000</f>
        <v>1200000</v>
      </c>
      <c r="D67" s="27">
        <f>1280*1000</f>
        <v>1280000</v>
      </c>
      <c r="E67" s="27">
        <f>1420*1000</f>
        <v>1420000</v>
      </c>
      <c r="F67" s="27">
        <f>1600*1000</f>
        <v>1600000</v>
      </c>
      <c r="G67" s="27">
        <f>1860*1000</f>
        <v>1860000</v>
      </c>
      <c r="H67" s="27">
        <f>2100*1000</f>
        <v>2100000</v>
      </c>
      <c r="I67" s="27">
        <f>2380*1000</f>
        <v>2380000</v>
      </c>
      <c r="J67" s="30"/>
      <c r="K67" s="30"/>
      <c r="L67" s="30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</row>
    <row r="68" ht="14.25" spans="1:33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</row>
    <row r="69" ht="14.25" spans="1:33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</row>
    <row r="70" ht="14.25" spans="1:33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</row>
    <row r="71" ht="14.25" spans="1:33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</row>
    <row r="72" ht="14.25" spans="1:33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</row>
    <row r="73" ht="14.25" spans="1:33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</row>
    <row r="74" ht="14.25" spans="1:33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</row>
    <row r="75" ht="14.25" spans="1:33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</row>
    <row r="76" ht="14.25" spans="1:33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</row>
    <row r="77" ht="14.25" spans="1:33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</row>
    <row r="78" ht="14.25" spans="1:33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</row>
    <row r="79" ht="14.25" spans="1:33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</row>
    <row r="80" ht="14.25" spans="1:33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</row>
    <row r="81" ht="14.25" spans="1:33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</row>
    <row r="82" ht="14.25" spans="1:33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</row>
    <row r="83" ht="14.25" spans="1:33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</row>
    <row r="84" ht="14.25" spans="1:33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</row>
    <row r="85" ht="14.25" spans="1:33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</row>
    <row r="86" ht="14.25" spans="1:33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</row>
    <row r="87" ht="14.25" spans="1:33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</row>
    <row r="88" ht="14.25" spans="1:33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</row>
    <row r="89" ht="14.25" spans="1:33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</row>
    <row r="90" ht="14.25" spans="1:33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</row>
    <row r="91" ht="14.25" spans="1:33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</row>
    <row r="92" ht="14.25" spans="1:33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</row>
    <row r="93" ht="14.25" spans="1:33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</row>
    <row r="94" ht="14.25" spans="1:33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</row>
    <row r="95" ht="14.25" spans="1:33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</row>
    <row r="96" ht="14.25" spans="1:33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</row>
    <row r="97" ht="14.25" spans="1:33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</row>
    <row r="98" ht="14.25" spans="1:33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</row>
    <row r="99" ht="14.25" spans="1:33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</row>
    <row r="100" ht="14.25" spans="1:33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</row>
    <row r="101" ht="14.25" spans="1:33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</row>
    <row r="102" ht="14.25" spans="1:33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</row>
    <row r="103" ht="14.25" spans="1:33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</row>
  </sheetData>
  <mergeCells count="15">
    <mergeCell ref="C3:I3"/>
    <mergeCell ref="L3:R3"/>
    <mergeCell ref="T3:AA3"/>
    <mergeCell ref="A27:F27"/>
    <mergeCell ref="B32:C32"/>
    <mergeCell ref="B33:C33"/>
    <mergeCell ref="B34:C34"/>
    <mergeCell ref="A35:F35"/>
    <mergeCell ref="G44:H44"/>
    <mergeCell ref="I44:J44"/>
    <mergeCell ref="B45:L45"/>
    <mergeCell ref="A3:A4"/>
    <mergeCell ref="A45:A46"/>
    <mergeCell ref="J3:J4"/>
    <mergeCell ref="S3:S4"/>
  </mergeCells>
  <pageMargins left="0.75" right="0.75" top="1" bottom="1" header="0.5" footer="0.5"/>
  <pageSetup paperSize="9" orientation="portrait"/>
  <headerFooter alignWithMargins="0" scaleWithDoc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AC77"/>
  <sheetViews>
    <sheetView workbookViewId="0">
      <selection activeCell="O58" sqref="O58"/>
    </sheetView>
  </sheetViews>
  <sheetFormatPr defaultColWidth="9" defaultRowHeight="15.75"/>
  <cols>
    <col min="1" max="9" width="9" style="716"/>
    <col min="10" max="10" width="1.875" style="716" customWidth="1"/>
    <col min="11" max="11" width="7.75" style="716" customWidth="1"/>
    <col min="12" max="12" width="8.625" style="716" customWidth="1"/>
    <col min="13" max="18" width="9" style="716"/>
    <col min="19" max="19" width="7.375" style="716" customWidth="1"/>
    <col min="20" max="20" width="3" style="716" customWidth="1"/>
    <col min="21" max="21" width="7.25" style="716" customWidth="1"/>
    <col min="22" max="22" width="8.125" style="716" customWidth="1"/>
    <col min="23" max="23" width="8" style="716" customWidth="1"/>
    <col min="24" max="24" width="8.75" style="716" customWidth="1"/>
    <col min="25" max="16384" width="9" style="716"/>
  </cols>
  <sheetData>
    <row r="1" ht="18.75" spans="1:29">
      <c r="A1" s="717" t="s">
        <v>0</v>
      </c>
      <c r="B1" s="717"/>
      <c r="K1" s="717" t="s">
        <v>0</v>
      </c>
      <c r="L1" s="717"/>
      <c r="T1" s="735"/>
      <c r="U1" s="745" t="s">
        <v>1</v>
      </c>
      <c r="V1" s="745"/>
      <c r="W1" s="746"/>
      <c r="X1" s="746"/>
      <c r="Y1" s="746"/>
      <c r="Z1" s="746"/>
      <c r="AA1" s="746"/>
      <c r="AB1" s="746" t="s">
        <v>2</v>
      </c>
      <c r="AC1" s="746"/>
    </row>
    <row r="2" s="715" customFormat="1" ht="21.75" customHeight="1" spans="5:29">
      <c r="E2" s="718" t="s">
        <v>3</v>
      </c>
      <c r="F2" s="719">
        <f>P2</f>
        <v>11500</v>
      </c>
      <c r="G2" s="715" t="s">
        <v>4</v>
      </c>
      <c r="H2" s="715" t="s">
        <v>5</v>
      </c>
      <c r="O2" s="718" t="s">
        <v>3</v>
      </c>
      <c r="P2" s="728">
        <v>11500</v>
      </c>
      <c r="Q2" s="715" t="s">
        <v>4</v>
      </c>
      <c r="R2" s="715" t="s">
        <v>6</v>
      </c>
      <c r="T2" s="747"/>
      <c r="U2" s="748"/>
      <c r="V2" s="748"/>
      <c r="W2" s="746"/>
      <c r="X2" s="746"/>
      <c r="Y2" s="746"/>
      <c r="Z2" s="746"/>
      <c r="AA2" s="746"/>
      <c r="AB2" s="746"/>
      <c r="AC2" s="746"/>
    </row>
    <row r="3" ht="23.25" customHeight="1" spans="1:29">
      <c r="A3" s="720" t="s">
        <v>7</v>
      </c>
      <c r="B3" s="720"/>
      <c r="C3" s="720" t="s">
        <v>8</v>
      </c>
      <c r="D3" s="720"/>
      <c r="E3" s="720"/>
      <c r="F3" s="720"/>
      <c r="G3" s="720"/>
      <c r="H3" s="720"/>
      <c r="I3" s="720"/>
      <c r="K3" s="729" t="s">
        <v>7</v>
      </c>
      <c r="L3" s="729"/>
      <c r="M3" s="729" t="s">
        <v>8</v>
      </c>
      <c r="N3" s="729"/>
      <c r="O3" s="729"/>
      <c r="P3" s="729"/>
      <c r="Q3" s="729"/>
      <c r="R3" s="729"/>
      <c r="S3" s="729"/>
      <c r="T3" s="736"/>
      <c r="U3" s="749" t="s">
        <v>9</v>
      </c>
      <c r="V3" s="750" t="s">
        <v>10</v>
      </c>
      <c r="W3" s="751"/>
      <c r="X3" s="751"/>
      <c r="Y3" s="751"/>
      <c r="Z3" s="751"/>
      <c r="AA3" s="751"/>
      <c r="AB3" s="751"/>
      <c r="AC3" s="776"/>
    </row>
    <row r="4" ht="27" spans="1:29">
      <c r="A4" s="720"/>
      <c r="B4" s="721" t="s">
        <v>11</v>
      </c>
      <c r="C4" s="722" t="s">
        <v>12</v>
      </c>
      <c r="D4" s="722" t="s">
        <v>13</v>
      </c>
      <c r="E4" s="722" t="s">
        <v>14</v>
      </c>
      <c r="F4" s="722" t="s">
        <v>15</v>
      </c>
      <c r="G4" s="722" t="s">
        <v>16</v>
      </c>
      <c r="H4" s="722" t="s">
        <v>17</v>
      </c>
      <c r="I4" s="722" t="s">
        <v>18</v>
      </c>
      <c r="K4" s="729"/>
      <c r="L4" s="730" t="s">
        <v>11</v>
      </c>
      <c r="M4" s="731" t="s">
        <v>12</v>
      </c>
      <c r="N4" s="731" t="s">
        <v>13</v>
      </c>
      <c r="O4" s="731" t="s">
        <v>14</v>
      </c>
      <c r="P4" s="731" t="s">
        <v>15</v>
      </c>
      <c r="Q4" s="731" t="s">
        <v>16</v>
      </c>
      <c r="R4" s="731" t="s">
        <v>17</v>
      </c>
      <c r="S4" s="731" t="s">
        <v>18</v>
      </c>
      <c r="T4" s="736"/>
      <c r="U4" s="752"/>
      <c r="V4" s="730" t="s">
        <v>11</v>
      </c>
      <c r="W4" s="730" t="s">
        <v>12</v>
      </c>
      <c r="X4" s="730" t="s">
        <v>13</v>
      </c>
      <c r="Y4" s="730" t="s">
        <v>14</v>
      </c>
      <c r="Z4" s="730" t="s">
        <v>15</v>
      </c>
      <c r="AA4" s="730" t="s">
        <v>16</v>
      </c>
      <c r="AB4" s="730" t="s">
        <v>17</v>
      </c>
      <c r="AC4" s="730" t="s">
        <v>18</v>
      </c>
    </row>
    <row r="5" ht="15" spans="1:29">
      <c r="A5" s="720" t="s">
        <v>19</v>
      </c>
      <c r="B5" s="720"/>
      <c r="C5" s="723"/>
      <c r="D5" s="723"/>
      <c r="E5" s="723"/>
      <c r="F5" s="723"/>
      <c r="G5" s="723"/>
      <c r="H5" s="724">
        <f>R5*1000</f>
        <v>2110</v>
      </c>
      <c r="I5" s="724">
        <f>S5*1000</f>
        <v>2400</v>
      </c>
      <c r="K5" s="729" t="s">
        <v>19</v>
      </c>
      <c r="L5" s="729"/>
      <c r="M5" s="732"/>
      <c r="N5" s="732"/>
      <c r="O5" s="732"/>
      <c r="P5" s="732"/>
      <c r="Q5" s="732"/>
      <c r="R5" s="733">
        <f>ROUND($P$2*AB5/1000,2)</f>
        <v>2.11</v>
      </c>
      <c r="S5" s="733">
        <f>ROUND($P$2*AC5/1000,2)</f>
        <v>2.4</v>
      </c>
      <c r="T5" s="736"/>
      <c r="U5" s="730" t="s">
        <v>19</v>
      </c>
      <c r="V5" s="730"/>
      <c r="W5" s="753"/>
      <c r="X5" s="753"/>
      <c r="Y5" s="753"/>
      <c r="Z5" s="753"/>
      <c r="AA5" s="753"/>
      <c r="AB5" s="753">
        <v>0.1833</v>
      </c>
      <c r="AC5" s="753">
        <v>0.2083</v>
      </c>
    </row>
    <row r="6" ht="15" spans="1:29">
      <c r="A6" s="720" t="s">
        <v>20</v>
      </c>
      <c r="B6" s="720"/>
      <c r="C6" s="723"/>
      <c r="D6" s="723"/>
      <c r="E6" s="723"/>
      <c r="F6" s="723"/>
      <c r="G6" s="724">
        <f t="shared" ref="G6:I6" si="0">Q6*1000</f>
        <v>2660</v>
      </c>
      <c r="H6" s="724">
        <f t="shared" si="0"/>
        <v>3080</v>
      </c>
      <c r="I6" s="724">
        <f t="shared" si="0"/>
        <v>3610</v>
      </c>
      <c r="K6" s="729" t="s">
        <v>20</v>
      </c>
      <c r="L6" s="729"/>
      <c r="M6" s="732"/>
      <c r="N6" s="732"/>
      <c r="O6" s="732"/>
      <c r="P6" s="732"/>
      <c r="Q6" s="733">
        <f t="shared" ref="Q6:S6" si="1">ROUND($P$2*AA6/1000,2)</f>
        <v>2.66</v>
      </c>
      <c r="R6" s="733">
        <f t="shared" si="1"/>
        <v>3.08</v>
      </c>
      <c r="S6" s="733">
        <f t="shared" si="1"/>
        <v>3.61</v>
      </c>
      <c r="T6" s="736"/>
      <c r="U6" s="730" t="s">
        <v>20</v>
      </c>
      <c r="V6" s="730"/>
      <c r="W6" s="753"/>
      <c r="X6" s="753"/>
      <c r="Y6" s="753"/>
      <c r="Z6" s="753"/>
      <c r="AA6" s="753">
        <v>0.2311</v>
      </c>
      <c r="AB6" s="753">
        <v>0.268</v>
      </c>
      <c r="AC6" s="753">
        <v>0.3135</v>
      </c>
    </row>
    <row r="7" ht="15" spans="1:29">
      <c r="A7" s="720" t="s">
        <v>21</v>
      </c>
      <c r="B7" s="720"/>
      <c r="C7" s="723"/>
      <c r="D7" s="723"/>
      <c r="E7" s="723"/>
      <c r="F7" s="724">
        <f t="shared" ref="F7:I7" si="2">P7*1000</f>
        <v>3480</v>
      </c>
      <c r="G7" s="724">
        <f t="shared" si="2"/>
        <v>4130</v>
      </c>
      <c r="H7" s="724">
        <f t="shared" si="2"/>
        <v>4900</v>
      </c>
      <c r="I7" s="724">
        <f t="shared" si="2"/>
        <v>5900</v>
      </c>
      <c r="K7" s="729" t="s">
        <v>21</v>
      </c>
      <c r="L7" s="729"/>
      <c r="M7" s="732"/>
      <c r="N7" s="732"/>
      <c r="O7" s="732"/>
      <c r="P7" s="733">
        <f t="shared" ref="P7:S7" si="3">ROUND($P$2*Z7/1000,2)</f>
        <v>3.48</v>
      </c>
      <c r="Q7" s="733">
        <f t="shared" si="3"/>
        <v>4.13</v>
      </c>
      <c r="R7" s="733">
        <f t="shared" si="3"/>
        <v>4.9</v>
      </c>
      <c r="S7" s="733">
        <f t="shared" si="3"/>
        <v>5.9</v>
      </c>
      <c r="T7" s="736"/>
      <c r="U7" s="730" t="s">
        <v>21</v>
      </c>
      <c r="V7" s="730"/>
      <c r="W7" s="753"/>
      <c r="X7" s="753"/>
      <c r="Y7" s="753"/>
      <c r="Z7" s="753">
        <v>0.3026</v>
      </c>
      <c r="AA7" s="753">
        <v>0.3589</v>
      </c>
      <c r="AB7" s="753">
        <v>0.4258</v>
      </c>
      <c r="AC7" s="753">
        <v>0.5134</v>
      </c>
    </row>
    <row r="8" ht="15" spans="1:29">
      <c r="A8" s="720" t="s">
        <v>22</v>
      </c>
      <c r="B8" s="720"/>
      <c r="C8" s="723"/>
      <c r="D8" s="723"/>
      <c r="E8" s="724">
        <f t="shared" ref="E8:I8" si="4">O8*1000</f>
        <v>4420</v>
      </c>
      <c r="F8" s="724">
        <f t="shared" si="4"/>
        <v>5260</v>
      </c>
      <c r="G8" s="724">
        <f t="shared" si="4"/>
        <v>6350</v>
      </c>
      <c r="H8" s="724">
        <f t="shared" si="4"/>
        <v>7780</v>
      </c>
      <c r="I8" s="724">
        <f t="shared" si="4"/>
        <v>9210</v>
      </c>
      <c r="K8" s="729" t="s">
        <v>22</v>
      </c>
      <c r="L8" s="729"/>
      <c r="M8" s="732"/>
      <c r="N8" s="732"/>
      <c r="O8" s="733">
        <f t="shared" ref="O8:S8" si="5">ROUND($P$2*Y8/1000,2)</f>
        <v>4.42</v>
      </c>
      <c r="P8" s="733">
        <f t="shared" si="5"/>
        <v>5.26</v>
      </c>
      <c r="Q8" s="733">
        <f t="shared" si="5"/>
        <v>6.35</v>
      </c>
      <c r="R8" s="733">
        <f t="shared" si="5"/>
        <v>7.78</v>
      </c>
      <c r="S8" s="733">
        <f t="shared" si="5"/>
        <v>9.21</v>
      </c>
      <c r="T8" s="736"/>
      <c r="U8" s="730" t="s">
        <v>22</v>
      </c>
      <c r="V8" s="730"/>
      <c r="W8" s="753"/>
      <c r="X8" s="753"/>
      <c r="Y8" s="753">
        <v>0.3841</v>
      </c>
      <c r="Z8" s="753">
        <v>0.4574</v>
      </c>
      <c r="AA8" s="753">
        <v>0.5521</v>
      </c>
      <c r="AB8" s="753">
        <v>0.6761</v>
      </c>
      <c r="AC8" s="753">
        <v>0.8005</v>
      </c>
    </row>
    <row r="9" ht="15" spans="1:29">
      <c r="A9" s="720" t="s">
        <v>23</v>
      </c>
      <c r="B9" s="720"/>
      <c r="C9" s="723"/>
      <c r="D9" s="724">
        <f t="shared" ref="D9:I9" si="6">N9*1000</f>
        <v>5620</v>
      </c>
      <c r="E9" s="724">
        <f t="shared" si="6"/>
        <v>6700</v>
      </c>
      <c r="F9" s="724">
        <f t="shared" si="6"/>
        <v>8120</v>
      </c>
      <c r="G9" s="724">
        <f t="shared" si="6"/>
        <v>10220</v>
      </c>
      <c r="H9" s="724">
        <f t="shared" si="6"/>
        <v>12110</v>
      </c>
      <c r="I9" s="724">
        <f t="shared" si="6"/>
        <v>14440</v>
      </c>
      <c r="K9" s="729" t="s">
        <v>23</v>
      </c>
      <c r="L9" s="729"/>
      <c r="M9" s="732"/>
      <c r="N9" s="733">
        <f t="shared" ref="N9:S9" si="7">ROUND($P$2*X9/1000,2)</f>
        <v>5.62</v>
      </c>
      <c r="O9" s="733">
        <f t="shared" si="7"/>
        <v>6.7</v>
      </c>
      <c r="P9" s="733">
        <f t="shared" si="7"/>
        <v>8.12</v>
      </c>
      <c r="Q9" s="733">
        <f t="shared" si="7"/>
        <v>10.22</v>
      </c>
      <c r="R9" s="733">
        <f t="shared" si="7"/>
        <v>12.11</v>
      </c>
      <c r="S9" s="733">
        <f t="shared" si="7"/>
        <v>14.44</v>
      </c>
      <c r="T9" s="736"/>
      <c r="U9" s="730" t="s">
        <v>23</v>
      </c>
      <c r="V9" s="730"/>
      <c r="W9" s="753"/>
      <c r="X9" s="753">
        <v>0.4887</v>
      </c>
      <c r="Y9" s="753">
        <v>0.5829</v>
      </c>
      <c r="Z9" s="753">
        <v>0.7063</v>
      </c>
      <c r="AA9" s="753">
        <v>0.8889</v>
      </c>
      <c r="AB9" s="753">
        <v>1.0531</v>
      </c>
      <c r="AC9" s="753">
        <v>1.2556</v>
      </c>
    </row>
    <row r="10" ht="15" spans="1:29">
      <c r="A10" s="720" t="s">
        <v>24</v>
      </c>
      <c r="B10" s="720"/>
      <c r="C10" s="724">
        <f t="shared" ref="C10:I10" si="8">M10*1000</f>
        <v>7200</v>
      </c>
      <c r="D10" s="724">
        <f t="shared" si="8"/>
        <v>8870</v>
      </c>
      <c r="E10" s="724">
        <f t="shared" si="8"/>
        <v>10390</v>
      </c>
      <c r="F10" s="724">
        <f t="shared" si="8"/>
        <v>12920</v>
      </c>
      <c r="G10" s="724">
        <f t="shared" si="8"/>
        <v>15800</v>
      </c>
      <c r="H10" s="724">
        <f t="shared" si="8"/>
        <v>19290</v>
      </c>
      <c r="I10" s="724">
        <f t="shared" si="8"/>
        <v>23030</v>
      </c>
      <c r="K10" s="729" t="s">
        <v>24</v>
      </c>
      <c r="L10" s="729"/>
      <c r="M10" s="733">
        <f t="shared" ref="M10:S10" si="9">ROUND($P$2*W10/1000,2)</f>
        <v>7.2</v>
      </c>
      <c r="N10" s="733">
        <f t="shared" si="9"/>
        <v>8.87</v>
      </c>
      <c r="O10" s="733">
        <f t="shared" si="9"/>
        <v>10.39</v>
      </c>
      <c r="P10" s="733">
        <f t="shared" si="9"/>
        <v>12.92</v>
      </c>
      <c r="Q10" s="733">
        <f t="shared" si="9"/>
        <v>15.8</v>
      </c>
      <c r="R10" s="733">
        <f t="shared" si="9"/>
        <v>19.29</v>
      </c>
      <c r="S10" s="733">
        <f t="shared" si="9"/>
        <v>23.03</v>
      </c>
      <c r="T10" s="736"/>
      <c r="U10" s="730" t="s">
        <v>24</v>
      </c>
      <c r="V10" s="749"/>
      <c r="W10" s="753">
        <v>0.626</v>
      </c>
      <c r="X10" s="753">
        <v>0.7714</v>
      </c>
      <c r="Y10" s="753">
        <v>0.9036</v>
      </c>
      <c r="Z10" s="753">
        <v>1.1237</v>
      </c>
      <c r="AA10" s="753">
        <v>1.3743</v>
      </c>
      <c r="AB10" s="753">
        <v>1.6777</v>
      </c>
      <c r="AC10" s="753">
        <v>2.0029</v>
      </c>
    </row>
    <row r="11" ht="15" spans="1:29">
      <c r="A11" s="720" t="s">
        <v>25</v>
      </c>
      <c r="B11" s="724">
        <f t="shared" ref="B11:I11" si="10">L11*1000</f>
        <v>6440</v>
      </c>
      <c r="C11" s="724">
        <f t="shared" si="10"/>
        <v>9900</v>
      </c>
      <c r="D11" s="724">
        <f t="shared" si="10"/>
        <v>12140</v>
      </c>
      <c r="E11" s="724">
        <f t="shared" si="10"/>
        <v>14860</v>
      </c>
      <c r="F11" s="724">
        <f t="shared" si="10"/>
        <v>18240</v>
      </c>
      <c r="G11" s="724">
        <f t="shared" si="10"/>
        <v>22360</v>
      </c>
      <c r="H11" s="724">
        <f t="shared" si="10"/>
        <v>27420</v>
      </c>
      <c r="I11" s="724">
        <f t="shared" si="10"/>
        <v>32520</v>
      </c>
      <c r="K11" s="729" t="s">
        <v>25</v>
      </c>
      <c r="L11" s="733">
        <f t="shared" ref="L11:S11" si="11">ROUND($P$2*V11/1000,2)</f>
        <v>6.44</v>
      </c>
      <c r="M11" s="733">
        <f t="shared" si="11"/>
        <v>9.9</v>
      </c>
      <c r="N11" s="733">
        <f t="shared" si="11"/>
        <v>12.14</v>
      </c>
      <c r="O11" s="733">
        <f t="shared" si="11"/>
        <v>14.86</v>
      </c>
      <c r="P11" s="733">
        <f t="shared" si="11"/>
        <v>18.24</v>
      </c>
      <c r="Q11" s="733">
        <f t="shared" si="11"/>
        <v>22.36</v>
      </c>
      <c r="R11" s="733">
        <f t="shared" si="11"/>
        <v>27.42</v>
      </c>
      <c r="S11" s="733">
        <f t="shared" si="11"/>
        <v>32.52</v>
      </c>
      <c r="T11" s="736"/>
      <c r="U11" s="754" t="s">
        <v>25</v>
      </c>
      <c r="V11" s="755">
        <v>0.56</v>
      </c>
      <c r="W11" s="756">
        <v>0.8611</v>
      </c>
      <c r="X11" s="753">
        <v>1.0553</v>
      </c>
      <c r="Y11" s="753">
        <v>1.2924</v>
      </c>
      <c r="Z11" s="753">
        <v>1.5857</v>
      </c>
      <c r="AA11" s="753">
        <v>1.9443</v>
      </c>
      <c r="AB11" s="753">
        <v>2.3843</v>
      </c>
      <c r="AC11" s="753">
        <v>2.8278</v>
      </c>
    </row>
    <row r="12" ht="15" spans="1:29">
      <c r="A12" s="720" t="s">
        <v>26</v>
      </c>
      <c r="B12" s="724">
        <f t="shared" ref="B12:I12" si="12">L12*1000</f>
        <v>9510</v>
      </c>
      <c r="C12" s="724">
        <f t="shared" si="12"/>
        <v>14230</v>
      </c>
      <c r="D12" s="724">
        <f t="shared" si="12"/>
        <v>17570</v>
      </c>
      <c r="E12" s="724">
        <f t="shared" si="12"/>
        <v>21290</v>
      </c>
      <c r="F12" s="724">
        <f t="shared" si="12"/>
        <v>26410</v>
      </c>
      <c r="G12" s="724">
        <f t="shared" si="12"/>
        <v>33780</v>
      </c>
      <c r="H12" s="724">
        <f t="shared" si="12"/>
        <v>39160</v>
      </c>
      <c r="I12" s="724">
        <f t="shared" si="12"/>
        <v>46830</v>
      </c>
      <c r="K12" s="729" t="s">
        <v>26</v>
      </c>
      <c r="L12" s="733">
        <f t="shared" ref="L12:S12" si="13">ROUND($P$2*V12/1000,2)</f>
        <v>9.51</v>
      </c>
      <c r="M12" s="733">
        <f t="shared" si="13"/>
        <v>14.23</v>
      </c>
      <c r="N12" s="733">
        <f t="shared" si="13"/>
        <v>17.57</v>
      </c>
      <c r="O12" s="733">
        <f t="shared" si="13"/>
        <v>21.29</v>
      </c>
      <c r="P12" s="733">
        <f t="shared" si="13"/>
        <v>26.41</v>
      </c>
      <c r="Q12" s="733">
        <f t="shared" si="13"/>
        <v>33.78</v>
      </c>
      <c r="R12" s="733">
        <f t="shared" si="13"/>
        <v>39.16</v>
      </c>
      <c r="S12" s="733">
        <f t="shared" si="13"/>
        <v>46.83</v>
      </c>
      <c r="T12" s="736"/>
      <c r="U12" s="754" t="s">
        <v>26</v>
      </c>
      <c r="V12" s="755">
        <v>0.827</v>
      </c>
      <c r="W12" s="756">
        <v>1.2373</v>
      </c>
      <c r="X12" s="753">
        <v>1.528</v>
      </c>
      <c r="Y12" s="753">
        <v>1.8512</v>
      </c>
      <c r="Z12" s="753">
        <v>2.2963</v>
      </c>
      <c r="AA12" s="753">
        <v>2.937</v>
      </c>
      <c r="AB12" s="753">
        <v>3.4055</v>
      </c>
      <c r="AC12" s="753">
        <v>4.0721</v>
      </c>
    </row>
    <row r="13" ht="15" spans="1:29">
      <c r="A13" s="720" t="s">
        <v>27</v>
      </c>
      <c r="B13" s="724">
        <f t="shared" ref="B13:I13" si="14">L13*1000</f>
        <v>14550</v>
      </c>
      <c r="C13" s="724">
        <f t="shared" si="14"/>
        <v>17010</v>
      </c>
      <c r="D13" s="724">
        <f t="shared" si="14"/>
        <v>21180</v>
      </c>
      <c r="E13" s="724">
        <f t="shared" si="14"/>
        <v>25840</v>
      </c>
      <c r="F13" s="724">
        <f t="shared" si="14"/>
        <v>32010</v>
      </c>
      <c r="G13" s="724">
        <f t="shared" si="14"/>
        <v>39340</v>
      </c>
      <c r="H13" s="724">
        <f t="shared" si="14"/>
        <v>48470</v>
      </c>
      <c r="I13" s="724">
        <f t="shared" si="14"/>
        <v>58370</v>
      </c>
      <c r="K13" s="729" t="s">
        <v>27</v>
      </c>
      <c r="L13" s="733">
        <f t="shared" ref="L13:S13" si="15">ROUND($P$2*V13/1000,2)</f>
        <v>14.55</v>
      </c>
      <c r="M13" s="733">
        <f t="shared" si="15"/>
        <v>17.01</v>
      </c>
      <c r="N13" s="733">
        <f t="shared" si="15"/>
        <v>21.18</v>
      </c>
      <c r="O13" s="733">
        <f t="shared" si="15"/>
        <v>25.84</v>
      </c>
      <c r="P13" s="733">
        <f t="shared" si="15"/>
        <v>32.01</v>
      </c>
      <c r="Q13" s="733">
        <f t="shared" si="15"/>
        <v>39.34</v>
      </c>
      <c r="R13" s="733">
        <f t="shared" si="15"/>
        <v>48.47</v>
      </c>
      <c r="S13" s="733">
        <f t="shared" si="15"/>
        <v>58.37</v>
      </c>
      <c r="T13" s="736"/>
      <c r="U13" s="754" t="s">
        <v>27</v>
      </c>
      <c r="V13" s="755">
        <v>1.265</v>
      </c>
      <c r="W13" s="756">
        <v>1.4792</v>
      </c>
      <c r="X13" s="753">
        <v>1.8416</v>
      </c>
      <c r="Y13" s="753">
        <v>2.2469</v>
      </c>
      <c r="Z13" s="753">
        <v>2.7838</v>
      </c>
      <c r="AA13" s="753">
        <v>3.4208</v>
      </c>
      <c r="AB13" s="753">
        <v>4.2147</v>
      </c>
      <c r="AC13" s="753">
        <v>5.0758</v>
      </c>
    </row>
    <row r="14" ht="15" spans="1:29">
      <c r="A14" s="720" t="s">
        <v>28</v>
      </c>
      <c r="B14" s="724">
        <f t="shared" ref="B14:I14" si="16">L14*1000</f>
        <v>17140</v>
      </c>
      <c r="C14" s="724">
        <f t="shared" si="16"/>
        <v>22280</v>
      </c>
      <c r="D14" s="724">
        <f t="shared" si="16"/>
        <v>27340</v>
      </c>
      <c r="E14" s="724">
        <f t="shared" si="16"/>
        <v>33580</v>
      </c>
      <c r="F14" s="724">
        <f t="shared" si="16"/>
        <v>41190</v>
      </c>
      <c r="G14" s="724">
        <f t="shared" si="16"/>
        <v>50990</v>
      </c>
      <c r="H14" s="724">
        <f t="shared" si="16"/>
        <v>62390</v>
      </c>
      <c r="I14" s="724">
        <f t="shared" si="16"/>
        <v>75900</v>
      </c>
      <c r="K14" s="729" t="s">
        <v>28</v>
      </c>
      <c r="L14" s="733">
        <f t="shared" ref="L14:S14" si="17">ROUND($P$2*V14/1000,2)</f>
        <v>17.14</v>
      </c>
      <c r="M14" s="733">
        <f t="shared" si="17"/>
        <v>22.28</v>
      </c>
      <c r="N14" s="733">
        <f t="shared" si="17"/>
        <v>27.34</v>
      </c>
      <c r="O14" s="733">
        <f t="shared" si="17"/>
        <v>33.58</v>
      </c>
      <c r="P14" s="733">
        <f t="shared" si="17"/>
        <v>41.19</v>
      </c>
      <c r="Q14" s="733">
        <f t="shared" si="17"/>
        <v>50.99</v>
      </c>
      <c r="R14" s="733">
        <f t="shared" si="17"/>
        <v>62.39</v>
      </c>
      <c r="S14" s="733">
        <f t="shared" si="17"/>
        <v>75.9</v>
      </c>
      <c r="T14" s="736"/>
      <c r="U14" s="754" t="s">
        <v>28</v>
      </c>
      <c r="V14" s="755">
        <v>1.49</v>
      </c>
      <c r="W14" s="756">
        <v>1.9371</v>
      </c>
      <c r="X14" s="753">
        <v>2.3774</v>
      </c>
      <c r="Y14" s="753">
        <v>2.9199</v>
      </c>
      <c r="Z14" s="753">
        <v>3.5814</v>
      </c>
      <c r="AA14" s="753">
        <v>4.434</v>
      </c>
      <c r="AB14" s="753">
        <v>5.4254</v>
      </c>
      <c r="AC14" s="753">
        <v>6.6</v>
      </c>
    </row>
    <row r="15" ht="15" spans="1:29">
      <c r="A15" s="720" t="s">
        <v>29</v>
      </c>
      <c r="B15" s="724">
        <f t="shared" ref="B15:I15" si="18">L15*1000</f>
        <v>24000</v>
      </c>
      <c r="C15" s="724">
        <f t="shared" si="18"/>
        <v>27890</v>
      </c>
      <c r="D15" s="724">
        <f t="shared" si="18"/>
        <v>33920</v>
      </c>
      <c r="E15" s="724">
        <f t="shared" si="18"/>
        <v>42300</v>
      </c>
      <c r="F15" s="724">
        <f t="shared" si="18"/>
        <v>51840</v>
      </c>
      <c r="G15" s="724">
        <f t="shared" si="18"/>
        <v>64400</v>
      </c>
      <c r="H15" s="724">
        <f t="shared" si="18"/>
        <v>78340</v>
      </c>
      <c r="I15" s="724">
        <f t="shared" si="18"/>
        <v>94740</v>
      </c>
      <c r="K15" s="729" t="s">
        <v>29</v>
      </c>
      <c r="L15" s="733">
        <f t="shared" ref="L15:S15" si="19">ROUND($P$2*V15/1000,2)</f>
        <v>24</v>
      </c>
      <c r="M15" s="733">
        <f t="shared" si="19"/>
        <v>27.89</v>
      </c>
      <c r="N15" s="733">
        <f t="shared" si="19"/>
        <v>33.92</v>
      </c>
      <c r="O15" s="733">
        <f t="shared" si="19"/>
        <v>42.3</v>
      </c>
      <c r="P15" s="733">
        <f t="shared" si="19"/>
        <v>51.84</v>
      </c>
      <c r="Q15" s="733">
        <f t="shared" si="19"/>
        <v>64.4</v>
      </c>
      <c r="R15" s="733">
        <f t="shared" si="19"/>
        <v>78.34</v>
      </c>
      <c r="S15" s="733">
        <f t="shared" si="19"/>
        <v>94.74</v>
      </c>
      <c r="T15" s="736"/>
      <c r="U15" s="754" t="s">
        <v>29</v>
      </c>
      <c r="V15" s="755">
        <v>2.087</v>
      </c>
      <c r="W15" s="756">
        <v>2.4254</v>
      </c>
      <c r="X15" s="753">
        <v>2.9496</v>
      </c>
      <c r="Y15" s="753">
        <v>3.678</v>
      </c>
      <c r="Z15" s="753">
        <v>4.5078</v>
      </c>
      <c r="AA15" s="753">
        <v>5.5998</v>
      </c>
      <c r="AB15" s="753">
        <v>6.8123</v>
      </c>
      <c r="AC15" s="753">
        <v>8.2383</v>
      </c>
    </row>
    <row r="16" ht="15" spans="1:29">
      <c r="A16" s="720" t="s">
        <v>30</v>
      </c>
      <c r="B16" s="724">
        <f t="shared" ref="B16:I16" si="20">L16*1000</f>
        <v>29610</v>
      </c>
      <c r="C16" s="724">
        <f t="shared" si="20"/>
        <v>36110</v>
      </c>
      <c r="D16" s="724">
        <f t="shared" si="20"/>
        <v>44220</v>
      </c>
      <c r="E16" s="724">
        <f t="shared" si="20"/>
        <v>55400</v>
      </c>
      <c r="F16" s="724">
        <f t="shared" si="20"/>
        <v>67880</v>
      </c>
      <c r="G16" s="724">
        <f t="shared" si="20"/>
        <v>82740</v>
      </c>
      <c r="H16" s="724">
        <f t="shared" si="20"/>
        <v>102510</v>
      </c>
      <c r="I16" s="724">
        <f t="shared" si="20"/>
        <v>124150</v>
      </c>
      <c r="K16" s="729" t="s">
        <v>30</v>
      </c>
      <c r="L16" s="733">
        <f t="shared" ref="L16:S16" si="21">ROUND($P$2*V16/1000,2)</f>
        <v>29.61</v>
      </c>
      <c r="M16" s="733">
        <f t="shared" si="21"/>
        <v>36.11</v>
      </c>
      <c r="N16" s="733">
        <f t="shared" si="21"/>
        <v>44.22</v>
      </c>
      <c r="O16" s="733">
        <f t="shared" si="21"/>
        <v>55.4</v>
      </c>
      <c r="P16" s="733">
        <f t="shared" si="21"/>
        <v>67.88</v>
      </c>
      <c r="Q16" s="733">
        <f t="shared" si="21"/>
        <v>82.74</v>
      </c>
      <c r="R16" s="733">
        <f t="shared" si="21"/>
        <v>102.51</v>
      </c>
      <c r="S16" s="733">
        <f t="shared" si="21"/>
        <v>124.15</v>
      </c>
      <c r="T16" s="736"/>
      <c r="U16" s="754" t="s">
        <v>30</v>
      </c>
      <c r="V16" s="755">
        <v>2.575</v>
      </c>
      <c r="W16" s="756">
        <v>3.1401</v>
      </c>
      <c r="X16" s="753">
        <v>3.8456</v>
      </c>
      <c r="Y16" s="753">
        <v>4.817</v>
      </c>
      <c r="Z16" s="753">
        <v>5.9022</v>
      </c>
      <c r="AA16" s="753">
        <v>7.1951</v>
      </c>
      <c r="AB16" s="753">
        <v>8.9141</v>
      </c>
      <c r="AC16" s="753">
        <v>10.7954</v>
      </c>
    </row>
    <row r="17" ht="15" spans="1:29">
      <c r="A17" s="720" t="s">
        <v>31</v>
      </c>
      <c r="B17" s="724">
        <f t="shared" ref="B17:I17" si="22">L17*1000</f>
        <v>35810</v>
      </c>
      <c r="C17" s="724">
        <f t="shared" si="22"/>
        <v>44930</v>
      </c>
      <c r="D17" s="724">
        <f t="shared" si="22"/>
        <v>55900</v>
      </c>
      <c r="E17" s="724">
        <f t="shared" si="22"/>
        <v>69400</v>
      </c>
      <c r="F17" s="724">
        <f t="shared" si="22"/>
        <v>85210</v>
      </c>
      <c r="G17" s="724">
        <f t="shared" si="22"/>
        <v>107090</v>
      </c>
      <c r="H17" s="724">
        <f t="shared" si="22"/>
        <v>129950</v>
      </c>
      <c r="I17" s="724">
        <f t="shared" si="22"/>
        <v>157150</v>
      </c>
      <c r="K17" s="729" t="s">
        <v>31</v>
      </c>
      <c r="L17" s="733">
        <f t="shared" ref="L17:S17" si="23">ROUND($P$2*V17/1000,2)</f>
        <v>35.81</v>
      </c>
      <c r="M17" s="733">
        <f t="shared" si="23"/>
        <v>44.93</v>
      </c>
      <c r="N17" s="733">
        <f t="shared" si="23"/>
        <v>55.9</v>
      </c>
      <c r="O17" s="733">
        <f t="shared" si="23"/>
        <v>69.4</v>
      </c>
      <c r="P17" s="733">
        <f t="shared" si="23"/>
        <v>85.21</v>
      </c>
      <c r="Q17" s="733">
        <f t="shared" si="23"/>
        <v>107.09</v>
      </c>
      <c r="R17" s="733">
        <f t="shared" si="23"/>
        <v>129.95</v>
      </c>
      <c r="S17" s="733">
        <f t="shared" si="23"/>
        <v>157.15</v>
      </c>
      <c r="T17" s="757"/>
      <c r="U17" s="754" t="s">
        <v>31</v>
      </c>
      <c r="V17" s="755">
        <v>3.114</v>
      </c>
      <c r="W17" s="756">
        <v>3.9071</v>
      </c>
      <c r="X17" s="753">
        <v>4.8608</v>
      </c>
      <c r="Y17" s="753">
        <v>6.0346</v>
      </c>
      <c r="Z17" s="753">
        <v>7.4098</v>
      </c>
      <c r="AA17" s="753">
        <v>9.3123</v>
      </c>
      <c r="AB17" s="753">
        <v>11.3001</v>
      </c>
      <c r="AC17" s="753">
        <v>13.6653</v>
      </c>
    </row>
    <row r="18" ht="15" spans="1:29">
      <c r="A18" s="720" t="s">
        <v>32</v>
      </c>
      <c r="B18" s="724">
        <f t="shared" ref="B18:I18" si="24">L18*1000</f>
        <v>44130</v>
      </c>
      <c r="C18" s="724">
        <f t="shared" si="24"/>
        <v>55880</v>
      </c>
      <c r="D18" s="724">
        <f t="shared" si="24"/>
        <v>70140</v>
      </c>
      <c r="E18" s="724">
        <f t="shared" si="24"/>
        <v>86160</v>
      </c>
      <c r="F18" s="724">
        <f t="shared" si="24"/>
        <v>108980</v>
      </c>
      <c r="G18" s="724">
        <f t="shared" si="24"/>
        <v>131740</v>
      </c>
      <c r="H18" s="724">
        <f t="shared" si="24"/>
        <v>160600</v>
      </c>
      <c r="I18" s="724">
        <f t="shared" si="24"/>
        <v>194550</v>
      </c>
      <c r="K18" s="729" t="s">
        <v>32</v>
      </c>
      <c r="L18" s="733">
        <f t="shared" ref="L18:S18" si="25">ROUND($P$2*V18/1000,2)</f>
        <v>44.13</v>
      </c>
      <c r="M18" s="733">
        <f t="shared" si="25"/>
        <v>55.88</v>
      </c>
      <c r="N18" s="733">
        <f t="shared" si="25"/>
        <v>70.14</v>
      </c>
      <c r="O18" s="733">
        <f t="shared" si="25"/>
        <v>86.16</v>
      </c>
      <c r="P18" s="733">
        <f t="shared" si="25"/>
        <v>108.98</v>
      </c>
      <c r="Q18" s="733">
        <f t="shared" si="25"/>
        <v>131.74</v>
      </c>
      <c r="R18" s="733">
        <f t="shared" si="25"/>
        <v>160.6</v>
      </c>
      <c r="S18" s="733">
        <f t="shared" si="25"/>
        <v>194.55</v>
      </c>
      <c r="T18" s="757"/>
      <c r="U18" s="754" t="s">
        <v>32</v>
      </c>
      <c r="V18" s="755">
        <v>3.837</v>
      </c>
      <c r="W18" s="756">
        <v>4.8592</v>
      </c>
      <c r="X18" s="753">
        <v>6.0994</v>
      </c>
      <c r="Y18" s="753">
        <v>7.4926</v>
      </c>
      <c r="Z18" s="753">
        <v>9.4761</v>
      </c>
      <c r="AA18" s="753">
        <v>11.4555</v>
      </c>
      <c r="AB18" s="753">
        <v>13.9648</v>
      </c>
      <c r="AC18" s="753">
        <v>16.9172</v>
      </c>
    </row>
    <row r="19" ht="15" spans="1:29">
      <c r="A19" s="720" t="s">
        <v>33</v>
      </c>
      <c r="B19" s="724">
        <f t="shared" ref="B19:H19" si="26">L19*1000</f>
        <v>57620</v>
      </c>
      <c r="C19" s="724">
        <f t="shared" si="26"/>
        <v>70640</v>
      </c>
      <c r="D19" s="724">
        <f t="shared" si="26"/>
        <v>87840</v>
      </c>
      <c r="E19" s="724">
        <f t="shared" si="26"/>
        <v>108170</v>
      </c>
      <c r="F19" s="724">
        <f t="shared" si="26"/>
        <v>134720</v>
      </c>
      <c r="G19" s="724">
        <f t="shared" si="26"/>
        <v>167440</v>
      </c>
      <c r="H19" s="724">
        <f t="shared" si="26"/>
        <v>203610</v>
      </c>
      <c r="I19" s="723"/>
      <c r="K19" s="729" t="s">
        <v>33</v>
      </c>
      <c r="L19" s="733">
        <f t="shared" ref="L19:R19" si="27">ROUND($P$2*V19/1000,2)</f>
        <v>57.62</v>
      </c>
      <c r="M19" s="733">
        <f t="shared" si="27"/>
        <v>70.64</v>
      </c>
      <c r="N19" s="733">
        <f t="shared" si="27"/>
        <v>87.84</v>
      </c>
      <c r="O19" s="733">
        <f t="shared" si="27"/>
        <v>108.17</v>
      </c>
      <c r="P19" s="733">
        <f t="shared" si="27"/>
        <v>134.72</v>
      </c>
      <c r="Q19" s="733">
        <f t="shared" si="27"/>
        <v>167.44</v>
      </c>
      <c r="R19" s="733">
        <f t="shared" si="27"/>
        <v>203.61</v>
      </c>
      <c r="S19" s="732"/>
      <c r="T19" s="757"/>
      <c r="U19" s="754" t="s">
        <v>33</v>
      </c>
      <c r="V19" s="755">
        <v>5.01</v>
      </c>
      <c r="W19" s="756">
        <v>6.1425</v>
      </c>
      <c r="X19" s="753">
        <v>7.6384</v>
      </c>
      <c r="Y19" s="753">
        <v>9.4057</v>
      </c>
      <c r="Z19" s="753">
        <v>11.7145</v>
      </c>
      <c r="AA19" s="753">
        <v>14.5597</v>
      </c>
      <c r="AB19" s="753">
        <v>17.7056</v>
      </c>
      <c r="AC19" s="753"/>
    </row>
    <row r="20" ht="15" spans="1:29">
      <c r="A20" s="720" t="s">
        <v>34</v>
      </c>
      <c r="B20" s="724">
        <f t="shared" ref="B20:H20" si="28">L20*1000</f>
        <v>69330</v>
      </c>
      <c r="C20" s="724">
        <f t="shared" si="28"/>
        <v>88560</v>
      </c>
      <c r="D20" s="724">
        <f t="shared" si="28"/>
        <v>109000</v>
      </c>
      <c r="E20" s="724">
        <f t="shared" si="28"/>
        <v>134760</v>
      </c>
      <c r="F20" s="724">
        <f t="shared" si="28"/>
        <v>164970</v>
      </c>
      <c r="G20" s="724">
        <f t="shared" si="28"/>
        <v>204090</v>
      </c>
      <c r="H20" s="724">
        <f t="shared" si="28"/>
        <v>251600</v>
      </c>
      <c r="I20" s="723"/>
      <c r="K20" s="729" t="s">
        <v>34</v>
      </c>
      <c r="L20" s="733">
        <f t="shared" ref="L20:R20" si="29">ROUND($P$2*V20/1000,2)</f>
        <v>69.33</v>
      </c>
      <c r="M20" s="733">
        <f t="shared" si="29"/>
        <v>88.56</v>
      </c>
      <c r="N20" s="733">
        <f t="shared" si="29"/>
        <v>109</v>
      </c>
      <c r="O20" s="733">
        <f t="shared" si="29"/>
        <v>134.76</v>
      </c>
      <c r="P20" s="733">
        <f t="shared" si="29"/>
        <v>164.97</v>
      </c>
      <c r="Q20" s="733">
        <f t="shared" si="29"/>
        <v>204.09</v>
      </c>
      <c r="R20" s="733">
        <f t="shared" si="29"/>
        <v>251.6</v>
      </c>
      <c r="S20" s="732"/>
      <c r="T20" s="757"/>
      <c r="U20" s="754" t="s">
        <v>34</v>
      </c>
      <c r="V20" s="755">
        <v>6.029</v>
      </c>
      <c r="W20" s="756">
        <v>7.7013</v>
      </c>
      <c r="X20" s="753">
        <v>9.4781</v>
      </c>
      <c r="Y20" s="753">
        <v>11.7183</v>
      </c>
      <c r="Z20" s="753">
        <v>14.3448</v>
      </c>
      <c r="AA20" s="753">
        <v>17.7469</v>
      </c>
      <c r="AB20" s="753">
        <v>21.8783</v>
      </c>
      <c r="AC20" s="753"/>
    </row>
    <row r="21" ht="15" spans="1:29">
      <c r="A21" s="720" t="s">
        <v>35</v>
      </c>
      <c r="B21" s="724">
        <f t="shared" ref="B21:H21" si="30">L21*1000</f>
        <v>88550</v>
      </c>
      <c r="C21" s="724">
        <f t="shared" si="30"/>
        <v>110860</v>
      </c>
      <c r="D21" s="724">
        <f t="shared" si="30"/>
        <v>137450</v>
      </c>
      <c r="E21" s="724">
        <f t="shared" si="30"/>
        <v>169280</v>
      </c>
      <c r="F21" s="724">
        <f t="shared" si="30"/>
        <v>209370</v>
      </c>
      <c r="G21" s="724">
        <f t="shared" si="30"/>
        <v>257720</v>
      </c>
      <c r="H21" s="724">
        <f t="shared" si="30"/>
        <v>316800</v>
      </c>
      <c r="I21" s="723"/>
      <c r="K21" s="729" t="s">
        <v>35</v>
      </c>
      <c r="L21" s="733">
        <f t="shared" ref="L21:R21" si="31">ROUND($P$2*V21/1000,2)</f>
        <v>88.55</v>
      </c>
      <c r="M21" s="733">
        <f t="shared" si="31"/>
        <v>110.86</v>
      </c>
      <c r="N21" s="733">
        <f t="shared" si="31"/>
        <v>137.45</v>
      </c>
      <c r="O21" s="733">
        <f t="shared" si="31"/>
        <v>169.28</v>
      </c>
      <c r="P21" s="733">
        <f t="shared" si="31"/>
        <v>209.37</v>
      </c>
      <c r="Q21" s="733">
        <f t="shared" si="31"/>
        <v>257.72</v>
      </c>
      <c r="R21" s="733">
        <f t="shared" si="31"/>
        <v>316.8</v>
      </c>
      <c r="S21" s="732"/>
      <c r="T21" s="757"/>
      <c r="U21" s="754" t="s">
        <v>35</v>
      </c>
      <c r="V21" s="755">
        <v>7.7</v>
      </c>
      <c r="W21" s="756">
        <v>9.64</v>
      </c>
      <c r="X21" s="753">
        <v>11.9522</v>
      </c>
      <c r="Y21" s="753">
        <v>14.7198</v>
      </c>
      <c r="Z21" s="753">
        <v>18.2057</v>
      </c>
      <c r="AA21" s="753">
        <v>22.41</v>
      </c>
      <c r="AB21" s="753">
        <v>27.5478</v>
      </c>
      <c r="AC21" s="753"/>
    </row>
    <row r="22" ht="15" spans="1:29">
      <c r="A22" s="720" t="s">
        <v>36</v>
      </c>
      <c r="B22" s="724">
        <f t="shared" ref="B22:H22" si="32">L22*1000</f>
        <v>111480</v>
      </c>
      <c r="C22" s="724">
        <f t="shared" si="32"/>
        <v>139210</v>
      </c>
      <c r="D22" s="724">
        <f t="shared" si="32"/>
        <v>174030</v>
      </c>
      <c r="E22" s="724">
        <f t="shared" si="32"/>
        <v>215480</v>
      </c>
      <c r="F22" s="724">
        <f t="shared" si="32"/>
        <v>263830</v>
      </c>
      <c r="G22" s="724">
        <f t="shared" si="32"/>
        <v>324880</v>
      </c>
      <c r="H22" s="724">
        <f t="shared" si="32"/>
        <v>402060</v>
      </c>
      <c r="I22" s="723"/>
      <c r="K22" s="729" t="s">
        <v>36</v>
      </c>
      <c r="L22" s="733">
        <f t="shared" ref="L22:R22" si="33">ROUND($P$2*V22/1000,2)</f>
        <v>111.48</v>
      </c>
      <c r="M22" s="733">
        <f t="shared" si="33"/>
        <v>139.21</v>
      </c>
      <c r="N22" s="733">
        <f t="shared" si="33"/>
        <v>174.03</v>
      </c>
      <c r="O22" s="733">
        <f t="shared" si="33"/>
        <v>215.48</v>
      </c>
      <c r="P22" s="733">
        <f t="shared" si="33"/>
        <v>263.83</v>
      </c>
      <c r="Q22" s="733">
        <f t="shared" si="33"/>
        <v>324.88</v>
      </c>
      <c r="R22" s="733">
        <f t="shared" si="33"/>
        <v>402.06</v>
      </c>
      <c r="S22" s="732"/>
      <c r="T22" s="757"/>
      <c r="U22" s="754" t="s">
        <v>36</v>
      </c>
      <c r="V22" s="755">
        <v>9.694</v>
      </c>
      <c r="W22" s="756">
        <v>12.1052</v>
      </c>
      <c r="X22" s="753">
        <v>15.1333</v>
      </c>
      <c r="Y22" s="753">
        <v>18.7378</v>
      </c>
      <c r="Z22" s="753">
        <v>22.9414</v>
      </c>
      <c r="AA22" s="753">
        <v>28.25</v>
      </c>
      <c r="AB22" s="753">
        <v>34.9614</v>
      </c>
      <c r="AC22" s="753"/>
    </row>
    <row r="23" ht="15" spans="1:29">
      <c r="A23" s="720" t="s">
        <v>37</v>
      </c>
      <c r="B23" s="725"/>
      <c r="C23" s="724">
        <f t="shared" ref="C23:H23" si="34">M23*1000</f>
        <v>178090</v>
      </c>
      <c r="D23" s="724">
        <f t="shared" si="34"/>
        <v>221080</v>
      </c>
      <c r="E23" s="724">
        <f t="shared" si="34"/>
        <v>273320</v>
      </c>
      <c r="F23" s="724">
        <f t="shared" si="34"/>
        <v>335810</v>
      </c>
      <c r="G23" s="724">
        <f t="shared" si="34"/>
        <v>413660</v>
      </c>
      <c r="H23" s="724">
        <f t="shared" si="34"/>
        <v>511580</v>
      </c>
      <c r="I23" s="723"/>
      <c r="K23" s="729" t="s">
        <v>37</v>
      </c>
      <c r="L23" s="733"/>
      <c r="M23" s="733">
        <f t="shared" ref="M23:R23" si="35">ROUND($P$2*W23/1000,2)</f>
        <v>178.09</v>
      </c>
      <c r="N23" s="733">
        <f t="shared" si="35"/>
        <v>221.08</v>
      </c>
      <c r="O23" s="733">
        <f t="shared" si="35"/>
        <v>273.32</v>
      </c>
      <c r="P23" s="733">
        <f t="shared" si="35"/>
        <v>335.81</v>
      </c>
      <c r="Q23" s="733">
        <f t="shared" si="35"/>
        <v>413.66</v>
      </c>
      <c r="R23" s="733">
        <f t="shared" si="35"/>
        <v>511.58</v>
      </c>
      <c r="S23" s="732"/>
      <c r="T23" s="757"/>
      <c r="U23" s="754" t="s">
        <v>37</v>
      </c>
      <c r="V23" s="755"/>
      <c r="W23" s="756">
        <v>15.4857</v>
      </c>
      <c r="X23" s="753">
        <v>19.2246</v>
      </c>
      <c r="Y23" s="753">
        <v>23.7668</v>
      </c>
      <c r="Z23" s="753">
        <v>29.2006</v>
      </c>
      <c r="AA23" s="753">
        <v>35.97</v>
      </c>
      <c r="AB23" s="753">
        <v>44.4849</v>
      </c>
      <c r="AC23" s="753"/>
    </row>
    <row r="24" ht="15" spans="1:29">
      <c r="A24" s="720" t="s">
        <v>38</v>
      </c>
      <c r="B24" s="724">
        <f t="shared" ref="B24:H24" si="36">L24*1000</f>
        <v>175470</v>
      </c>
      <c r="C24" s="724">
        <f t="shared" si="36"/>
        <v>226310</v>
      </c>
      <c r="D24" s="724">
        <f t="shared" si="36"/>
        <v>282260</v>
      </c>
      <c r="E24" s="724">
        <f t="shared" si="36"/>
        <v>347330</v>
      </c>
      <c r="F24" s="724">
        <f t="shared" si="36"/>
        <v>429280</v>
      </c>
      <c r="G24" s="724">
        <f t="shared" si="36"/>
        <v>526470</v>
      </c>
      <c r="H24" s="724">
        <f t="shared" si="36"/>
        <v>652390</v>
      </c>
      <c r="I24" s="723"/>
      <c r="K24" s="729" t="s">
        <v>38</v>
      </c>
      <c r="L24" s="733">
        <f t="shared" ref="L24:R24" si="37">ROUND($P$2*V24/1000,2)</f>
        <v>175.47</v>
      </c>
      <c r="M24" s="733">
        <f t="shared" si="37"/>
        <v>226.31</v>
      </c>
      <c r="N24" s="733">
        <f t="shared" si="37"/>
        <v>282.26</v>
      </c>
      <c r="O24" s="733">
        <f t="shared" si="37"/>
        <v>347.33</v>
      </c>
      <c r="P24" s="733">
        <f t="shared" si="37"/>
        <v>429.28</v>
      </c>
      <c r="Q24" s="733">
        <f t="shared" si="37"/>
        <v>526.47</v>
      </c>
      <c r="R24" s="733">
        <f t="shared" si="37"/>
        <v>652.39</v>
      </c>
      <c r="S24" s="732"/>
      <c r="T24" s="757"/>
      <c r="U24" s="754" t="s">
        <v>38</v>
      </c>
      <c r="V24" s="755">
        <v>15.258</v>
      </c>
      <c r="W24" s="756">
        <v>19.6794</v>
      </c>
      <c r="X24" s="753">
        <v>24.5442</v>
      </c>
      <c r="Y24" s="753">
        <v>30.2023</v>
      </c>
      <c r="Z24" s="753">
        <v>37.329</v>
      </c>
      <c r="AA24" s="753">
        <v>45.78</v>
      </c>
      <c r="AB24" s="753">
        <v>56.7297</v>
      </c>
      <c r="AC24" s="753"/>
    </row>
    <row r="25" ht="15" spans="1:29">
      <c r="A25" s="720" t="s">
        <v>39</v>
      </c>
      <c r="B25" s="725"/>
      <c r="C25" s="724">
        <f t="shared" ref="C25:H25" si="38">M25*1000</f>
        <v>286210</v>
      </c>
      <c r="D25" s="724">
        <f t="shared" si="38"/>
        <v>356210</v>
      </c>
      <c r="E25" s="724">
        <f t="shared" si="38"/>
        <v>439790</v>
      </c>
      <c r="F25" s="724">
        <f t="shared" si="38"/>
        <v>544410</v>
      </c>
      <c r="G25" s="724">
        <f t="shared" si="38"/>
        <v>667230</v>
      </c>
      <c r="H25" s="724">
        <f t="shared" si="38"/>
        <v>830450</v>
      </c>
      <c r="I25" s="723"/>
      <c r="K25" s="729" t="s">
        <v>39</v>
      </c>
      <c r="L25" s="733"/>
      <c r="M25" s="733">
        <f t="shared" ref="M25:R25" si="39">ROUND($P$2*W25/1000,2)</f>
        <v>286.21</v>
      </c>
      <c r="N25" s="733">
        <f t="shared" si="39"/>
        <v>356.21</v>
      </c>
      <c r="O25" s="733">
        <f t="shared" si="39"/>
        <v>439.79</v>
      </c>
      <c r="P25" s="733">
        <f t="shared" si="39"/>
        <v>544.41</v>
      </c>
      <c r="Q25" s="733">
        <f t="shared" si="39"/>
        <v>667.23</v>
      </c>
      <c r="R25" s="733">
        <f t="shared" si="39"/>
        <v>830.45</v>
      </c>
      <c r="S25" s="732"/>
      <c r="U25" s="754" t="s">
        <v>39</v>
      </c>
      <c r="V25" s="755"/>
      <c r="W25" s="756">
        <v>24.8877</v>
      </c>
      <c r="X25" s="753">
        <v>30.9748</v>
      </c>
      <c r="Y25" s="753">
        <v>38.2429</v>
      </c>
      <c r="Z25" s="753">
        <v>47.3397</v>
      </c>
      <c r="AA25" s="753">
        <v>58.02</v>
      </c>
      <c r="AB25" s="753">
        <v>72.2129</v>
      </c>
      <c r="AC25" s="753"/>
    </row>
    <row r="26" ht="15" spans="1:29">
      <c r="A26" s="720" t="s">
        <v>40</v>
      </c>
      <c r="B26" s="724">
        <f t="shared" ref="B26:H26" si="40">L26*1000</f>
        <v>268560</v>
      </c>
      <c r="C26" s="724">
        <f t="shared" si="40"/>
        <v>355530</v>
      </c>
      <c r="D26" s="724">
        <f t="shared" si="40"/>
        <v>438480</v>
      </c>
      <c r="E26" s="724">
        <f t="shared" si="40"/>
        <v>549700</v>
      </c>
      <c r="F26" s="724">
        <f t="shared" si="40"/>
        <v>671560</v>
      </c>
      <c r="G26" s="724">
        <f t="shared" si="40"/>
        <v>827540</v>
      </c>
      <c r="H26" s="724">
        <f t="shared" si="40"/>
        <v>1034580</v>
      </c>
      <c r="I26" s="723"/>
      <c r="K26" s="729" t="s">
        <v>40</v>
      </c>
      <c r="L26" s="733">
        <f t="shared" ref="L26:R26" si="41">ROUND($P$2*V26/1000,2)</f>
        <v>268.56</v>
      </c>
      <c r="M26" s="733">
        <f t="shared" si="41"/>
        <v>355.53</v>
      </c>
      <c r="N26" s="733">
        <f t="shared" si="41"/>
        <v>438.48</v>
      </c>
      <c r="O26" s="733">
        <f t="shared" si="41"/>
        <v>549.7</v>
      </c>
      <c r="P26" s="733">
        <f t="shared" si="41"/>
        <v>671.56</v>
      </c>
      <c r="Q26" s="733">
        <f t="shared" si="41"/>
        <v>827.54</v>
      </c>
      <c r="R26" s="733">
        <f t="shared" si="41"/>
        <v>1034.58</v>
      </c>
      <c r="S26" s="732"/>
      <c r="U26" s="754" t="s">
        <v>40</v>
      </c>
      <c r="V26" s="755">
        <v>23.353</v>
      </c>
      <c r="W26" s="756">
        <v>30.9153</v>
      </c>
      <c r="X26" s="753">
        <v>38.1289</v>
      </c>
      <c r="Y26" s="753">
        <v>47.8</v>
      </c>
      <c r="Z26" s="753">
        <v>58.3963</v>
      </c>
      <c r="AA26" s="753">
        <v>71.96</v>
      </c>
      <c r="AB26" s="753">
        <v>89.9635</v>
      </c>
      <c r="AC26" s="753"/>
    </row>
    <row r="27" customFormat="1" ht="15" spans="1:29">
      <c r="A27" s="726"/>
      <c r="B27" s="727"/>
      <c r="C27" s="727"/>
      <c r="D27" s="727"/>
      <c r="E27" s="727"/>
      <c r="F27" s="727"/>
      <c r="G27" s="727"/>
      <c r="H27" s="727"/>
      <c r="I27" s="734"/>
      <c r="K27" s="735"/>
      <c r="L27" s="736"/>
      <c r="M27" s="736"/>
      <c r="N27" s="736"/>
      <c r="O27" s="736"/>
      <c r="P27" s="736"/>
      <c r="Q27" s="736"/>
      <c r="R27" s="736"/>
      <c r="S27" s="757"/>
      <c r="U27" s="735"/>
      <c r="V27" s="758"/>
      <c r="W27" s="759"/>
      <c r="X27" s="759"/>
      <c r="Y27" s="759"/>
      <c r="Z27" s="759"/>
      <c r="AA27" s="759"/>
      <c r="AB27" s="759"/>
      <c r="AC27" s="759"/>
    </row>
    <row r="28" customFormat="1" ht="15" spans="1:29">
      <c r="A28" s="726"/>
      <c r="B28" s="727"/>
      <c r="C28" s="727"/>
      <c r="D28" s="727"/>
      <c r="E28" s="727"/>
      <c r="F28" s="727"/>
      <c r="G28" s="727"/>
      <c r="H28" s="727"/>
      <c r="I28" s="734"/>
      <c r="K28" s="735"/>
      <c r="L28" s="736"/>
      <c r="M28" s="736"/>
      <c r="N28" s="736"/>
      <c r="O28" s="736"/>
      <c r="P28" s="736"/>
      <c r="Q28" s="736"/>
      <c r="R28" s="736"/>
      <c r="S28" s="757"/>
      <c r="U28" s="735"/>
      <c r="V28" s="758"/>
      <c r="W28" s="759"/>
      <c r="X28" s="759"/>
      <c r="Y28" s="759"/>
      <c r="Z28" s="759"/>
      <c r="AA28" s="759"/>
      <c r="AB28" s="759"/>
      <c r="AC28" s="759"/>
    </row>
    <row r="29" customFormat="1" ht="15" spans="1:29">
      <c r="A29" s="726"/>
      <c r="B29" s="727"/>
      <c r="C29" s="727"/>
      <c r="D29" s="727"/>
      <c r="E29" s="727"/>
      <c r="F29" s="727"/>
      <c r="G29" s="727"/>
      <c r="H29" s="727"/>
      <c r="I29" s="734"/>
      <c r="K29" s="735"/>
      <c r="L29" s="736"/>
      <c r="M29" s="736"/>
      <c r="N29" s="736"/>
      <c r="O29" s="736"/>
      <c r="P29" s="736"/>
      <c r="Q29" s="736"/>
      <c r="R29" s="736"/>
      <c r="S29" s="757"/>
      <c r="U29" s="735"/>
      <c r="V29" s="758"/>
      <c r="W29" s="759"/>
      <c r="X29" s="759"/>
      <c r="Y29" s="759"/>
      <c r="Z29" s="759"/>
      <c r="AA29" s="759"/>
      <c r="AB29" s="759"/>
      <c r="AC29" s="759"/>
    </row>
    <row r="30" customFormat="1" ht="15" spans="1:29">
      <c r="A30" s="726"/>
      <c r="B30" s="727"/>
      <c r="C30" s="727"/>
      <c r="D30" s="727"/>
      <c r="E30" s="727"/>
      <c r="F30" s="727"/>
      <c r="G30" s="727"/>
      <c r="H30" s="727"/>
      <c r="I30" s="734"/>
      <c r="K30" s="735"/>
      <c r="L30" s="736"/>
      <c r="M30" s="736"/>
      <c r="N30" s="736"/>
      <c r="O30" s="736"/>
      <c r="P30" s="736"/>
      <c r="Q30" s="736"/>
      <c r="R30" s="736"/>
      <c r="S30" s="757"/>
      <c r="U30" s="735"/>
      <c r="V30" s="758"/>
      <c r="W30" s="759"/>
      <c r="X30" s="759"/>
      <c r="Y30" s="759"/>
      <c r="Z30" s="759"/>
      <c r="AA30" s="759"/>
      <c r="AB30" s="759"/>
      <c r="AC30" s="759"/>
    </row>
    <row r="31" customFormat="1" ht="15" spans="1:29">
      <c r="A31" s="726"/>
      <c r="B31" s="727"/>
      <c r="C31" s="727"/>
      <c r="D31" s="727"/>
      <c r="E31" s="727"/>
      <c r="F31" s="727"/>
      <c r="G31" s="727"/>
      <c r="H31" s="727"/>
      <c r="I31" s="734"/>
      <c r="K31" s="735"/>
      <c r="L31" s="736"/>
      <c r="M31" s="736"/>
      <c r="N31" s="736"/>
      <c r="O31" s="736"/>
      <c r="P31" s="736"/>
      <c r="Q31" s="736"/>
      <c r="R31" s="736"/>
      <c r="S31" s="757"/>
      <c r="U31" s="735"/>
      <c r="V31" s="758"/>
      <c r="W31" s="759"/>
      <c r="X31" s="759"/>
      <c r="Y31" s="759"/>
      <c r="Z31" s="759"/>
      <c r="AA31" s="759"/>
      <c r="AB31" s="759"/>
      <c r="AC31" s="759"/>
    </row>
    <row r="32" customFormat="1" ht="15" spans="1:29">
      <c r="A32" s="726"/>
      <c r="B32" s="727"/>
      <c r="C32" s="727"/>
      <c r="D32" s="727"/>
      <c r="E32" s="727"/>
      <c r="F32" s="727"/>
      <c r="G32" s="727"/>
      <c r="H32" s="727"/>
      <c r="I32" s="734"/>
      <c r="K32" s="735"/>
      <c r="L32" s="736"/>
      <c r="M32" s="736"/>
      <c r="N32" s="736"/>
      <c r="O32" s="736"/>
      <c r="P32" s="736"/>
      <c r="Q32" s="736"/>
      <c r="R32" s="736"/>
      <c r="S32" s="757"/>
      <c r="U32" s="735"/>
      <c r="V32" s="758"/>
      <c r="W32" s="759"/>
      <c r="X32" s="759"/>
      <c r="Y32" s="759"/>
      <c r="Z32" s="759"/>
      <c r="AA32" s="759"/>
      <c r="AB32" s="759"/>
      <c r="AC32" s="759"/>
    </row>
    <row r="33" customFormat="1" ht="15" spans="1:29">
      <c r="A33" s="726"/>
      <c r="B33" s="727"/>
      <c r="C33" s="727"/>
      <c r="D33" s="727"/>
      <c r="E33" s="727"/>
      <c r="F33" s="727"/>
      <c r="G33" s="727"/>
      <c r="H33" s="727"/>
      <c r="I33" s="734"/>
      <c r="K33" s="735"/>
      <c r="L33" s="736"/>
      <c r="M33" s="736"/>
      <c r="N33" s="736"/>
      <c r="O33" s="736"/>
      <c r="P33" s="736"/>
      <c r="Q33" s="736"/>
      <c r="R33" s="736"/>
      <c r="S33" s="757"/>
      <c r="U33" s="735"/>
      <c r="V33" s="758"/>
      <c r="W33" s="759"/>
      <c r="X33" s="759"/>
      <c r="Y33" s="759"/>
      <c r="Z33" s="759"/>
      <c r="AA33" s="759"/>
      <c r="AB33" s="759"/>
      <c r="AC33" s="759"/>
    </row>
    <row r="34" customFormat="1" ht="15" spans="1:29">
      <c r="A34" s="726"/>
      <c r="B34" s="727"/>
      <c r="C34" s="727"/>
      <c r="D34" s="727"/>
      <c r="E34" s="727"/>
      <c r="F34" s="727"/>
      <c r="G34" s="727"/>
      <c r="H34" s="727"/>
      <c r="I34" s="734"/>
      <c r="K34" s="735"/>
      <c r="L34" s="736"/>
      <c r="M34" s="736"/>
      <c r="N34" s="736"/>
      <c r="O34" s="736"/>
      <c r="P34" s="736"/>
      <c r="Q34" s="736"/>
      <c r="R34" s="736"/>
      <c r="S34" s="757"/>
      <c r="U34" s="735"/>
      <c r="V34" s="758"/>
      <c r="W34" s="759"/>
      <c r="X34" s="759"/>
      <c r="Y34" s="759"/>
      <c r="Z34" s="759"/>
      <c r="AA34" s="759"/>
      <c r="AB34" s="759"/>
      <c r="AC34" s="759"/>
    </row>
    <row r="35" customFormat="1" ht="15" spans="1:29">
      <c r="A35" s="726"/>
      <c r="B35" s="727"/>
      <c r="C35" s="727"/>
      <c r="D35" s="727"/>
      <c r="E35" s="727"/>
      <c r="F35" s="727"/>
      <c r="G35" s="727"/>
      <c r="H35" s="727"/>
      <c r="I35" s="734"/>
      <c r="K35" s="735"/>
      <c r="L35" s="736"/>
      <c r="M35" s="736"/>
      <c r="N35" s="736"/>
      <c r="O35" s="736"/>
      <c r="P35" s="736"/>
      <c r="Q35" s="736"/>
      <c r="R35" s="736"/>
      <c r="S35" s="757"/>
      <c r="U35" s="735"/>
      <c r="V35" s="758"/>
      <c r="W35" s="759"/>
      <c r="X35" s="759"/>
      <c r="Y35" s="759"/>
      <c r="Z35" s="759"/>
      <c r="AA35" s="759"/>
      <c r="AB35" s="759"/>
      <c r="AC35" s="759"/>
    </row>
    <row r="36" customFormat="1" ht="15" spans="1:29">
      <c r="A36" s="726"/>
      <c r="B36" s="727"/>
      <c r="C36" s="727"/>
      <c r="D36" s="727"/>
      <c r="E36" s="727"/>
      <c r="F36" s="727"/>
      <c r="G36" s="727"/>
      <c r="H36" s="727"/>
      <c r="I36" s="734"/>
      <c r="K36" s="735"/>
      <c r="L36" s="736"/>
      <c r="M36" s="736"/>
      <c r="N36" s="736"/>
      <c r="O36" s="736"/>
      <c r="P36" s="736"/>
      <c r="Q36" s="736"/>
      <c r="R36" s="736"/>
      <c r="S36" s="757"/>
      <c r="U36" s="735"/>
      <c r="V36" s="758"/>
      <c r="W36" s="759"/>
      <c r="X36" s="759"/>
      <c r="Y36" s="759"/>
      <c r="Z36" s="759"/>
      <c r="AA36" s="759"/>
      <c r="AB36" s="759"/>
      <c r="AC36" s="759"/>
    </row>
    <row r="37" customFormat="1" ht="15" spans="1:29">
      <c r="A37" s="726"/>
      <c r="B37" s="727"/>
      <c r="C37" s="727"/>
      <c r="D37" s="727"/>
      <c r="E37" s="727"/>
      <c r="F37" s="727"/>
      <c r="G37" s="727"/>
      <c r="H37" s="727"/>
      <c r="I37" s="734"/>
      <c r="K37" s="735"/>
      <c r="L37" s="736"/>
      <c r="M37" s="736"/>
      <c r="N37" s="736"/>
      <c r="O37" s="736"/>
      <c r="P37" s="736"/>
      <c r="Q37" s="736"/>
      <c r="R37" s="736"/>
      <c r="S37" s="757"/>
      <c r="U37" s="735"/>
      <c r="V37" s="758"/>
      <c r="W37" s="759"/>
      <c r="X37" s="759"/>
      <c r="Y37" s="759"/>
      <c r="Z37" s="759"/>
      <c r="AA37" s="759"/>
      <c r="AB37" s="759"/>
      <c r="AC37" s="759"/>
    </row>
    <row r="38" customFormat="1" ht="15" spans="1:29">
      <c r="A38" s="726"/>
      <c r="B38" s="727"/>
      <c r="C38" s="727"/>
      <c r="D38" s="727"/>
      <c r="E38" s="727"/>
      <c r="F38" s="727"/>
      <c r="G38" s="727"/>
      <c r="H38" s="727"/>
      <c r="I38" s="734"/>
      <c r="K38" s="735"/>
      <c r="L38" s="736"/>
      <c r="M38" s="736"/>
      <c r="N38" s="736"/>
      <c r="O38" s="736"/>
      <c r="P38" s="736"/>
      <c r="Q38" s="736"/>
      <c r="R38" s="736"/>
      <c r="S38" s="757"/>
      <c r="U38" s="735"/>
      <c r="V38" s="758"/>
      <c r="W38" s="759"/>
      <c r="X38" s="759"/>
      <c r="Y38" s="759"/>
      <c r="Z38" s="759"/>
      <c r="AA38" s="759"/>
      <c r="AB38" s="759"/>
      <c r="AC38" s="759"/>
    </row>
    <row r="39" customFormat="1" ht="15" spans="1:29">
      <c r="A39" s="726"/>
      <c r="B39" s="727"/>
      <c r="C39" s="727"/>
      <c r="D39" s="727"/>
      <c r="E39" s="727"/>
      <c r="F39" s="727"/>
      <c r="G39" s="727"/>
      <c r="H39" s="727"/>
      <c r="I39" s="734"/>
      <c r="K39" s="735"/>
      <c r="L39" s="736"/>
      <c r="M39" s="736"/>
      <c r="N39" s="736"/>
      <c r="O39" s="736"/>
      <c r="P39" s="736"/>
      <c r="Q39" s="736"/>
      <c r="R39" s="736"/>
      <c r="S39" s="757"/>
      <c r="U39" s="735"/>
      <c r="V39" s="758"/>
      <c r="W39" s="759"/>
      <c r="X39" s="759"/>
      <c r="Y39" s="759"/>
      <c r="Z39" s="759"/>
      <c r="AA39" s="759"/>
      <c r="AB39" s="759"/>
      <c r="AC39" s="759"/>
    </row>
    <row r="40" customFormat="1" ht="15" spans="1:29">
      <c r="A40" s="726"/>
      <c r="B40" s="727"/>
      <c r="C40" s="727"/>
      <c r="D40" s="727"/>
      <c r="E40" s="727"/>
      <c r="F40" s="727"/>
      <c r="G40" s="727"/>
      <c r="H40" s="727"/>
      <c r="I40" s="734"/>
      <c r="K40" s="735"/>
      <c r="L40" s="736"/>
      <c r="M40" s="736"/>
      <c r="N40" s="736"/>
      <c r="O40" s="736"/>
      <c r="P40" s="736"/>
      <c r="Q40" s="736"/>
      <c r="R40" s="736"/>
      <c r="S40" s="757"/>
      <c r="U40" s="735"/>
      <c r="V40" s="758"/>
      <c r="W40" s="759"/>
      <c r="X40" s="759"/>
      <c r="Y40" s="759"/>
      <c r="Z40" s="759"/>
      <c r="AA40" s="759"/>
      <c r="AB40" s="759"/>
      <c r="AC40" s="759"/>
    </row>
    <row r="41" customFormat="1" ht="15" spans="1:29">
      <c r="A41" s="726"/>
      <c r="B41" s="727"/>
      <c r="C41" s="727"/>
      <c r="D41" s="727"/>
      <c r="E41" s="727"/>
      <c r="F41" s="727"/>
      <c r="G41" s="727"/>
      <c r="H41" s="727"/>
      <c r="I41" s="734"/>
      <c r="K41" s="735"/>
      <c r="L41" s="736"/>
      <c r="M41" s="736"/>
      <c r="N41" s="736"/>
      <c r="O41" s="736"/>
      <c r="P41" s="736"/>
      <c r="Q41" s="736"/>
      <c r="R41" s="736"/>
      <c r="S41" s="757"/>
      <c r="U41" s="735"/>
      <c r="V41" s="758"/>
      <c r="W41" s="759"/>
      <c r="X41" s="759"/>
      <c r="Y41" s="759"/>
      <c r="Z41" s="759"/>
      <c r="AA41" s="759"/>
      <c r="AB41" s="759"/>
      <c r="AC41" s="759"/>
    </row>
    <row r="42" customFormat="1" ht="15" spans="1:29">
      <c r="A42" s="726"/>
      <c r="B42" s="727"/>
      <c r="C42" s="727"/>
      <c r="D42" s="727"/>
      <c r="E42" s="727"/>
      <c r="F42" s="727"/>
      <c r="G42" s="727"/>
      <c r="H42" s="727"/>
      <c r="I42" s="734"/>
      <c r="K42" s="735"/>
      <c r="L42" s="736"/>
      <c r="M42" s="736"/>
      <c r="N42" s="736"/>
      <c r="O42" s="736"/>
      <c r="P42" s="736"/>
      <c r="Q42" s="736"/>
      <c r="R42" s="736"/>
      <c r="S42" s="757"/>
      <c r="U42" s="735"/>
      <c r="V42" s="758"/>
      <c r="W42" s="759"/>
      <c r="X42" s="759"/>
      <c r="Y42" s="759"/>
      <c r="Z42" s="759"/>
      <c r="AA42" s="759"/>
      <c r="AB42" s="759"/>
      <c r="AC42" s="759"/>
    </row>
    <row r="43" customFormat="1" ht="15" spans="1:29">
      <c r="A43" s="726"/>
      <c r="B43" s="727"/>
      <c r="C43" s="727"/>
      <c r="D43" s="727"/>
      <c r="E43" s="727"/>
      <c r="F43" s="727"/>
      <c r="G43" s="727"/>
      <c r="H43" s="727"/>
      <c r="I43" s="734"/>
      <c r="K43" s="735"/>
      <c r="L43" s="736"/>
      <c r="M43" s="736"/>
      <c r="N43" s="736"/>
      <c r="O43" s="736"/>
      <c r="P43" s="736"/>
      <c r="Q43" s="736"/>
      <c r="R43" s="736"/>
      <c r="S43" s="757"/>
      <c r="U43" s="735"/>
      <c r="V43" s="758"/>
      <c r="W43" s="759"/>
      <c r="X43" s="759"/>
      <c r="Y43" s="759"/>
      <c r="Z43" s="759"/>
      <c r="AA43" s="759"/>
      <c r="AB43" s="759"/>
      <c r="AC43" s="759"/>
    </row>
    <row r="44" customFormat="1" ht="14.25"/>
    <row r="45" customFormat="1" ht="14.25"/>
    <row r="46" customFormat="1" ht="14.25"/>
    <row r="47" customFormat="1" ht="14.25"/>
    <row r="48" customFormat="1" ht="18.75" spans="11:29">
      <c r="K48" s="737" t="s">
        <v>41</v>
      </c>
      <c r="L48" s="737"/>
      <c r="T48" s="760"/>
      <c r="U48" s="761" t="s">
        <v>42</v>
      </c>
      <c r="V48" s="761"/>
      <c r="W48" s="762"/>
      <c r="X48" s="762"/>
      <c r="Y48" s="762"/>
      <c r="Z48" s="762"/>
      <c r="AA48" s="762"/>
      <c r="AB48" s="762" t="s">
        <v>2</v>
      </c>
      <c r="AC48" s="762"/>
    </row>
    <row r="49" customFormat="1" ht="14.25" spans="15:29">
      <c r="O49" s="738" t="s">
        <v>3</v>
      </c>
      <c r="P49" s="739">
        <f>15000*1</f>
        <v>15000</v>
      </c>
      <c r="Q49" s="763" t="s">
        <v>4</v>
      </c>
      <c r="R49" s="763" t="s">
        <v>6</v>
      </c>
      <c r="T49" s="764"/>
      <c r="U49" s="765"/>
      <c r="V49" s="765"/>
      <c r="W49" s="762"/>
      <c r="X49" s="762"/>
      <c r="Y49" s="762"/>
      <c r="Z49" s="762"/>
      <c r="AA49" s="762"/>
      <c r="AB49" s="762"/>
      <c r="AC49" s="762"/>
    </row>
    <row r="50" customFormat="1" ht="15" spans="11:29">
      <c r="K50" s="740" t="s">
        <v>7</v>
      </c>
      <c r="L50" s="740"/>
      <c r="M50" s="740" t="s">
        <v>10</v>
      </c>
      <c r="N50" s="740"/>
      <c r="O50" s="740"/>
      <c r="P50" s="740"/>
      <c r="Q50" s="740"/>
      <c r="R50" s="740"/>
      <c r="S50" s="740"/>
      <c r="T50" s="766"/>
      <c r="U50" s="767" t="s">
        <v>9</v>
      </c>
      <c r="V50" s="768" t="s">
        <v>10</v>
      </c>
      <c r="W50" s="769"/>
      <c r="X50" s="769"/>
      <c r="Y50" s="769"/>
      <c r="Z50" s="769"/>
      <c r="AA50" s="769"/>
      <c r="AB50" s="769"/>
      <c r="AC50" s="777"/>
    </row>
    <row r="51" customFormat="1" ht="15" spans="11:29">
      <c r="K51" s="740"/>
      <c r="L51" s="741"/>
      <c r="M51" s="742" t="s">
        <v>43</v>
      </c>
      <c r="N51" s="742" t="s">
        <v>13</v>
      </c>
      <c r="O51" s="742" t="s">
        <v>14</v>
      </c>
      <c r="P51" s="742" t="s">
        <v>15</v>
      </c>
      <c r="Q51" s="742" t="s">
        <v>16</v>
      </c>
      <c r="R51" s="742" t="s">
        <v>17</v>
      </c>
      <c r="S51" s="742" t="s">
        <v>18</v>
      </c>
      <c r="T51" s="766"/>
      <c r="U51" s="770"/>
      <c r="V51" s="741"/>
      <c r="W51" s="741" t="s">
        <v>43</v>
      </c>
      <c r="X51" s="741" t="s">
        <v>13</v>
      </c>
      <c r="Y51" s="741" t="s">
        <v>14</v>
      </c>
      <c r="Z51" s="741" t="s">
        <v>15</v>
      </c>
      <c r="AA51" s="741" t="s">
        <v>16</v>
      </c>
      <c r="AB51" s="741" t="s">
        <v>17</v>
      </c>
      <c r="AC51" s="741" t="s">
        <v>18</v>
      </c>
    </row>
    <row r="52" customFormat="1" ht="15" spans="11:29">
      <c r="K52" s="740" t="s">
        <v>19</v>
      </c>
      <c r="L52" s="740"/>
      <c r="M52" s="743"/>
      <c r="N52" s="743"/>
      <c r="O52" s="743"/>
      <c r="P52" s="743"/>
      <c r="Q52" s="744">
        <f t="shared" ref="Q52:Q75" si="42">ROUND($P$49*AA52/1000,2)</f>
        <v>2.07</v>
      </c>
      <c r="R52" s="743"/>
      <c r="S52" s="743"/>
      <c r="T52" s="766"/>
      <c r="U52" s="741" t="s">
        <v>19</v>
      </c>
      <c r="V52" s="741"/>
      <c r="W52" s="771"/>
      <c r="X52" s="771"/>
      <c r="Y52" s="771"/>
      <c r="Z52" s="771"/>
      <c r="AA52" s="771">
        <v>0.1381</v>
      </c>
      <c r="AB52" s="771"/>
      <c r="AC52" s="771"/>
    </row>
    <row r="53" customFormat="1" ht="15" spans="11:29">
      <c r="K53" s="740" t="s">
        <v>20</v>
      </c>
      <c r="L53" s="740"/>
      <c r="M53" s="743"/>
      <c r="N53" s="743"/>
      <c r="O53" s="743"/>
      <c r="P53" s="743"/>
      <c r="Q53" s="744">
        <f t="shared" si="42"/>
        <v>2.67</v>
      </c>
      <c r="R53" s="743"/>
      <c r="S53" s="743"/>
      <c r="T53" s="766"/>
      <c r="U53" s="741" t="s">
        <v>20</v>
      </c>
      <c r="V53" s="741"/>
      <c r="W53" s="771"/>
      <c r="X53" s="771"/>
      <c r="Y53" s="771"/>
      <c r="Z53" s="771"/>
      <c r="AA53" s="771">
        <v>0.1778</v>
      </c>
      <c r="AB53" s="771"/>
      <c r="AC53" s="771"/>
    </row>
    <row r="54" customFormat="1" ht="15" spans="11:29">
      <c r="K54" s="740" t="s">
        <v>21</v>
      </c>
      <c r="L54" s="740"/>
      <c r="M54" s="743"/>
      <c r="N54" s="743"/>
      <c r="O54" s="743"/>
      <c r="P54" s="743"/>
      <c r="Q54" s="744">
        <f>ROUND($P49*AA54/1000,2)</f>
        <v>4.35</v>
      </c>
      <c r="R54" s="743"/>
      <c r="S54" s="743"/>
      <c r="T54" s="766"/>
      <c r="U54" s="741" t="s">
        <v>21</v>
      </c>
      <c r="V54" s="741"/>
      <c r="W54" s="771"/>
      <c r="X54" s="771"/>
      <c r="Y54" s="771"/>
      <c r="Z54" s="771"/>
      <c r="AA54" s="771">
        <v>0.2902</v>
      </c>
      <c r="AB54" s="771"/>
      <c r="AC54" s="771"/>
    </row>
    <row r="55" customFormat="1" ht="15" spans="11:29">
      <c r="K55" s="740" t="s">
        <v>22</v>
      </c>
      <c r="L55" s="740"/>
      <c r="M55" s="743"/>
      <c r="N55" s="743"/>
      <c r="O55" s="743"/>
      <c r="P55" s="743"/>
      <c r="Q55" s="744">
        <f t="shared" si="42"/>
        <v>6.71</v>
      </c>
      <c r="R55" s="743"/>
      <c r="S55" s="743"/>
      <c r="T55" s="766"/>
      <c r="U55" s="741" t="s">
        <v>22</v>
      </c>
      <c r="V55" s="741"/>
      <c r="W55" s="771"/>
      <c r="X55" s="771"/>
      <c r="Y55" s="771"/>
      <c r="Z55" s="771"/>
      <c r="AA55" s="771">
        <v>0.4471</v>
      </c>
      <c r="AB55" s="771"/>
      <c r="AC55" s="771"/>
    </row>
    <row r="56" customFormat="1" ht="15" spans="11:29">
      <c r="K56" s="740" t="s">
        <v>23</v>
      </c>
      <c r="L56" s="740"/>
      <c r="M56" s="743"/>
      <c r="N56" s="743"/>
      <c r="O56" s="743"/>
      <c r="P56" s="743"/>
      <c r="Q56" s="744">
        <f t="shared" si="42"/>
        <v>10.4</v>
      </c>
      <c r="R56" s="743"/>
      <c r="S56" s="743"/>
      <c r="T56" s="766"/>
      <c r="U56" s="741" t="s">
        <v>23</v>
      </c>
      <c r="V56" s="741"/>
      <c r="W56" s="771"/>
      <c r="X56" s="771"/>
      <c r="Y56" s="771"/>
      <c r="Z56" s="771"/>
      <c r="AA56" s="771">
        <v>0.693</v>
      </c>
      <c r="AB56" s="771"/>
      <c r="AC56" s="771"/>
    </row>
    <row r="57" customFormat="1" ht="15" spans="11:29">
      <c r="K57" s="740" t="s">
        <v>24</v>
      </c>
      <c r="L57" s="740"/>
      <c r="M57" s="743"/>
      <c r="N57" s="743"/>
      <c r="O57" s="743"/>
      <c r="P57" s="744">
        <f t="shared" ref="P57:P63" si="43">ROUND($P$49*Z57/1000,2)</f>
        <v>13.36</v>
      </c>
      <c r="Q57" s="744">
        <f t="shared" si="42"/>
        <v>16.05</v>
      </c>
      <c r="R57" s="743"/>
      <c r="S57" s="743"/>
      <c r="T57" s="766"/>
      <c r="U57" s="741" t="s">
        <v>24</v>
      </c>
      <c r="V57" s="767"/>
      <c r="W57" s="771"/>
      <c r="X57" s="771"/>
      <c r="Y57" s="771"/>
      <c r="Z57" s="771">
        <v>0.8906</v>
      </c>
      <c r="AA57" s="771">
        <v>1.0699</v>
      </c>
      <c r="AB57" s="771"/>
      <c r="AC57" s="771"/>
    </row>
    <row r="58" customFormat="1" ht="15" spans="11:29">
      <c r="K58" s="740" t="s">
        <v>25</v>
      </c>
      <c r="L58" s="740"/>
      <c r="M58" s="743"/>
      <c r="N58" s="743"/>
      <c r="O58" s="744">
        <f t="shared" ref="O58:O76" si="44">ROUND($P$49*Y58/1000,2)</f>
        <v>15.39</v>
      </c>
      <c r="P58" s="744">
        <f t="shared" si="43"/>
        <v>18.87</v>
      </c>
      <c r="Q58" s="744">
        <f t="shared" si="42"/>
        <v>22.5</v>
      </c>
      <c r="R58" s="743"/>
      <c r="S58" s="743"/>
      <c r="T58" s="766"/>
      <c r="U58" s="772" t="s">
        <v>25</v>
      </c>
      <c r="V58" s="773"/>
      <c r="W58" s="774"/>
      <c r="X58" s="771"/>
      <c r="Y58" s="771">
        <v>1.0261</v>
      </c>
      <c r="Z58" s="771">
        <v>1.2581</v>
      </c>
      <c r="AA58" s="771">
        <v>1.4997</v>
      </c>
      <c r="AB58" s="771"/>
      <c r="AC58" s="771"/>
    </row>
    <row r="59" customFormat="1" ht="15" spans="11:29">
      <c r="K59" s="740" t="s">
        <v>26</v>
      </c>
      <c r="L59" s="740"/>
      <c r="M59" s="743"/>
      <c r="N59" s="744">
        <f>ROUND($P49*X59/1000,2)</f>
        <v>17.96</v>
      </c>
      <c r="O59" s="744">
        <f t="shared" si="44"/>
        <v>22.28</v>
      </c>
      <c r="P59" s="744">
        <f t="shared" si="43"/>
        <v>27.14</v>
      </c>
      <c r="Q59" s="744">
        <f t="shared" si="42"/>
        <v>32.49</v>
      </c>
      <c r="R59" s="743"/>
      <c r="S59" s="743"/>
      <c r="T59" s="766"/>
      <c r="U59" s="772" t="s">
        <v>26</v>
      </c>
      <c r="V59" s="773"/>
      <c r="W59" s="774"/>
      <c r="X59" s="771">
        <v>1.1972</v>
      </c>
      <c r="Y59" s="771">
        <v>1.485</v>
      </c>
      <c r="Z59" s="771">
        <v>1.8094</v>
      </c>
      <c r="AA59" s="771">
        <v>2.166</v>
      </c>
      <c r="AB59" s="771"/>
      <c r="AC59" s="771"/>
    </row>
    <row r="60" customFormat="1" ht="15" spans="11:29">
      <c r="K60" s="740" t="s">
        <v>27</v>
      </c>
      <c r="L60" s="740"/>
      <c r="M60" s="744">
        <f t="shared" ref="M60:M76" si="45">ROUND($P$49*W60/1000,2)</f>
        <v>21.71</v>
      </c>
      <c r="N60" s="744">
        <f t="shared" ref="N60:N76" si="46">ROUND($P$49*X60/1000,2)</f>
        <v>27.12</v>
      </c>
      <c r="O60" s="744">
        <f t="shared" si="44"/>
        <v>33.05</v>
      </c>
      <c r="P60" s="744">
        <f t="shared" si="43"/>
        <v>40.08</v>
      </c>
      <c r="Q60" s="744">
        <f t="shared" si="42"/>
        <v>48.27</v>
      </c>
      <c r="R60" s="743"/>
      <c r="S60" s="743"/>
      <c r="T60" s="766"/>
      <c r="U60" s="772" t="s">
        <v>27</v>
      </c>
      <c r="V60" s="773"/>
      <c r="W60" s="774">
        <v>1.447</v>
      </c>
      <c r="X60" s="771">
        <v>1.8079</v>
      </c>
      <c r="Y60" s="771">
        <v>2.2034</v>
      </c>
      <c r="Z60" s="771">
        <v>2.6719</v>
      </c>
      <c r="AA60" s="771">
        <v>3.2178</v>
      </c>
      <c r="AB60" s="771"/>
      <c r="AC60" s="771"/>
    </row>
    <row r="61" customFormat="1" ht="15" spans="11:29">
      <c r="K61" s="740" t="s">
        <v>28</v>
      </c>
      <c r="L61" s="740"/>
      <c r="M61" s="744">
        <f t="shared" si="45"/>
        <v>28.18</v>
      </c>
      <c r="N61" s="744">
        <f t="shared" si="46"/>
        <v>34.59</v>
      </c>
      <c r="O61" s="744">
        <f t="shared" si="44"/>
        <v>42.35</v>
      </c>
      <c r="P61" s="744">
        <f t="shared" si="43"/>
        <v>51.56</v>
      </c>
      <c r="Q61" s="744">
        <f t="shared" si="42"/>
        <v>62.73</v>
      </c>
      <c r="R61" s="743"/>
      <c r="S61" s="743"/>
      <c r="T61" s="766"/>
      <c r="U61" s="772" t="s">
        <v>28</v>
      </c>
      <c r="V61" s="773"/>
      <c r="W61" s="774">
        <v>1.8788</v>
      </c>
      <c r="X61" s="771">
        <v>2.3061</v>
      </c>
      <c r="Y61" s="771">
        <v>2.823</v>
      </c>
      <c r="Z61" s="771">
        <v>3.437</v>
      </c>
      <c r="AA61" s="771">
        <v>4.1817</v>
      </c>
      <c r="AB61" s="771"/>
      <c r="AC61" s="771"/>
    </row>
    <row r="62" customFormat="1" ht="15" spans="11:29">
      <c r="K62" s="740" t="s">
        <v>29</v>
      </c>
      <c r="L62" s="740"/>
      <c r="M62" s="744">
        <f t="shared" si="45"/>
        <v>35.53</v>
      </c>
      <c r="N62" s="744">
        <f>ROUND($P49*X62/1000,2)</f>
        <v>43.54</v>
      </c>
      <c r="O62" s="744">
        <f t="shared" si="44"/>
        <v>53.06</v>
      </c>
      <c r="P62" s="744">
        <f t="shared" si="43"/>
        <v>64.73</v>
      </c>
      <c r="Q62" s="744">
        <f t="shared" si="42"/>
        <v>78.28</v>
      </c>
      <c r="R62" s="743"/>
      <c r="S62" s="743"/>
      <c r="T62" s="766"/>
      <c r="U62" s="772" t="s">
        <v>29</v>
      </c>
      <c r="V62" s="773"/>
      <c r="W62" s="774">
        <v>2.3688</v>
      </c>
      <c r="X62" s="771">
        <v>2.9026</v>
      </c>
      <c r="Y62" s="771">
        <v>3.5374</v>
      </c>
      <c r="Z62" s="771">
        <v>4.3152</v>
      </c>
      <c r="AA62" s="771">
        <v>5.2187</v>
      </c>
      <c r="AB62" s="771"/>
      <c r="AC62" s="771"/>
    </row>
    <row r="63" customFormat="1" ht="15" spans="11:29">
      <c r="K63" s="740" t="s">
        <v>30</v>
      </c>
      <c r="L63" s="740"/>
      <c r="M63" s="744">
        <f t="shared" si="45"/>
        <v>46.47</v>
      </c>
      <c r="N63" s="744">
        <f>ROUND($P49*X63/1000,2)</f>
        <v>56.95</v>
      </c>
      <c r="O63" s="744">
        <f t="shared" si="44"/>
        <v>69.44</v>
      </c>
      <c r="P63" s="744">
        <f t="shared" si="43"/>
        <v>84.63</v>
      </c>
      <c r="Q63" s="744">
        <f t="shared" si="42"/>
        <v>102.5</v>
      </c>
      <c r="R63" s="743"/>
      <c r="S63" s="743"/>
      <c r="T63" s="766"/>
      <c r="U63" s="772" t="s">
        <v>30</v>
      </c>
      <c r="V63" s="773"/>
      <c r="W63" s="774">
        <v>3.0977</v>
      </c>
      <c r="X63" s="771">
        <v>3.7968</v>
      </c>
      <c r="Y63" s="771">
        <v>4.6293</v>
      </c>
      <c r="Z63" s="771">
        <v>5.6419</v>
      </c>
      <c r="AA63" s="771">
        <v>6.8332</v>
      </c>
      <c r="AB63" s="771"/>
      <c r="AC63" s="771"/>
    </row>
    <row r="64" customFormat="1" ht="15" spans="11:29">
      <c r="K64" s="740" t="s">
        <v>31</v>
      </c>
      <c r="L64" s="740"/>
      <c r="M64" s="744">
        <f t="shared" si="45"/>
        <v>58.16</v>
      </c>
      <c r="N64" s="744">
        <f t="shared" si="46"/>
        <v>71.45</v>
      </c>
      <c r="O64" s="744">
        <f t="shared" si="44"/>
        <v>88.02</v>
      </c>
      <c r="P64" s="744">
        <f>ROUND($P49*Z64/1000,2)</f>
        <v>107.2</v>
      </c>
      <c r="Q64" s="744">
        <f t="shared" si="42"/>
        <v>131.94</v>
      </c>
      <c r="R64" s="743"/>
      <c r="S64" s="743"/>
      <c r="T64" s="775"/>
      <c r="U64" s="772" t="s">
        <v>31</v>
      </c>
      <c r="V64" s="773"/>
      <c r="W64" s="774">
        <v>3.877</v>
      </c>
      <c r="X64" s="771">
        <v>4.7635</v>
      </c>
      <c r="Y64" s="771">
        <v>5.8678</v>
      </c>
      <c r="Z64" s="771">
        <v>7.1464</v>
      </c>
      <c r="AA64" s="771">
        <v>8.7957</v>
      </c>
      <c r="AB64" s="771"/>
      <c r="AC64" s="771"/>
    </row>
    <row r="65" customFormat="1" ht="15" spans="11:29">
      <c r="K65" s="740" t="s">
        <v>32</v>
      </c>
      <c r="L65" s="740"/>
      <c r="M65" s="744">
        <f t="shared" si="45"/>
        <v>71.98</v>
      </c>
      <c r="N65" s="744">
        <f t="shared" si="46"/>
        <v>88.8</v>
      </c>
      <c r="O65" s="744">
        <f t="shared" si="44"/>
        <v>108.4</v>
      </c>
      <c r="P65" s="744">
        <f t="shared" ref="P65:P71" si="47">ROUND($P$49*Z65/1000,2)</f>
        <v>132.04</v>
      </c>
      <c r="Q65" s="744">
        <f t="shared" si="42"/>
        <v>162.86</v>
      </c>
      <c r="R65" s="743"/>
      <c r="S65" s="743"/>
      <c r="T65" s="775"/>
      <c r="U65" s="772" t="s">
        <v>32</v>
      </c>
      <c r="V65" s="773"/>
      <c r="W65" s="774">
        <v>4.7987</v>
      </c>
      <c r="X65" s="771">
        <v>5.9199</v>
      </c>
      <c r="Y65" s="771">
        <v>7.2266</v>
      </c>
      <c r="Z65" s="771">
        <v>8.8028</v>
      </c>
      <c r="AA65" s="771">
        <v>10.8573</v>
      </c>
      <c r="AB65" s="771"/>
      <c r="AC65" s="771"/>
    </row>
    <row r="66" customFormat="1" ht="15" spans="11:29">
      <c r="K66" s="740" t="s">
        <v>33</v>
      </c>
      <c r="L66" s="740"/>
      <c r="M66" s="744">
        <f t="shared" si="45"/>
        <v>90.28</v>
      </c>
      <c r="N66" s="744">
        <f t="shared" si="46"/>
        <v>112.8</v>
      </c>
      <c r="O66" s="744">
        <f t="shared" si="44"/>
        <v>137.64</v>
      </c>
      <c r="P66" s="744">
        <f t="shared" si="47"/>
        <v>170.7</v>
      </c>
      <c r="Q66" s="744">
        <f t="shared" si="42"/>
        <v>206.53</v>
      </c>
      <c r="R66" s="743"/>
      <c r="S66" s="743"/>
      <c r="T66" s="775"/>
      <c r="U66" s="772" t="s">
        <v>33</v>
      </c>
      <c r="V66" s="773"/>
      <c r="W66" s="774">
        <v>6.0189</v>
      </c>
      <c r="X66" s="771">
        <v>7.52</v>
      </c>
      <c r="Y66" s="771">
        <v>9.1758</v>
      </c>
      <c r="Z66" s="771">
        <v>11.3797</v>
      </c>
      <c r="AA66" s="771">
        <v>13.7685</v>
      </c>
      <c r="AB66" s="771"/>
      <c r="AC66" s="771"/>
    </row>
    <row r="67" customFormat="1" ht="15" spans="11:29">
      <c r="K67" s="740" t="s">
        <v>34</v>
      </c>
      <c r="L67" s="740"/>
      <c r="M67" s="744">
        <f t="shared" si="45"/>
        <v>112.21</v>
      </c>
      <c r="N67" s="744">
        <f t="shared" si="46"/>
        <v>137.35</v>
      </c>
      <c r="O67" s="744">
        <f t="shared" si="44"/>
        <v>168.88</v>
      </c>
      <c r="P67" s="744">
        <f t="shared" si="47"/>
        <v>210</v>
      </c>
      <c r="Q67" s="744">
        <f t="shared" si="42"/>
        <v>253.56</v>
      </c>
      <c r="R67" s="743"/>
      <c r="S67" s="743"/>
      <c r="T67" s="775"/>
      <c r="U67" s="772" t="s">
        <v>34</v>
      </c>
      <c r="V67" s="773"/>
      <c r="W67" s="774">
        <v>7.4806</v>
      </c>
      <c r="X67" s="771">
        <v>9.1568</v>
      </c>
      <c r="Y67" s="771">
        <v>11.2588</v>
      </c>
      <c r="Z67" s="771">
        <v>13.9998</v>
      </c>
      <c r="AA67" s="771">
        <v>16.9043</v>
      </c>
      <c r="AB67" s="771"/>
      <c r="AC67" s="771"/>
    </row>
    <row r="68" customFormat="1" ht="15" spans="11:29">
      <c r="K68" s="740" t="s">
        <v>35</v>
      </c>
      <c r="L68" s="740"/>
      <c r="M68" s="744">
        <f t="shared" si="45"/>
        <v>141.66</v>
      </c>
      <c r="N68" s="744">
        <f t="shared" si="46"/>
        <v>175.31</v>
      </c>
      <c r="O68" s="744">
        <f t="shared" si="44"/>
        <v>218.24</v>
      </c>
      <c r="P68" s="744">
        <f t="shared" si="47"/>
        <v>266.31</v>
      </c>
      <c r="Q68" s="744">
        <f t="shared" si="42"/>
        <v>321.34</v>
      </c>
      <c r="R68" s="743"/>
      <c r="S68" s="743"/>
      <c r="T68" s="775"/>
      <c r="U68" s="772" t="s">
        <v>35</v>
      </c>
      <c r="V68" s="773"/>
      <c r="W68" s="774">
        <v>9.4438</v>
      </c>
      <c r="X68" s="771">
        <v>11.6873</v>
      </c>
      <c r="Y68" s="771">
        <v>14.5496</v>
      </c>
      <c r="Z68" s="771">
        <v>17.7539</v>
      </c>
      <c r="AA68" s="771">
        <v>21.4229</v>
      </c>
      <c r="AB68" s="771"/>
      <c r="AC68" s="771"/>
    </row>
    <row r="69" customFormat="1" ht="15" spans="11:29">
      <c r="K69" s="740" t="s">
        <v>36</v>
      </c>
      <c r="L69" s="740"/>
      <c r="M69" s="744">
        <f t="shared" si="45"/>
        <v>178.26</v>
      </c>
      <c r="N69" s="744">
        <f t="shared" si="46"/>
        <v>218.34</v>
      </c>
      <c r="O69" s="744">
        <f t="shared" si="44"/>
        <v>274.36</v>
      </c>
      <c r="P69" s="744">
        <f t="shared" si="47"/>
        <v>333.96</v>
      </c>
      <c r="Q69" s="744">
        <f t="shared" si="42"/>
        <v>402.86</v>
      </c>
      <c r="R69" s="743"/>
      <c r="S69" s="743"/>
      <c r="T69" s="775"/>
      <c r="U69" s="772" t="s">
        <v>36</v>
      </c>
      <c r="V69" s="773"/>
      <c r="W69" s="774">
        <v>11.8841</v>
      </c>
      <c r="X69" s="771">
        <v>14.5562</v>
      </c>
      <c r="Y69" s="771">
        <v>18.2905</v>
      </c>
      <c r="Z69" s="771">
        <v>22.2643</v>
      </c>
      <c r="AA69" s="771">
        <v>26.857</v>
      </c>
      <c r="AB69" s="771"/>
      <c r="AC69" s="771"/>
    </row>
    <row r="70" customFormat="1" ht="15" spans="11:29">
      <c r="K70" s="740" t="s">
        <v>37</v>
      </c>
      <c r="L70" s="740"/>
      <c r="M70" s="744">
        <f t="shared" si="45"/>
        <v>227.04</v>
      </c>
      <c r="N70" s="744">
        <f t="shared" si="46"/>
        <v>282.34</v>
      </c>
      <c r="O70" s="744">
        <f t="shared" si="44"/>
        <v>348.24</v>
      </c>
      <c r="P70" s="744">
        <f t="shared" si="47"/>
        <v>423.65</v>
      </c>
      <c r="Q70" s="744">
        <f t="shared" si="42"/>
        <v>511.83</v>
      </c>
      <c r="R70" s="743"/>
      <c r="S70" s="743"/>
      <c r="T70" s="775"/>
      <c r="U70" s="772" t="s">
        <v>37</v>
      </c>
      <c r="V70" s="773"/>
      <c r="W70" s="774">
        <v>15.136</v>
      </c>
      <c r="X70" s="771">
        <v>18.8229</v>
      </c>
      <c r="Y70" s="771">
        <v>23.2159</v>
      </c>
      <c r="Z70" s="771">
        <v>28.2436</v>
      </c>
      <c r="AA70" s="771">
        <v>34.1218</v>
      </c>
      <c r="AB70" s="771"/>
      <c r="AC70" s="771"/>
    </row>
    <row r="71" customFormat="1" ht="15" spans="11:29">
      <c r="K71" s="740" t="s">
        <v>38</v>
      </c>
      <c r="L71" s="740"/>
      <c r="M71" s="744">
        <f t="shared" si="45"/>
        <v>287.92</v>
      </c>
      <c r="N71" s="744">
        <f t="shared" si="46"/>
        <v>360.06</v>
      </c>
      <c r="O71" s="744">
        <f t="shared" si="44"/>
        <v>440.69</v>
      </c>
      <c r="P71" s="744">
        <f t="shared" si="47"/>
        <v>537.29</v>
      </c>
      <c r="Q71" s="744">
        <f t="shared" si="42"/>
        <v>649.99</v>
      </c>
      <c r="R71" s="743"/>
      <c r="S71" s="743"/>
      <c r="T71" s="775"/>
      <c r="U71" s="772" t="s">
        <v>38</v>
      </c>
      <c r="V71" s="773"/>
      <c r="W71" s="774">
        <v>19.1947</v>
      </c>
      <c r="X71" s="771">
        <v>24.0038</v>
      </c>
      <c r="Y71" s="771">
        <v>29.3794</v>
      </c>
      <c r="Z71" s="771">
        <v>35.8193</v>
      </c>
      <c r="AA71" s="771">
        <v>43.3328</v>
      </c>
      <c r="AB71" s="771"/>
      <c r="AC71" s="771"/>
    </row>
    <row r="72" customFormat="1" ht="15" spans="11:29">
      <c r="K72" s="740" t="s">
        <v>39</v>
      </c>
      <c r="L72" s="740"/>
      <c r="M72" s="744">
        <f t="shared" si="45"/>
        <v>370.46</v>
      </c>
      <c r="N72" s="744">
        <f t="shared" si="46"/>
        <v>455.24</v>
      </c>
      <c r="O72" s="744">
        <f t="shared" si="44"/>
        <v>558.52</v>
      </c>
      <c r="P72" s="744">
        <f>ROUND($P49*Z72/1000,2)</f>
        <v>681.07</v>
      </c>
      <c r="Q72" s="744">
        <f t="shared" si="42"/>
        <v>822.85</v>
      </c>
      <c r="R72" s="743"/>
      <c r="S72" s="743"/>
      <c r="U72" s="772" t="s">
        <v>39</v>
      </c>
      <c r="V72" s="773"/>
      <c r="W72" s="774">
        <v>24.6974</v>
      </c>
      <c r="X72" s="771">
        <v>30.3494</v>
      </c>
      <c r="Y72" s="771">
        <v>37.2349</v>
      </c>
      <c r="Z72" s="771">
        <v>45.4049</v>
      </c>
      <c r="AA72" s="771">
        <v>54.8567</v>
      </c>
      <c r="AB72" s="771"/>
      <c r="AC72" s="771"/>
    </row>
    <row r="73" customFormat="1" ht="15" spans="11:29">
      <c r="K73" s="740" t="s">
        <v>40</v>
      </c>
      <c r="L73" s="740"/>
      <c r="M73" s="744">
        <f t="shared" si="45"/>
        <v>457.13</v>
      </c>
      <c r="N73" s="744">
        <f t="shared" si="46"/>
        <v>562.39</v>
      </c>
      <c r="O73" s="744">
        <f t="shared" si="44"/>
        <v>690.3</v>
      </c>
      <c r="P73" s="744">
        <f t="shared" ref="P73:P76" si="48">ROUND($P$49*Z73/1000,2)</f>
        <v>840.76</v>
      </c>
      <c r="Q73" s="744">
        <f t="shared" si="42"/>
        <v>1016.07</v>
      </c>
      <c r="R73" s="743"/>
      <c r="S73" s="743"/>
      <c r="U73" s="772" t="s">
        <v>40</v>
      </c>
      <c r="V73" s="773"/>
      <c r="W73" s="774">
        <v>30.4753</v>
      </c>
      <c r="X73" s="771">
        <v>37.4926</v>
      </c>
      <c r="Y73" s="771">
        <v>46.02</v>
      </c>
      <c r="Z73" s="771">
        <v>56.0508</v>
      </c>
      <c r="AA73" s="771">
        <v>67.7377</v>
      </c>
      <c r="AB73" s="771"/>
      <c r="AC73" s="771"/>
    </row>
    <row r="74" customFormat="1" ht="15" spans="11:29">
      <c r="K74" s="740" t="s">
        <v>44</v>
      </c>
      <c r="L74" s="740"/>
      <c r="M74" s="744">
        <f t="shared" si="45"/>
        <v>572.1</v>
      </c>
      <c r="N74" s="744">
        <f t="shared" si="46"/>
        <v>706.95</v>
      </c>
      <c r="O74" s="744">
        <f t="shared" si="44"/>
        <v>868.2</v>
      </c>
      <c r="P74" s="744">
        <f t="shared" si="48"/>
        <v>1060.5</v>
      </c>
      <c r="Q74" s="744">
        <f t="shared" si="42"/>
        <v>1284</v>
      </c>
      <c r="R74" s="743"/>
      <c r="S74" s="743"/>
      <c r="U74" s="772" t="s">
        <v>44</v>
      </c>
      <c r="V74" s="773"/>
      <c r="W74" s="774">
        <v>38.14</v>
      </c>
      <c r="X74" s="771">
        <v>47.13</v>
      </c>
      <c r="Y74" s="771">
        <v>57.88</v>
      </c>
      <c r="Z74" s="771">
        <v>70.7</v>
      </c>
      <c r="AA74" s="771">
        <v>85.6</v>
      </c>
      <c r="AB74" s="771"/>
      <c r="AC74" s="771"/>
    </row>
    <row r="75" customFormat="1" ht="15" spans="11:29">
      <c r="K75" s="740" t="s">
        <v>45</v>
      </c>
      <c r="L75" s="740"/>
      <c r="M75" s="744">
        <f t="shared" si="45"/>
        <v>726.6</v>
      </c>
      <c r="N75" s="744">
        <f t="shared" si="46"/>
        <v>893.7</v>
      </c>
      <c r="O75" s="744">
        <f t="shared" si="44"/>
        <v>1099.65</v>
      </c>
      <c r="P75" s="744">
        <f t="shared" si="48"/>
        <v>1339.35</v>
      </c>
      <c r="Q75" s="744">
        <f t="shared" si="42"/>
        <v>1621.05</v>
      </c>
      <c r="R75" s="743"/>
      <c r="S75" s="743"/>
      <c r="U75" s="772" t="s">
        <v>45</v>
      </c>
      <c r="V75" s="773"/>
      <c r="W75" s="774">
        <v>48.44</v>
      </c>
      <c r="X75" s="771">
        <v>59.58</v>
      </c>
      <c r="Y75" s="771">
        <v>73.31</v>
      </c>
      <c r="Z75" s="771">
        <v>89.29</v>
      </c>
      <c r="AA75" s="771">
        <v>108.07</v>
      </c>
      <c r="AB75" s="771"/>
      <c r="AC75" s="771"/>
    </row>
    <row r="76" customFormat="1" ht="15" spans="11:29">
      <c r="K76" s="740" t="s">
        <v>46</v>
      </c>
      <c r="L76" s="740"/>
      <c r="M76" s="744">
        <f t="shared" si="45"/>
        <v>923.85</v>
      </c>
      <c r="N76" s="744">
        <f t="shared" si="46"/>
        <v>1138.5</v>
      </c>
      <c r="O76" s="744">
        <f t="shared" si="44"/>
        <v>1396.2</v>
      </c>
      <c r="P76" s="744">
        <f t="shared" si="48"/>
        <v>1702.05</v>
      </c>
      <c r="Q76" s="744"/>
      <c r="R76" s="743"/>
      <c r="S76" s="743"/>
      <c r="U76" s="772" t="s">
        <v>46</v>
      </c>
      <c r="V76" s="773"/>
      <c r="W76" s="774">
        <v>61.59</v>
      </c>
      <c r="X76" s="771">
        <v>75.9</v>
      </c>
      <c r="Y76" s="771">
        <v>93.08</v>
      </c>
      <c r="Z76" s="771">
        <v>113.47</v>
      </c>
      <c r="AA76" s="771"/>
      <c r="AB76" s="771"/>
      <c r="AC76" s="771"/>
    </row>
    <row r="77" ht="22.5" spans="21:28">
      <c r="U77" s="778"/>
      <c r="V77" s="778"/>
      <c r="AB77" s="779" t="s">
        <v>47</v>
      </c>
    </row>
  </sheetData>
  <mergeCells count="10">
    <mergeCell ref="C3:I3"/>
    <mergeCell ref="M3:S3"/>
    <mergeCell ref="V3:AC3"/>
    <mergeCell ref="M50:S50"/>
    <mergeCell ref="V50:AC50"/>
    <mergeCell ref="A3:A4"/>
    <mergeCell ref="K3:K4"/>
    <mergeCell ref="K50:K51"/>
    <mergeCell ref="U3:U4"/>
    <mergeCell ref="U50:U51"/>
  </mergeCells>
  <pageMargins left="0.75" right="0.75" top="1" bottom="1" header="0.5" footer="0.5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indexed="51"/>
  </sheetPr>
  <dimension ref="A1:F32"/>
  <sheetViews>
    <sheetView topLeftCell="A7" workbookViewId="0">
      <selection activeCell="D122" sqref="D122"/>
    </sheetView>
  </sheetViews>
  <sheetFormatPr defaultColWidth="9" defaultRowHeight="14.25" outlineLevelCol="5"/>
  <cols>
    <col min="1" max="1" width="9" style="705"/>
    <col min="2" max="2" width="14.25" style="705" customWidth="1"/>
    <col min="3" max="3" width="9" style="705"/>
    <col min="4" max="4" width="12.625" style="705" customWidth="1"/>
    <col min="5" max="16384" width="9" style="705"/>
  </cols>
  <sheetData>
    <row r="1" spans="1:6">
      <c r="A1"/>
      <c r="B1"/>
      <c r="C1"/>
      <c r="D1"/>
      <c r="E1"/>
      <c r="F1"/>
    </row>
    <row r="2" spans="1:6">
      <c r="A2" t="s">
        <v>279</v>
      </c>
      <c r="B2"/>
      <c r="C2"/>
      <c r="D2"/>
      <c r="E2"/>
      <c r="F2"/>
    </row>
    <row r="3" spans="1:6">
      <c r="A3" s="706" t="s">
        <v>50</v>
      </c>
      <c r="B3" s="561" t="s">
        <v>280</v>
      </c>
      <c r="C3" s="707" t="s">
        <v>281</v>
      </c>
      <c r="D3" s="561" t="s">
        <v>282</v>
      </c>
      <c r="E3"/>
      <c r="F3"/>
    </row>
    <row r="4" spans="1:6">
      <c r="A4" s="706"/>
      <c r="B4" s="708" t="e">
        <f>#REF!</f>
        <v>#REF!</v>
      </c>
      <c r="C4" s="707"/>
      <c r="D4" s="561"/>
      <c r="E4"/>
      <c r="F4"/>
    </row>
    <row r="5" spans="1:6">
      <c r="A5" s="706">
        <v>1</v>
      </c>
      <c r="B5" s="561" t="s">
        <v>283</v>
      </c>
      <c r="C5" s="709">
        <v>0.01</v>
      </c>
      <c r="D5" s="708">
        <f>100*C5</f>
        <v>1</v>
      </c>
      <c r="E5"/>
      <c r="F5"/>
    </row>
    <row r="6" spans="1:6">
      <c r="A6" s="706">
        <v>2</v>
      </c>
      <c r="B6" s="561" t="s">
        <v>284</v>
      </c>
      <c r="C6" s="709">
        <v>0.007</v>
      </c>
      <c r="D6" s="708">
        <f>(500-100)*C6</f>
        <v>2.8</v>
      </c>
      <c r="E6" s="110"/>
      <c r="F6"/>
    </row>
    <row r="7" spans="1:6">
      <c r="A7" s="706">
        <v>3</v>
      </c>
      <c r="B7" s="561" t="s">
        <v>285</v>
      </c>
      <c r="C7" s="709">
        <v>0.0055</v>
      </c>
      <c r="D7" s="708">
        <f>(1000-500)*C7</f>
        <v>2.75</v>
      </c>
      <c r="E7" s="110"/>
      <c r="F7"/>
    </row>
    <row r="8" spans="1:6">
      <c r="A8" s="706">
        <v>4</v>
      </c>
      <c r="B8" s="561" t="s">
        <v>286</v>
      </c>
      <c r="C8" s="709">
        <v>0.0035</v>
      </c>
      <c r="D8" s="708" t="e">
        <f>(B4-1000)*C8</f>
        <v>#REF!</v>
      </c>
      <c r="E8" s="110"/>
      <c r="F8"/>
    </row>
    <row r="9" spans="1:6">
      <c r="A9" s="710">
        <v>5</v>
      </c>
      <c r="B9" s="711" t="s">
        <v>287</v>
      </c>
      <c r="C9" s="709">
        <v>0.002</v>
      </c>
      <c r="D9" s="712"/>
      <c r="E9" s="110"/>
      <c r="F9"/>
    </row>
    <row r="10" spans="1:6">
      <c r="A10" s="561">
        <v>6</v>
      </c>
      <c r="B10" s="561" t="s">
        <v>288</v>
      </c>
      <c r="C10" s="709">
        <v>0.0005</v>
      </c>
      <c r="D10" s="79"/>
      <c r="E10"/>
      <c r="F10"/>
    </row>
    <row r="11" spans="1:6">
      <c r="A11" s="711">
        <v>7</v>
      </c>
      <c r="B11" s="711" t="s">
        <v>289</v>
      </c>
      <c r="C11" s="713">
        <v>0.0001</v>
      </c>
      <c r="D11" s="714"/>
      <c r="E11"/>
      <c r="F11"/>
    </row>
    <row r="12" spans="1:6">
      <c r="A12" s="79"/>
      <c r="B12" s="79"/>
      <c r="C12" s="79"/>
      <c r="D12" s="708" t="e">
        <f>SUM(D5:D11)</f>
        <v>#REF!</v>
      </c>
      <c r="E12"/>
      <c r="F12"/>
    </row>
    <row r="17" spans="1:4">
      <c r="A17" t="s">
        <v>290</v>
      </c>
      <c r="B17"/>
      <c r="C17"/>
      <c r="D17"/>
    </row>
    <row r="18" spans="1:4">
      <c r="A18" s="706" t="s">
        <v>50</v>
      </c>
      <c r="B18" s="561" t="s">
        <v>280</v>
      </c>
      <c r="C18" s="707" t="s">
        <v>281</v>
      </c>
      <c r="D18" s="561" t="s">
        <v>282</v>
      </c>
    </row>
    <row r="19" spans="1:4">
      <c r="A19" s="706"/>
      <c r="B19" s="708" t="e">
        <f>#REF!</f>
        <v>#REF!</v>
      </c>
      <c r="C19" s="707"/>
      <c r="D19" s="561"/>
    </row>
    <row r="20" spans="1:4">
      <c r="A20" s="706">
        <v>1</v>
      </c>
      <c r="B20" s="561" t="s">
        <v>291</v>
      </c>
      <c r="C20" s="709">
        <v>0.03</v>
      </c>
      <c r="D20" s="708">
        <f>500*C20</f>
        <v>15</v>
      </c>
    </row>
    <row r="21" spans="1:4">
      <c r="A21" s="706">
        <v>2</v>
      </c>
      <c r="B21" s="561" t="s">
        <v>285</v>
      </c>
      <c r="C21" s="709">
        <v>0.025</v>
      </c>
      <c r="D21" s="708">
        <f>(1000-500)*C21</f>
        <v>12.5</v>
      </c>
    </row>
    <row r="22" spans="1:4">
      <c r="A22" s="706">
        <v>3</v>
      </c>
      <c r="B22" s="561" t="s">
        <v>292</v>
      </c>
      <c r="C22" s="709">
        <v>0.02</v>
      </c>
      <c r="D22" s="708" t="e">
        <f>(B19-1000)*C22</f>
        <v>#REF!</v>
      </c>
    </row>
    <row r="23" spans="1:4">
      <c r="A23" s="79"/>
      <c r="B23" s="79"/>
      <c r="C23" s="79"/>
      <c r="D23" s="708" t="e">
        <f>SUM(D20:D22)</f>
        <v>#REF!</v>
      </c>
    </row>
    <row r="26" spans="1:4">
      <c r="A26" t="s">
        <v>293</v>
      </c>
      <c r="B26"/>
      <c r="C26"/>
      <c r="D26"/>
    </row>
    <row r="27" spans="1:4">
      <c r="A27" s="706" t="s">
        <v>50</v>
      </c>
      <c r="B27" s="561" t="s">
        <v>280</v>
      </c>
      <c r="C27" s="707" t="s">
        <v>281</v>
      </c>
      <c r="D27" s="561" t="s">
        <v>282</v>
      </c>
    </row>
    <row r="28" spans="1:4">
      <c r="A28" s="706"/>
      <c r="B28" s="708" t="e">
        <f>B19</f>
        <v>#REF!</v>
      </c>
      <c r="C28" s="707"/>
      <c r="D28" s="561"/>
    </row>
    <row r="29" spans="1:4">
      <c r="A29" s="706">
        <v>1</v>
      </c>
      <c r="B29" s="561" t="s">
        <v>291</v>
      </c>
      <c r="C29" s="709">
        <v>0.025</v>
      </c>
      <c r="D29" s="708">
        <f>500*C29</f>
        <v>12.5</v>
      </c>
    </row>
    <row r="30" spans="1:4">
      <c r="A30" s="706">
        <v>2</v>
      </c>
      <c r="B30" s="561" t="s">
        <v>285</v>
      </c>
      <c r="C30" s="709">
        <v>0.02</v>
      </c>
      <c r="D30" s="708">
        <f>(1000-500)*C30</f>
        <v>10</v>
      </c>
    </row>
    <row r="31" spans="1:4">
      <c r="A31" s="706">
        <v>3</v>
      </c>
      <c r="B31" s="561" t="s">
        <v>292</v>
      </c>
      <c r="C31" s="709">
        <v>0.015</v>
      </c>
      <c r="D31" s="708" t="e">
        <f>(B28-1000)*C31</f>
        <v>#REF!</v>
      </c>
    </row>
    <row r="32" spans="1:4">
      <c r="A32" s="79"/>
      <c r="B32" s="79"/>
      <c r="C32" s="79"/>
      <c r="D32" s="708" t="e">
        <f>SUM(D29:D31)</f>
        <v>#REF!</v>
      </c>
    </row>
  </sheetData>
  <pageMargins left="0.697916666666667" right="0.697916666666667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C000"/>
  </sheetPr>
  <dimension ref="A2:F14"/>
  <sheetViews>
    <sheetView workbookViewId="0">
      <selection activeCell="D6" sqref="D6"/>
    </sheetView>
  </sheetViews>
  <sheetFormatPr defaultColWidth="9" defaultRowHeight="15.95" customHeight="1" outlineLevelCol="5"/>
  <cols>
    <col min="1" max="1" width="13.25" customWidth="1"/>
    <col min="2" max="2" width="32.625" style="110" customWidth="1"/>
    <col min="3" max="3" width="11.625" customWidth="1"/>
    <col min="4" max="4" width="15.25" customWidth="1"/>
    <col min="5" max="6" width="9.5" customWidth="1"/>
  </cols>
  <sheetData>
    <row r="2" customHeight="1" spans="1:4">
      <c r="A2" s="166" t="s">
        <v>294</v>
      </c>
      <c r="B2" s="166"/>
      <c r="C2" s="166"/>
      <c r="D2" s="166"/>
    </row>
    <row r="3" customHeight="1" spans="1:4">
      <c r="A3" s="167"/>
      <c r="B3" s="167"/>
      <c r="C3" s="167"/>
      <c r="D3" s="167"/>
    </row>
    <row r="4" customHeight="1" spans="1:6">
      <c r="A4" s="57" t="s">
        <v>50</v>
      </c>
      <c r="B4" s="57" t="s">
        <v>295</v>
      </c>
      <c r="C4" s="57" t="s">
        <v>281</v>
      </c>
      <c r="D4" s="57" t="s">
        <v>296</v>
      </c>
      <c r="E4" s="704">
        <f>总概算核!C16</f>
        <v>401.768173503019</v>
      </c>
      <c r="F4" s="704"/>
    </row>
    <row r="5" customHeight="1" spans="1:6">
      <c r="A5" s="57"/>
      <c r="B5" s="113">
        <f>总概算核!C16</f>
        <v>401.768173503019</v>
      </c>
      <c r="C5" s="57"/>
      <c r="D5" s="57"/>
      <c r="E5" s="704"/>
      <c r="F5" s="704"/>
    </row>
    <row r="6" customHeight="1" spans="1:4">
      <c r="A6" s="57">
        <v>1</v>
      </c>
      <c r="B6" s="57">
        <v>500</v>
      </c>
      <c r="C6" s="352">
        <v>0.06</v>
      </c>
      <c r="D6" s="88">
        <f>(500-B5)*6/100</f>
        <v>5.89390958981887</v>
      </c>
    </row>
    <row r="7" customHeight="1" spans="1:4">
      <c r="A7" s="57">
        <v>2</v>
      </c>
      <c r="B7" s="57" t="s">
        <v>285</v>
      </c>
      <c r="C7" s="102">
        <v>0.047</v>
      </c>
      <c r="D7" s="88"/>
    </row>
    <row r="8" customHeight="1" spans="1:4">
      <c r="A8" s="57">
        <v>3</v>
      </c>
      <c r="B8" s="57" t="s">
        <v>297</v>
      </c>
      <c r="C8" s="102">
        <v>0.042</v>
      </c>
      <c r="D8" s="88"/>
    </row>
    <row r="9" customHeight="1" spans="1:4">
      <c r="A9" s="57">
        <v>4</v>
      </c>
      <c r="B9" s="88" t="s">
        <v>298</v>
      </c>
      <c r="C9" s="102">
        <v>0.037</v>
      </c>
      <c r="D9" s="88"/>
    </row>
    <row r="10" customHeight="1" spans="1:4">
      <c r="A10" s="57">
        <v>5</v>
      </c>
      <c r="B10" s="57" t="s">
        <v>299</v>
      </c>
      <c r="C10" s="102">
        <v>0.032</v>
      </c>
      <c r="D10" s="88"/>
    </row>
    <row r="11" customHeight="1" spans="1:4">
      <c r="A11" s="57">
        <v>6</v>
      </c>
      <c r="B11" s="57" t="s">
        <v>300</v>
      </c>
      <c r="C11" s="102">
        <v>0.028</v>
      </c>
      <c r="D11" s="88"/>
    </row>
    <row r="12" customHeight="1" spans="1:6">
      <c r="A12" s="57">
        <v>7</v>
      </c>
      <c r="B12" s="57" t="s">
        <v>301</v>
      </c>
      <c r="C12" s="102">
        <v>0.025</v>
      </c>
      <c r="D12" s="88"/>
      <c r="F12" s="88"/>
    </row>
    <row r="13" customHeight="1" spans="1:4">
      <c r="A13" s="57"/>
      <c r="B13" s="57" t="s">
        <v>302</v>
      </c>
      <c r="C13" s="57"/>
      <c r="D13" s="88">
        <f>SUM(D6:D12)</f>
        <v>5.89390958981887</v>
      </c>
    </row>
    <row r="14" customHeight="1" spans="1:4">
      <c r="A14" s="88"/>
      <c r="B14" s="88"/>
      <c r="C14" s="88">
        <v>1</v>
      </c>
      <c r="D14" s="88">
        <f>D13*C14</f>
        <v>5.89390958981887</v>
      </c>
    </row>
  </sheetData>
  <mergeCells count="1">
    <mergeCell ref="A2:D3"/>
  </mergeCells>
  <pageMargins left="0.75" right="0.75" top="1" bottom="1" header="0.5" footer="0.5"/>
  <pageSetup paperSize="9" orientation="portrait"/>
  <headerFooter alignWithMargins="0" scaleWithDoc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 tint="-0.249977111117893"/>
  </sheetPr>
  <dimension ref="A1:E32"/>
  <sheetViews>
    <sheetView topLeftCell="A10" workbookViewId="0">
      <selection activeCell="C7" sqref="C7"/>
    </sheetView>
  </sheetViews>
  <sheetFormatPr defaultColWidth="8.75" defaultRowHeight="14.25" outlineLevelCol="4"/>
  <cols>
    <col min="1" max="1" width="6.75" style="674" customWidth="1"/>
    <col min="2" max="2" width="27.5833333333333" style="674" customWidth="1"/>
    <col min="3" max="4" width="11.75" style="674" customWidth="1"/>
    <col min="5" max="5" width="12.25" style="674" customWidth="1"/>
    <col min="6" max="16384" width="8.75" style="674"/>
  </cols>
  <sheetData>
    <row r="1" ht="30" customHeight="1" spans="1:5">
      <c r="A1" s="675" t="s">
        <v>303</v>
      </c>
      <c r="B1" s="675"/>
      <c r="C1" s="675"/>
      <c r="D1" s="675"/>
      <c r="E1" s="675"/>
    </row>
    <row r="2" ht="30" customHeight="1"/>
    <row r="3" ht="30" customHeight="1" spans="1:5">
      <c r="A3" s="676" t="s">
        <v>50</v>
      </c>
      <c r="B3" s="676" t="s">
        <v>304</v>
      </c>
      <c r="C3" s="677" t="s">
        <v>305</v>
      </c>
      <c r="D3" s="678"/>
      <c r="E3" s="676" t="s">
        <v>306</v>
      </c>
    </row>
    <row r="4" ht="30" customHeight="1" spans="1:5">
      <c r="A4" s="676">
        <v>1</v>
      </c>
      <c r="B4" s="679" t="s">
        <v>307</v>
      </c>
      <c r="C4" s="680"/>
      <c r="D4" s="681"/>
      <c r="E4" s="682">
        <f>E5*C9*C10*C11</f>
        <v>10.6673229256146</v>
      </c>
    </row>
    <row r="5" ht="30" customHeight="1" spans="1:5">
      <c r="A5" s="676">
        <v>1.1</v>
      </c>
      <c r="B5" s="679" t="s">
        <v>308</v>
      </c>
      <c r="C5" s="680"/>
      <c r="D5" s="681"/>
      <c r="E5" s="683">
        <f>C8+(C6-C7)/(D7-C7)*(D8-C8)</f>
        <v>13.9442129746596</v>
      </c>
    </row>
    <row r="6" ht="30" customHeight="1" spans="1:5">
      <c r="A6" s="679"/>
      <c r="B6" s="684" t="s">
        <v>309</v>
      </c>
      <c r="C6" s="685">
        <f>总概算核!F16</f>
        <v>422.551908323019</v>
      </c>
      <c r="D6" s="686"/>
      <c r="E6" s="679"/>
    </row>
    <row r="7" ht="30" customHeight="1" spans="1:5">
      <c r="A7" s="676"/>
      <c r="B7" s="687" t="s">
        <v>310</v>
      </c>
      <c r="C7" s="688">
        <v>0</v>
      </c>
      <c r="D7" s="688">
        <v>500</v>
      </c>
      <c r="E7" s="689"/>
    </row>
    <row r="8" ht="30" customHeight="1" spans="1:5">
      <c r="A8" s="676"/>
      <c r="B8" s="687" t="s">
        <v>311</v>
      </c>
      <c r="C8" s="676">
        <v>0</v>
      </c>
      <c r="D8" s="676">
        <v>16.5</v>
      </c>
      <c r="E8" s="689"/>
    </row>
    <row r="9" ht="30" customHeight="1" spans="1:5">
      <c r="A9" s="676">
        <v>1.2</v>
      </c>
      <c r="B9" s="679" t="s">
        <v>312</v>
      </c>
      <c r="C9" s="690">
        <v>0.9</v>
      </c>
      <c r="D9" s="691"/>
      <c r="E9" s="692"/>
    </row>
    <row r="10" ht="30" customHeight="1" spans="1:5">
      <c r="A10" s="676">
        <v>1.3</v>
      </c>
      <c r="B10" s="679" t="s">
        <v>313</v>
      </c>
      <c r="C10" s="690">
        <v>0.85</v>
      </c>
      <c r="D10" s="691"/>
      <c r="E10" s="679"/>
    </row>
    <row r="11" ht="30" customHeight="1" spans="1:5">
      <c r="A11" s="676">
        <v>1.4</v>
      </c>
      <c r="B11" s="679" t="s">
        <v>314</v>
      </c>
      <c r="C11" s="690">
        <v>1</v>
      </c>
      <c r="D11" s="691"/>
      <c r="E11" s="679"/>
    </row>
    <row r="12" ht="30" customHeight="1" spans="1:5">
      <c r="A12" s="679"/>
      <c r="B12" s="679"/>
      <c r="C12" s="677"/>
      <c r="D12" s="678"/>
      <c r="E12" s="679"/>
    </row>
    <row r="13" ht="30" customHeight="1" spans="1:5">
      <c r="A13" s="676">
        <v>2</v>
      </c>
      <c r="B13" s="679" t="s">
        <v>315</v>
      </c>
      <c r="C13" s="693"/>
      <c r="D13" s="694"/>
      <c r="E13" s="695">
        <f>E4*C13</f>
        <v>0</v>
      </c>
    </row>
    <row r="14" ht="30" customHeight="1" spans="1:5">
      <c r="A14" s="679"/>
      <c r="B14" s="679"/>
      <c r="C14" s="677"/>
      <c r="D14" s="678"/>
      <c r="E14" s="679"/>
    </row>
    <row r="15" ht="30" customHeight="1" spans="1:5">
      <c r="A15" s="679"/>
      <c r="B15" s="696" t="s">
        <v>316</v>
      </c>
      <c r="C15" s="697">
        <f>E15/C6</f>
        <v>0.025245</v>
      </c>
      <c r="D15" s="698"/>
      <c r="E15" s="699">
        <f>E4*(1+C13)</f>
        <v>10.6673229256146</v>
      </c>
    </row>
    <row r="16" ht="30" customHeight="1" spans="1:5">
      <c r="A16" s="679"/>
      <c r="B16" s="679"/>
      <c r="C16" s="677"/>
      <c r="D16" s="678"/>
      <c r="E16" s="679"/>
    </row>
    <row r="17" ht="77.25" customHeight="1" spans="1:5">
      <c r="A17" s="700" t="s">
        <v>317</v>
      </c>
      <c r="B17" s="701"/>
      <c r="C17" s="701"/>
      <c r="D17" s="701"/>
      <c r="E17" s="701"/>
    </row>
    <row r="19" spans="2:4">
      <c r="B19" s="702" t="s">
        <v>50</v>
      </c>
      <c r="C19" s="702" t="s">
        <v>318</v>
      </c>
      <c r="D19" s="702" t="s">
        <v>319</v>
      </c>
    </row>
    <row r="20" spans="2:4">
      <c r="B20" s="702">
        <v>1</v>
      </c>
      <c r="C20" s="702">
        <v>500</v>
      </c>
      <c r="D20" s="703">
        <v>16.5</v>
      </c>
    </row>
    <row r="21" spans="2:4">
      <c r="B21" s="702">
        <v>2</v>
      </c>
      <c r="C21" s="702">
        <v>1000</v>
      </c>
      <c r="D21" s="703">
        <v>30.1</v>
      </c>
    </row>
    <row r="22" spans="2:4">
      <c r="B22" s="702">
        <v>3</v>
      </c>
      <c r="C22" s="702">
        <v>3000</v>
      </c>
      <c r="D22" s="703">
        <v>78.1</v>
      </c>
    </row>
    <row r="23" spans="2:4">
      <c r="B23" s="702">
        <v>4</v>
      </c>
      <c r="C23" s="702">
        <v>5000</v>
      </c>
      <c r="D23" s="703">
        <v>120.8</v>
      </c>
    </row>
    <row r="24" spans="2:4">
      <c r="B24" s="702">
        <v>5</v>
      </c>
      <c r="C24" s="702">
        <v>8000</v>
      </c>
      <c r="D24" s="703">
        <v>181</v>
      </c>
    </row>
    <row r="25" spans="2:4">
      <c r="B25" s="702">
        <v>6</v>
      </c>
      <c r="C25" s="702">
        <v>10000</v>
      </c>
      <c r="D25" s="703">
        <v>218.6</v>
      </c>
    </row>
    <row r="26" spans="2:4">
      <c r="B26" s="702">
        <v>7</v>
      </c>
      <c r="C26" s="702">
        <v>20000</v>
      </c>
      <c r="D26" s="703">
        <v>393.4</v>
      </c>
    </row>
    <row r="27" spans="2:4">
      <c r="B27" s="702">
        <v>8</v>
      </c>
      <c r="C27" s="702">
        <v>40000</v>
      </c>
      <c r="D27" s="703">
        <v>708.2</v>
      </c>
    </row>
    <row r="28" spans="2:4">
      <c r="B28" s="702">
        <v>9</v>
      </c>
      <c r="C28" s="702">
        <v>60000</v>
      </c>
      <c r="D28" s="703">
        <v>991.4</v>
      </c>
    </row>
    <row r="29" spans="2:4">
      <c r="B29" s="702">
        <v>10</v>
      </c>
      <c r="C29" s="702">
        <v>80000</v>
      </c>
      <c r="D29" s="703">
        <v>1255.8</v>
      </c>
    </row>
    <row r="30" spans="2:4">
      <c r="B30" s="702">
        <v>11</v>
      </c>
      <c r="C30" s="702">
        <v>100000</v>
      </c>
      <c r="D30" s="703">
        <v>1507</v>
      </c>
    </row>
    <row r="31" spans="2:4">
      <c r="B31" s="702">
        <v>12</v>
      </c>
      <c r="C31" s="702">
        <v>200000</v>
      </c>
      <c r="D31" s="703">
        <v>2712.5</v>
      </c>
    </row>
    <row r="32" spans="2:4">
      <c r="B32" s="702">
        <v>13</v>
      </c>
      <c r="C32" s="702">
        <v>400000</v>
      </c>
      <c r="D32" s="703">
        <v>4882.6</v>
      </c>
    </row>
  </sheetData>
  <mergeCells count="14">
    <mergeCell ref="A1:E1"/>
    <mergeCell ref="C3:D3"/>
    <mergeCell ref="C4:D4"/>
    <mergeCell ref="C5:D5"/>
    <mergeCell ref="C6:D6"/>
    <mergeCell ref="C9:D9"/>
    <mergeCell ref="C10:D10"/>
    <mergeCell ref="C11:D11"/>
    <mergeCell ref="C12:D12"/>
    <mergeCell ref="C13:D13"/>
    <mergeCell ref="C14:D14"/>
    <mergeCell ref="C15:D15"/>
    <mergeCell ref="C16:D16"/>
    <mergeCell ref="A17:E17"/>
  </mergeCells>
  <pageMargins left="0.75" right="0.75" top="1" bottom="1" header="0.5" footer="0.5"/>
  <pageSetup paperSize="9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G33"/>
  <sheetViews>
    <sheetView tabSelected="1" view="pageBreakPreview" zoomScaleNormal="100" workbookViewId="0">
      <selection activeCell="E27" sqref="E27"/>
    </sheetView>
  </sheetViews>
  <sheetFormatPr defaultColWidth="9" defaultRowHeight="14.25" outlineLevelCol="6"/>
  <cols>
    <col min="1" max="1" width="6" style="177" customWidth="1"/>
    <col min="2" max="2" width="26.85" style="306" customWidth="1"/>
    <col min="3" max="3" width="9.5" style="306" customWidth="1"/>
    <col min="4" max="4" width="9.75" style="306" customWidth="1"/>
    <col min="5" max="5" width="8.25" style="306" customWidth="1"/>
    <col min="6" max="6" width="16.875" style="306" customWidth="1"/>
    <col min="7" max="7" width="14.125" style="306"/>
    <col min="8" max="8" width="9" style="306"/>
    <col min="9" max="9" width="15.25" style="306"/>
    <col min="10" max="10" width="10.375" style="306"/>
    <col min="11" max="16384" width="9" style="306"/>
  </cols>
  <sheetData>
    <row r="1" ht="39" customHeight="1" spans="1:6">
      <c r="A1" s="660" t="s">
        <v>320</v>
      </c>
      <c r="B1" s="660"/>
      <c r="C1" s="660"/>
      <c r="D1" s="660"/>
      <c r="E1" s="660"/>
      <c r="F1" s="660"/>
    </row>
    <row r="2" spans="1:6">
      <c r="A2" s="661"/>
      <c r="B2" s="661"/>
      <c r="C2" s="661"/>
      <c r="D2" s="661"/>
      <c r="E2" s="661"/>
      <c r="F2" s="662" t="s">
        <v>321</v>
      </c>
    </row>
    <row r="3" ht="34" customHeight="1" spans="1:6">
      <c r="A3" s="55" t="s">
        <v>50</v>
      </c>
      <c r="B3" s="55" t="s">
        <v>51</v>
      </c>
      <c r="C3" s="429" t="s">
        <v>322</v>
      </c>
      <c r="D3" s="429" t="s">
        <v>323</v>
      </c>
      <c r="E3" s="429" t="s">
        <v>324</v>
      </c>
      <c r="F3" s="55" t="s">
        <v>325</v>
      </c>
    </row>
    <row r="4" s="658" customFormat="1" ht="20" customHeight="1" spans="1:6">
      <c r="A4" s="429"/>
      <c r="B4" s="663" t="s">
        <v>326</v>
      </c>
      <c r="C4" s="664">
        <f>SUM(C5:C11)</f>
        <v>395.743170795068</v>
      </c>
      <c r="D4" s="665"/>
      <c r="E4" s="255"/>
      <c r="F4" s="254">
        <f>SUM(C4:E4)</f>
        <v>395.743170795068</v>
      </c>
    </row>
    <row r="5" s="658" customFormat="1" ht="20" customHeight="1" spans="1:6">
      <c r="A5" s="429" t="s">
        <v>57</v>
      </c>
      <c r="B5" s="666" t="str">
        <f>建筑工程概算表!B5</f>
        <v>土地平整工程</v>
      </c>
      <c r="C5" s="667">
        <f>建筑工程概算表!F5/10000</f>
        <v>13.0711887473483</v>
      </c>
      <c r="D5" s="668"/>
      <c r="E5" s="113"/>
      <c r="F5" s="84">
        <f>C5</f>
        <v>13.0711887473483</v>
      </c>
    </row>
    <row r="6" s="658" customFormat="1" ht="20" customHeight="1" spans="1:6">
      <c r="A6" s="245" t="s">
        <v>72</v>
      </c>
      <c r="B6" s="666" t="str">
        <f>建筑工程概算表!B8</f>
        <v>土壤改良与培肥工程</v>
      </c>
      <c r="C6" s="667">
        <f>建筑工程概算表!F8/10000</f>
        <v>136.67893</v>
      </c>
      <c r="D6" s="668"/>
      <c r="E6" s="113"/>
      <c r="F6" s="84">
        <f>SUM(C6:E6)</f>
        <v>136.67893</v>
      </c>
    </row>
    <row r="7" s="658" customFormat="1" ht="20" customHeight="1" spans="1:6">
      <c r="A7" s="429" t="s">
        <v>162</v>
      </c>
      <c r="B7" s="666" t="str">
        <f>建筑工程概算表!B24</f>
        <v>灌溉工程</v>
      </c>
      <c r="C7" s="667">
        <f>建筑工程概算表!F24/10000</f>
        <v>28.4372722445783</v>
      </c>
      <c r="D7" s="668"/>
      <c r="E7" s="113"/>
      <c r="F7" s="84">
        <f>SUM(C7:E7)</f>
        <v>28.4372722445783</v>
      </c>
    </row>
    <row r="8" s="658" customFormat="1" ht="20" customHeight="1" spans="1:6">
      <c r="A8" s="245" t="s">
        <v>214</v>
      </c>
      <c r="B8" s="666" t="str">
        <f>建筑工程概算表!B54</f>
        <v>排水工程</v>
      </c>
      <c r="C8" s="667">
        <f>建筑工程概算表!F54/10000</f>
        <v>83.7950878911508</v>
      </c>
      <c r="D8" s="668"/>
      <c r="E8" s="113"/>
      <c r="F8" s="84">
        <f>SUM(C8:E8)</f>
        <v>83.7950878911508</v>
      </c>
    </row>
    <row r="9" s="658" customFormat="1" ht="20" customHeight="1" spans="1:6">
      <c r="A9" s="245" t="s">
        <v>327</v>
      </c>
      <c r="B9" s="666" t="str">
        <f>建筑工程概算表!B123</f>
        <v>田间生产道路工程</v>
      </c>
      <c r="C9" s="667">
        <f>建筑工程概算表!F123/10000</f>
        <v>41.0093559948346</v>
      </c>
      <c r="D9" s="668"/>
      <c r="E9" s="113"/>
      <c r="F9" s="84">
        <f>SUM(C9:E9)</f>
        <v>41.0093559948346</v>
      </c>
    </row>
    <row r="10" s="658" customFormat="1" ht="20" customHeight="1" spans="1:6">
      <c r="A10" s="245" t="s">
        <v>328</v>
      </c>
      <c r="B10" s="666" t="str">
        <f>建筑工程概算表!B128</f>
        <v>低洼地客土回填</v>
      </c>
      <c r="C10" s="667">
        <f>建筑工程概算表!F128/10000</f>
        <v>82.6953359171561</v>
      </c>
      <c r="D10" s="668"/>
      <c r="E10" s="113"/>
      <c r="F10" s="84">
        <f>SUM(C10:E10)</f>
        <v>82.6953359171561</v>
      </c>
    </row>
    <row r="11" s="658" customFormat="1" ht="20" customHeight="1" spans="1:6">
      <c r="A11" s="245" t="s">
        <v>329</v>
      </c>
      <c r="B11" s="666" t="str">
        <f>建筑工程概算表!B132</f>
        <v>耕地质量监测点</v>
      </c>
      <c r="C11" s="667">
        <f>建筑工程概算表!F132/10000</f>
        <v>10.056</v>
      </c>
      <c r="D11" s="668"/>
      <c r="E11" s="113"/>
      <c r="F11" s="84">
        <f>C11</f>
        <v>10.056</v>
      </c>
    </row>
    <row r="12" s="658" customFormat="1" ht="20" customHeight="1" spans="1:6">
      <c r="A12" s="663"/>
      <c r="B12" s="669" t="s">
        <v>330</v>
      </c>
      <c r="C12" s="664">
        <f>机电设备及安装工程!G4/10000</f>
        <v>1.96595</v>
      </c>
      <c r="D12" s="664">
        <f>机电设备及安装工程!H4/10000</f>
        <v>19.91752349</v>
      </c>
      <c r="E12" s="664"/>
      <c r="F12" s="254">
        <f>C12+D12</f>
        <v>21.88347349</v>
      </c>
    </row>
    <row r="13" s="658" customFormat="1" ht="20" customHeight="1" spans="1:6">
      <c r="A13" s="663"/>
      <c r="B13" s="669" t="s">
        <v>331</v>
      </c>
      <c r="C13" s="664">
        <f>金属结构及安装工程!G4/10000</f>
        <v>0.08115</v>
      </c>
      <c r="D13" s="664">
        <f>金属结构及安装工程!H4/10000</f>
        <v>0.86621133</v>
      </c>
      <c r="E13" s="664"/>
      <c r="F13" s="254">
        <f>C13+D13</f>
        <v>0.94736133</v>
      </c>
    </row>
    <row r="14" s="658" customFormat="1" ht="20" customHeight="1" spans="1:6">
      <c r="A14" s="663"/>
      <c r="B14" s="55" t="s">
        <v>332</v>
      </c>
      <c r="C14" s="664">
        <f>C4+C12+C13</f>
        <v>397.790270795068</v>
      </c>
      <c r="D14" s="665">
        <f>D12+D13</f>
        <v>20.78373482</v>
      </c>
      <c r="E14" s="665"/>
      <c r="F14" s="254">
        <f t="shared" ref="F14:F26" si="0">SUM(C14:E14)</f>
        <v>418.574005615068</v>
      </c>
    </row>
    <row r="15" s="658" customFormat="1" ht="20" customHeight="1" spans="1:6">
      <c r="A15" s="55"/>
      <c r="B15" s="55" t="s">
        <v>333</v>
      </c>
      <c r="C15" s="255">
        <f>C14*1/100</f>
        <v>3.97790270795068</v>
      </c>
      <c r="D15" s="664"/>
      <c r="E15" s="55"/>
      <c r="F15" s="254">
        <f t="shared" si="0"/>
        <v>3.97790270795068</v>
      </c>
    </row>
    <row r="16" s="658" customFormat="1" ht="20" customHeight="1" spans="1:6">
      <c r="A16" s="663"/>
      <c r="B16" s="55" t="s">
        <v>334</v>
      </c>
      <c r="C16" s="255">
        <f>C14+C15</f>
        <v>401.768173503019</v>
      </c>
      <c r="D16" s="255">
        <f>D14</f>
        <v>20.78373482</v>
      </c>
      <c r="E16" s="55"/>
      <c r="F16" s="254">
        <f t="shared" si="0"/>
        <v>422.551908323019</v>
      </c>
    </row>
    <row r="17" s="658" customFormat="1" ht="20" customHeight="1" spans="1:6">
      <c r="A17" s="55"/>
      <c r="B17" s="55" t="s">
        <v>335</v>
      </c>
      <c r="C17" s="255"/>
      <c r="D17" s="55"/>
      <c r="E17" s="255">
        <f>E18+E19+E20+E28+E23+E24+E25+E26+E27</f>
        <v>50.7073104925708</v>
      </c>
      <c r="F17" s="254">
        <f t="shared" si="0"/>
        <v>50.7073104925708</v>
      </c>
    </row>
    <row r="18" ht="20" customHeight="1" spans="1:6">
      <c r="A18" s="57" t="s">
        <v>57</v>
      </c>
      <c r="B18" s="61" t="s">
        <v>336</v>
      </c>
      <c r="C18" s="113"/>
      <c r="D18" s="57"/>
      <c r="E18" s="113">
        <f>F16*2/100</f>
        <v>8.45103816646038</v>
      </c>
      <c r="F18" s="84">
        <f t="shared" si="0"/>
        <v>8.45103816646038</v>
      </c>
    </row>
    <row r="19" ht="20" customHeight="1" spans="1:7">
      <c r="A19" s="57" t="s">
        <v>72</v>
      </c>
      <c r="B19" s="61" t="s">
        <v>337</v>
      </c>
      <c r="C19" s="57"/>
      <c r="D19" s="57"/>
      <c r="E19" s="113">
        <f>监理费!E15</f>
        <v>10.6673229256146</v>
      </c>
      <c r="F19" s="84">
        <f t="shared" si="0"/>
        <v>10.6673229256146</v>
      </c>
      <c r="G19" s="306">
        <f>E19/F16*100</f>
        <v>2.5245</v>
      </c>
    </row>
    <row r="20" ht="20" customHeight="1" spans="1:6">
      <c r="A20" s="57" t="s">
        <v>162</v>
      </c>
      <c r="B20" s="61" t="s">
        <v>338</v>
      </c>
      <c r="C20" s="57"/>
      <c r="D20" s="57"/>
      <c r="E20" s="113">
        <f>E21+E22</f>
        <v>10.4510381664604</v>
      </c>
      <c r="F20" s="84">
        <f t="shared" si="0"/>
        <v>10.4510381664604</v>
      </c>
    </row>
    <row r="21" s="306" customFormat="1" ht="20" customHeight="1" spans="1:6">
      <c r="A21" s="670">
        <v>1</v>
      </c>
      <c r="B21" s="61" t="s">
        <v>339</v>
      </c>
      <c r="C21" s="671"/>
      <c r="D21" s="671"/>
      <c r="E21" s="113">
        <v>2</v>
      </c>
      <c r="F21" s="84">
        <f t="shared" ref="F21:F27" si="1">E21</f>
        <v>2</v>
      </c>
    </row>
    <row r="22" s="306" customFormat="1" ht="20" customHeight="1" spans="1:6">
      <c r="A22" s="670">
        <v>2</v>
      </c>
      <c r="B22" s="61" t="s">
        <v>340</v>
      </c>
      <c r="C22" s="671"/>
      <c r="D22" s="671"/>
      <c r="E22" s="113">
        <f>F16*2/100</f>
        <v>8.45103816646038</v>
      </c>
      <c r="F22" s="84">
        <f t="shared" si="1"/>
        <v>8.45103816646038</v>
      </c>
    </row>
    <row r="23" s="306" customFormat="1" ht="20" customHeight="1" spans="1:6">
      <c r="A23" s="670" t="s">
        <v>214</v>
      </c>
      <c r="B23" s="61" t="s">
        <v>279</v>
      </c>
      <c r="C23" s="671"/>
      <c r="D23" s="671"/>
      <c r="E23" s="113">
        <f>F16*0.0055</f>
        <v>2.3240354957766</v>
      </c>
      <c r="F23" s="84">
        <f t="shared" si="1"/>
        <v>2.3240354957766</v>
      </c>
    </row>
    <row r="24" s="306" customFormat="1" ht="20" customHeight="1" spans="1:6">
      <c r="A24" s="670" t="s">
        <v>327</v>
      </c>
      <c r="B24" s="61" t="s">
        <v>341</v>
      </c>
      <c r="C24" s="671"/>
      <c r="D24" s="671"/>
      <c r="E24" s="113">
        <f>F16*0.005</f>
        <v>2.11275954161509</v>
      </c>
      <c r="F24" s="84">
        <f t="shared" si="1"/>
        <v>2.11275954161509</v>
      </c>
    </row>
    <row r="25" s="306" customFormat="1" ht="20" customHeight="1" spans="1:6">
      <c r="A25" s="670" t="s">
        <v>328</v>
      </c>
      <c r="B25" s="61" t="s">
        <v>342</v>
      </c>
      <c r="C25" s="671"/>
      <c r="D25" s="671"/>
      <c r="E25" s="113">
        <f>F16*0.003</f>
        <v>1.26765572496906</v>
      </c>
      <c r="F25" s="84">
        <f t="shared" si="1"/>
        <v>1.26765572496906</v>
      </c>
    </row>
    <row r="26" s="306" customFormat="1" ht="20" customHeight="1" spans="1:6">
      <c r="A26" s="670" t="s">
        <v>329</v>
      </c>
      <c r="B26" s="61" t="s">
        <v>343</v>
      </c>
      <c r="C26" s="671"/>
      <c r="D26" s="671"/>
      <c r="E26" s="113">
        <f>F16*5/1000</f>
        <v>2.11275954161509</v>
      </c>
      <c r="F26" s="84">
        <f t="shared" si="1"/>
        <v>2.11275954161509</v>
      </c>
    </row>
    <row r="27" s="306" customFormat="1" ht="20" customHeight="1" spans="1:6">
      <c r="A27" s="670" t="s">
        <v>344</v>
      </c>
      <c r="B27" s="61" t="s">
        <v>345</v>
      </c>
      <c r="C27" s="671"/>
      <c r="D27" s="671"/>
      <c r="E27" s="113">
        <f>F16*0.003</f>
        <v>1.26765572496906</v>
      </c>
      <c r="F27" s="84">
        <f t="shared" si="1"/>
        <v>1.26765572496906</v>
      </c>
    </row>
    <row r="28" s="306" customFormat="1" ht="20" customHeight="1" spans="1:6">
      <c r="A28" s="57" t="s">
        <v>346</v>
      </c>
      <c r="B28" s="61" t="s">
        <v>347</v>
      </c>
      <c r="C28" s="57"/>
      <c r="D28" s="57"/>
      <c r="E28" s="113">
        <f>E29+E30</f>
        <v>12.0530452050906</v>
      </c>
      <c r="F28" s="84">
        <f>SUM(C28:E28)</f>
        <v>12.0530452050906</v>
      </c>
    </row>
    <row r="29" s="306" customFormat="1" ht="20" customHeight="1" spans="1:6">
      <c r="A29" s="57">
        <v>1</v>
      </c>
      <c r="B29" s="61" t="s">
        <v>348</v>
      </c>
      <c r="C29" s="57"/>
      <c r="D29" s="57"/>
      <c r="E29" s="113">
        <f>C16*2.5/100</f>
        <v>10.0442043375755</v>
      </c>
      <c r="F29" s="84">
        <f>SUM(C29:E29)</f>
        <v>10.0442043375755</v>
      </c>
    </row>
    <row r="30" s="306" customFormat="1" ht="20" customHeight="1" spans="1:6">
      <c r="A30" s="57">
        <v>2</v>
      </c>
      <c r="B30" s="61" t="s">
        <v>349</v>
      </c>
      <c r="C30" s="57"/>
      <c r="D30" s="57"/>
      <c r="E30" s="113">
        <f>C16*0.5/100</f>
        <v>2.00884086751509</v>
      </c>
      <c r="F30" s="84">
        <f>SUM(C30:E30)</f>
        <v>2.00884086751509</v>
      </c>
    </row>
    <row r="31" s="658" customFormat="1" ht="20" customHeight="1" spans="1:6">
      <c r="A31" s="55"/>
      <c r="B31" s="55" t="s">
        <v>350</v>
      </c>
      <c r="C31" s="254">
        <f>C16+C17</f>
        <v>401.768173503019</v>
      </c>
      <c r="D31" s="254">
        <f>D16</f>
        <v>20.78373482</v>
      </c>
      <c r="E31" s="254">
        <f>E16+E17</f>
        <v>50.7073104925708</v>
      </c>
      <c r="F31" s="254">
        <f>SUM(C31:E31)</f>
        <v>473.25921881559</v>
      </c>
    </row>
    <row r="32" ht="20" customHeight="1" spans="1:6">
      <c r="A32" s="58"/>
      <c r="B32" s="55" t="s">
        <v>351</v>
      </c>
      <c r="C32" s="58"/>
      <c r="D32" s="58"/>
      <c r="E32" s="58"/>
      <c r="F32" s="254">
        <f>F31*3/100</f>
        <v>14.1977765644677</v>
      </c>
    </row>
    <row r="33" s="659" customFormat="1" ht="20" customHeight="1" spans="1:6">
      <c r="A33" s="281"/>
      <c r="B33" s="281" t="s">
        <v>352</v>
      </c>
      <c r="C33" s="672"/>
      <c r="D33" s="672"/>
      <c r="E33" s="672"/>
      <c r="F33" s="673">
        <f>F31+F32</f>
        <v>487.456995380057</v>
      </c>
    </row>
  </sheetData>
  <mergeCells count="1">
    <mergeCell ref="A1:F1"/>
  </mergeCells>
  <pageMargins left="0.707638888888889" right="0.707638888888889" top="0.747916666666667" bottom="0.747916666666667" header="0.313888888888889" footer="0.313888888888889"/>
  <pageSetup paperSize="9" orientation="portrait"/>
  <headerFooter alignWithMargins="0" scaleWithDoc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F0"/>
  </sheetPr>
  <dimension ref="A1:IK136"/>
  <sheetViews>
    <sheetView workbookViewId="0">
      <selection activeCell="E11" sqref="E11"/>
    </sheetView>
  </sheetViews>
  <sheetFormatPr defaultColWidth="9" defaultRowHeight="13.5"/>
  <cols>
    <col min="1" max="1" width="5.25" style="642" customWidth="1"/>
    <col min="2" max="2" width="29.875" style="642" customWidth="1"/>
    <col min="3" max="3" width="6" style="642" customWidth="1"/>
    <col min="4" max="4" width="10" style="642" customWidth="1"/>
    <col min="5" max="5" width="10.625" style="643" customWidth="1"/>
    <col min="6" max="6" width="11.5" style="644" customWidth="1"/>
    <col min="7" max="7" width="7.625" style="644" customWidth="1"/>
    <col min="8" max="8" width="9" style="642"/>
    <col min="9" max="9" width="12.625" style="642"/>
    <col min="10" max="10" width="9" style="642"/>
    <col min="11" max="11" width="21.25" style="642" customWidth="1"/>
    <col min="12" max="13" width="9" style="642"/>
    <col min="14" max="15" width="12.625" style="642"/>
    <col min="16" max="16384" width="9" style="642"/>
  </cols>
  <sheetData>
    <row r="1" s="638" customFormat="1" ht="29" customHeight="1" spans="1:7">
      <c r="A1" s="645" t="s">
        <v>48</v>
      </c>
      <c r="B1" s="646"/>
      <c r="C1" s="645"/>
      <c r="D1" s="645"/>
      <c r="E1" s="647"/>
      <c r="F1" s="645"/>
      <c r="G1" s="645"/>
    </row>
    <row r="2" s="638" customFormat="1" ht="24" customHeight="1" spans="1:7">
      <c r="A2" s="648" t="s">
        <v>353</v>
      </c>
      <c r="B2" s="648"/>
      <c r="C2" s="648"/>
      <c r="D2" s="648"/>
      <c r="E2" s="649"/>
      <c r="F2" s="650"/>
      <c r="G2" s="650"/>
    </row>
    <row r="3" s="639" customFormat="1" ht="21.9" customHeight="1" spans="1:245">
      <c r="A3" s="386" t="s">
        <v>354</v>
      </c>
      <c r="B3" s="386" t="s">
        <v>51</v>
      </c>
      <c r="C3" s="386" t="s">
        <v>52</v>
      </c>
      <c r="D3" s="386" t="s">
        <v>53</v>
      </c>
      <c r="E3" s="612" t="s">
        <v>355</v>
      </c>
      <c r="F3" s="386" t="s">
        <v>356</v>
      </c>
      <c r="G3" s="386" t="s">
        <v>56</v>
      </c>
      <c r="H3" s="638"/>
      <c r="I3" s="654"/>
      <c r="J3" s="654"/>
      <c r="K3" s="654"/>
      <c r="L3" s="654"/>
      <c r="M3" s="654"/>
      <c r="N3" s="654"/>
      <c r="O3" s="654"/>
      <c r="P3" s="654"/>
      <c r="Q3" s="654"/>
      <c r="R3" s="654"/>
      <c r="S3" s="654"/>
      <c r="T3" s="654"/>
      <c r="U3" s="654"/>
      <c r="V3" s="654"/>
      <c r="W3" s="654"/>
      <c r="X3" s="654"/>
      <c r="Y3" s="654"/>
      <c r="Z3" s="654"/>
      <c r="AA3" s="654"/>
      <c r="AB3" s="654"/>
      <c r="AC3" s="654"/>
      <c r="AD3" s="654"/>
      <c r="AE3" s="654"/>
      <c r="AF3" s="654"/>
      <c r="AG3" s="654"/>
      <c r="AH3" s="654"/>
      <c r="AI3" s="654"/>
      <c r="AJ3" s="654"/>
      <c r="AK3" s="654"/>
      <c r="AL3" s="654"/>
      <c r="AM3" s="654"/>
      <c r="AN3" s="654"/>
      <c r="AO3" s="654"/>
      <c r="AP3" s="654"/>
      <c r="AQ3" s="654"/>
      <c r="AR3" s="654"/>
      <c r="AS3" s="654"/>
      <c r="AT3" s="654"/>
      <c r="AU3" s="654"/>
      <c r="AV3" s="654"/>
      <c r="AW3" s="654"/>
      <c r="AX3" s="654"/>
      <c r="AY3" s="654"/>
      <c r="AZ3" s="654"/>
      <c r="BA3" s="654"/>
      <c r="BB3" s="654"/>
      <c r="BC3" s="654"/>
      <c r="BD3" s="654"/>
      <c r="BE3" s="654"/>
      <c r="BF3" s="654"/>
      <c r="BG3" s="654"/>
      <c r="BH3" s="654"/>
      <c r="BI3" s="654"/>
      <c r="BJ3" s="654"/>
      <c r="BK3" s="654"/>
      <c r="BL3" s="654"/>
      <c r="BM3" s="654"/>
      <c r="BN3" s="654"/>
      <c r="BO3" s="654"/>
      <c r="BP3" s="654"/>
      <c r="BQ3" s="654"/>
      <c r="BR3" s="654"/>
      <c r="BS3" s="654"/>
      <c r="BT3" s="654"/>
      <c r="BU3" s="654"/>
      <c r="BV3" s="654"/>
      <c r="BW3" s="654"/>
      <c r="BX3" s="654"/>
      <c r="BY3" s="654"/>
      <c r="BZ3" s="654"/>
      <c r="CA3" s="654"/>
      <c r="CB3" s="654"/>
      <c r="CC3" s="654"/>
      <c r="CD3" s="654"/>
      <c r="CE3" s="654"/>
      <c r="CF3" s="654"/>
      <c r="CG3" s="654"/>
      <c r="CH3" s="654"/>
      <c r="CI3" s="654"/>
      <c r="CJ3" s="654"/>
      <c r="CK3" s="654"/>
      <c r="CL3" s="654"/>
      <c r="CM3" s="654"/>
      <c r="CN3" s="654"/>
      <c r="CO3" s="654"/>
      <c r="CP3" s="654"/>
      <c r="CQ3" s="654"/>
      <c r="CR3" s="654"/>
      <c r="CS3" s="654"/>
      <c r="CT3" s="654"/>
      <c r="CU3" s="654"/>
      <c r="CV3" s="654"/>
      <c r="CW3" s="654"/>
      <c r="CX3" s="654"/>
      <c r="CY3" s="654"/>
      <c r="CZ3" s="654"/>
      <c r="DA3" s="654"/>
      <c r="DB3" s="654"/>
      <c r="DC3" s="654"/>
      <c r="DD3" s="654"/>
      <c r="DE3" s="654"/>
      <c r="DF3" s="654"/>
      <c r="DG3" s="654"/>
      <c r="DH3" s="654"/>
      <c r="DI3" s="654"/>
      <c r="DJ3" s="654"/>
      <c r="DK3" s="654"/>
      <c r="DL3" s="654"/>
      <c r="DM3" s="654"/>
      <c r="DN3" s="654"/>
      <c r="DO3" s="654"/>
      <c r="DP3" s="654"/>
      <c r="DQ3" s="654"/>
      <c r="DR3" s="654"/>
      <c r="DS3" s="654"/>
      <c r="DT3" s="654"/>
      <c r="DU3" s="654"/>
      <c r="DV3" s="654"/>
      <c r="DW3" s="654"/>
      <c r="DX3" s="654"/>
      <c r="DY3" s="654"/>
      <c r="DZ3" s="654"/>
      <c r="EA3" s="654"/>
      <c r="EB3" s="654"/>
      <c r="EC3" s="654"/>
      <c r="ED3" s="654"/>
      <c r="EE3" s="654"/>
      <c r="EF3" s="654"/>
      <c r="EG3" s="654"/>
      <c r="EH3" s="654"/>
      <c r="EI3" s="654"/>
      <c r="EJ3" s="654"/>
      <c r="EK3" s="654"/>
      <c r="EL3" s="654"/>
      <c r="EM3" s="654"/>
      <c r="EN3" s="654"/>
      <c r="EO3" s="654"/>
      <c r="EP3" s="654"/>
      <c r="EQ3" s="654"/>
      <c r="ER3" s="654"/>
      <c r="ES3" s="654"/>
      <c r="ET3" s="654"/>
      <c r="EU3" s="654"/>
      <c r="EV3" s="654"/>
      <c r="EW3" s="654"/>
      <c r="EX3" s="654"/>
      <c r="EY3" s="654"/>
      <c r="EZ3" s="654"/>
      <c r="FA3" s="654"/>
      <c r="FB3" s="654"/>
      <c r="FC3" s="654"/>
      <c r="FD3" s="654"/>
      <c r="FE3" s="654"/>
      <c r="FF3" s="654"/>
      <c r="FG3" s="654"/>
      <c r="FH3" s="654"/>
      <c r="FI3" s="654"/>
      <c r="FJ3" s="654"/>
      <c r="FK3" s="654"/>
      <c r="FL3" s="654"/>
      <c r="FM3" s="654"/>
      <c r="FN3" s="654"/>
      <c r="FO3" s="654"/>
      <c r="FP3" s="654"/>
      <c r="FQ3" s="654"/>
      <c r="FR3" s="654"/>
      <c r="FS3" s="654"/>
      <c r="FT3" s="654"/>
      <c r="FU3" s="654"/>
      <c r="FV3" s="654"/>
      <c r="FW3" s="654"/>
      <c r="FX3" s="654"/>
      <c r="FY3" s="654"/>
      <c r="FZ3" s="654"/>
      <c r="GA3" s="654"/>
      <c r="GB3" s="654"/>
      <c r="GC3" s="654"/>
      <c r="GD3" s="654"/>
      <c r="GE3" s="654"/>
      <c r="GF3" s="654"/>
      <c r="GG3" s="654"/>
      <c r="GH3" s="654"/>
      <c r="GI3" s="654"/>
      <c r="GJ3" s="654"/>
      <c r="GK3" s="654"/>
      <c r="GL3" s="654"/>
      <c r="GM3" s="654"/>
      <c r="GN3" s="654"/>
      <c r="GO3" s="654"/>
      <c r="GP3" s="654"/>
      <c r="GQ3" s="654"/>
      <c r="GR3" s="654"/>
      <c r="GS3" s="654"/>
      <c r="GT3" s="654"/>
      <c r="GU3" s="654"/>
      <c r="GV3" s="654"/>
      <c r="GW3" s="654"/>
      <c r="GX3" s="654"/>
      <c r="GY3" s="654"/>
      <c r="GZ3" s="654"/>
      <c r="HA3" s="654"/>
      <c r="HB3" s="654"/>
      <c r="HC3" s="654"/>
      <c r="HD3" s="654"/>
      <c r="HE3" s="654"/>
      <c r="HF3" s="654"/>
      <c r="HG3" s="654"/>
      <c r="HH3" s="654"/>
      <c r="HI3" s="654"/>
      <c r="HJ3" s="654"/>
      <c r="HK3" s="654"/>
      <c r="HL3" s="654"/>
      <c r="HM3" s="654"/>
      <c r="HN3" s="654"/>
      <c r="HO3" s="654"/>
      <c r="HP3" s="654"/>
      <c r="HQ3" s="654"/>
      <c r="HR3" s="654"/>
      <c r="HS3" s="654"/>
      <c r="HT3" s="654"/>
      <c r="HU3" s="654"/>
      <c r="HV3" s="654"/>
      <c r="HW3" s="654"/>
      <c r="HX3" s="654"/>
      <c r="HY3" s="654"/>
      <c r="HZ3" s="654"/>
      <c r="IA3" s="654"/>
      <c r="IB3" s="654"/>
      <c r="IC3" s="654"/>
      <c r="ID3" s="654"/>
      <c r="IE3" s="654"/>
      <c r="IF3" s="654"/>
      <c r="IG3" s="654"/>
      <c r="IH3" s="654"/>
      <c r="II3" s="654"/>
      <c r="IJ3" s="654"/>
      <c r="IK3" s="654"/>
    </row>
    <row r="4" s="640" customFormat="1" ht="21.9" customHeight="1" spans="1:245">
      <c r="A4" s="628"/>
      <c r="B4" s="628" t="s">
        <v>357</v>
      </c>
      <c r="C4" s="628"/>
      <c r="D4" s="628"/>
      <c r="E4" s="627"/>
      <c r="F4" s="631">
        <f>F5+F8+F24+F54+F123+F128+F132</f>
        <v>3957431.70795068</v>
      </c>
      <c r="G4" s="628"/>
      <c r="H4" s="651"/>
      <c r="I4" s="651"/>
      <c r="J4" s="651"/>
      <c r="K4" s="651"/>
      <c r="L4" s="651"/>
      <c r="M4" s="651"/>
      <c r="N4" s="651"/>
      <c r="O4" s="651"/>
      <c r="P4" s="651"/>
      <c r="Q4" s="651"/>
      <c r="R4" s="651"/>
      <c r="S4" s="651"/>
      <c r="T4" s="651"/>
      <c r="U4" s="651"/>
      <c r="V4" s="651"/>
      <c r="W4" s="651"/>
      <c r="X4" s="651"/>
      <c r="Y4" s="651"/>
      <c r="Z4" s="651"/>
      <c r="AA4" s="651"/>
      <c r="AB4" s="651"/>
      <c r="AC4" s="651"/>
      <c r="AD4" s="651"/>
      <c r="AE4" s="651"/>
      <c r="AF4" s="651"/>
      <c r="AG4" s="651"/>
      <c r="AH4" s="651"/>
      <c r="AI4" s="651"/>
      <c r="AJ4" s="651"/>
      <c r="AK4" s="651"/>
      <c r="AL4" s="651"/>
      <c r="AM4" s="651"/>
      <c r="AN4" s="651"/>
      <c r="AO4" s="651"/>
      <c r="AP4" s="651"/>
      <c r="AQ4" s="651"/>
      <c r="AR4" s="651"/>
      <c r="AS4" s="651"/>
      <c r="AT4" s="651"/>
      <c r="AU4" s="651"/>
      <c r="AV4" s="651"/>
      <c r="AW4" s="651"/>
      <c r="AX4" s="651"/>
      <c r="AY4" s="651"/>
      <c r="AZ4" s="651"/>
      <c r="BA4" s="651"/>
      <c r="BB4" s="651"/>
      <c r="BC4" s="651"/>
      <c r="BD4" s="651"/>
      <c r="BE4" s="651"/>
      <c r="BF4" s="651"/>
      <c r="BG4" s="651"/>
      <c r="BH4" s="651"/>
      <c r="BI4" s="651"/>
      <c r="BJ4" s="651"/>
      <c r="BK4" s="651"/>
      <c r="BL4" s="651"/>
      <c r="BM4" s="651"/>
      <c r="BN4" s="651"/>
      <c r="BO4" s="651"/>
      <c r="BP4" s="651"/>
      <c r="BQ4" s="651"/>
      <c r="BR4" s="651"/>
      <c r="BS4" s="651"/>
      <c r="BT4" s="651"/>
      <c r="BU4" s="651"/>
      <c r="BV4" s="651"/>
      <c r="BW4" s="651"/>
      <c r="BX4" s="651"/>
      <c r="BY4" s="651"/>
      <c r="BZ4" s="651"/>
      <c r="CA4" s="651"/>
      <c r="CB4" s="651"/>
      <c r="CC4" s="651"/>
      <c r="CD4" s="651"/>
      <c r="CE4" s="651"/>
      <c r="CF4" s="651"/>
      <c r="CG4" s="651"/>
      <c r="CH4" s="651"/>
      <c r="CI4" s="651"/>
      <c r="CJ4" s="651"/>
      <c r="CK4" s="651"/>
      <c r="CL4" s="651"/>
      <c r="CM4" s="651"/>
      <c r="CN4" s="651"/>
      <c r="CO4" s="651"/>
      <c r="CP4" s="651"/>
      <c r="CQ4" s="651"/>
      <c r="CR4" s="651"/>
      <c r="CS4" s="651"/>
      <c r="CT4" s="651"/>
      <c r="CU4" s="651"/>
      <c r="CV4" s="651"/>
      <c r="CW4" s="651"/>
      <c r="CX4" s="651"/>
      <c r="CY4" s="651"/>
      <c r="CZ4" s="651"/>
      <c r="DA4" s="651"/>
      <c r="DB4" s="651"/>
      <c r="DC4" s="651"/>
      <c r="DD4" s="651"/>
      <c r="DE4" s="651"/>
      <c r="DF4" s="651"/>
      <c r="DG4" s="651"/>
      <c r="DH4" s="651"/>
      <c r="DI4" s="651"/>
      <c r="DJ4" s="651"/>
      <c r="DK4" s="651"/>
      <c r="DL4" s="651"/>
      <c r="DM4" s="651"/>
      <c r="DN4" s="651"/>
      <c r="DO4" s="651"/>
      <c r="DP4" s="651"/>
      <c r="DQ4" s="651"/>
      <c r="DR4" s="651"/>
      <c r="DS4" s="651"/>
      <c r="DT4" s="651"/>
      <c r="DU4" s="651"/>
      <c r="DV4" s="651"/>
      <c r="DW4" s="651"/>
      <c r="DX4" s="651"/>
      <c r="DY4" s="651"/>
      <c r="DZ4" s="651"/>
      <c r="EA4" s="651"/>
      <c r="EB4" s="651"/>
      <c r="EC4" s="651"/>
      <c r="ED4" s="651"/>
      <c r="EE4" s="651"/>
      <c r="EF4" s="651"/>
      <c r="EG4" s="651"/>
      <c r="EH4" s="651"/>
      <c r="EI4" s="651"/>
      <c r="EJ4" s="651"/>
      <c r="EK4" s="651"/>
      <c r="EL4" s="651"/>
      <c r="EM4" s="651"/>
      <c r="EN4" s="651"/>
      <c r="EO4" s="651"/>
      <c r="EP4" s="651"/>
      <c r="EQ4" s="651"/>
      <c r="ER4" s="651"/>
      <c r="ES4" s="651"/>
      <c r="ET4" s="651"/>
      <c r="EU4" s="651"/>
      <c r="EV4" s="651"/>
      <c r="EW4" s="651"/>
      <c r="EX4" s="651"/>
      <c r="EY4" s="651"/>
      <c r="EZ4" s="651"/>
      <c r="FA4" s="651"/>
      <c r="FB4" s="651"/>
      <c r="FC4" s="651"/>
      <c r="FD4" s="651"/>
      <c r="FE4" s="651"/>
      <c r="FF4" s="651"/>
      <c r="FG4" s="651"/>
      <c r="FH4" s="651"/>
      <c r="FI4" s="651"/>
      <c r="FJ4" s="651"/>
      <c r="FK4" s="651"/>
      <c r="FL4" s="651"/>
      <c r="FM4" s="651"/>
      <c r="FN4" s="651"/>
      <c r="FO4" s="651"/>
      <c r="FP4" s="651"/>
      <c r="FQ4" s="651"/>
      <c r="FR4" s="651"/>
      <c r="FS4" s="651"/>
      <c r="FT4" s="651"/>
      <c r="FU4" s="651"/>
      <c r="FV4" s="651"/>
      <c r="FW4" s="651"/>
      <c r="FX4" s="651"/>
      <c r="FY4" s="651"/>
      <c r="FZ4" s="651"/>
      <c r="GA4" s="651"/>
      <c r="GB4" s="651"/>
      <c r="GC4" s="651"/>
      <c r="GD4" s="651"/>
      <c r="GE4" s="651"/>
      <c r="GF4" s="651"/>
      <c r="GG4" s="651"/>
      <c r="GH4" s="651"/>
      <c r="GI4" s="651"/>
      <c r="GJ4" s="651"/>
      <c r="GK4" s="651"/>
      <c r="GL4" s="651"/>
      <c r="GM4" s="651"/>
      <c r="GN4" s="651"/>
      <c r="GO4" s="651"/>
      <c r="GP4" s="651"/>
      <c r="GQ4" s="651"/>
      <c r="GR4" s="651"/>
      <c r="GS4" s="651"/>
      <c r="GT4" s="651"/>
      <c r="GU4" s="651"/>
      <c r="GV4" s="651"/>
      <c r="GW4" s="651"/>
      <c r="GX4" s="651"/>
      <c r="GY4" s="651"/>
      <c r="GZ4" s="651"/>
      <c r="HA4" s="651"/>
      <c r="HB4" s="651"/>
      <c r="HC4" s="651"/>
      <c r="HD4" s="651"/>
      <c r="HE4" s="651"/>
      <c r="HF4" s="651"/>
      <c r="HG4" s="651"/>
      <c r="HH4" s="651"/>
      <c r="HI4" s="651"/>
      <c r="HJ4" s="651"/>
      <c r="HK4" s="651"/>
      <c r="HL4" s="651"/>
      <c r="HM4" s="651"/>
      <c r="HN4" s="651"/>
      <c r="HO4" s="651"/>
      <c r="HP4" s="651"/>
      <c r="HQ4" s="651"/>
      <c r="HR4" s="651"/>
      <c r="HS4" s="651"/>
      <c r="HT4" s="651"/>
      <c r="HU4" s="651"/>
      <c r="HV4" s="651"/>
      <c r="HW4" s="651"/>
      <c r="HX4" s="651"/>
      <c r="HY4" s="651"/>
      <c r="HZ4" s="651"/>
      <c r="IA4" s="651"/>
      <c r="IB4" s="651"/>
      <c r="IC4" s="651"/>
      <c r="ID4" s="651"/>
      <c r="IE4" s="651"/>
      <c r="IF4" s="651"/>
      <c r="IG4" s="651"/>
      <c r="IH4" s="651"/>
      <c r="II4" s="651"/>
      <c r="IJ4" s="651"/>
      <c r="IK4" s="651"/>
    </row>
    <row r="5" ht="21" customHeight="1" spans="1:7">
      <c r="A5" s="628" t="s">
        <v>57</v>
      </c>
      <c r="B5" s="628" t="s">
        <v>358</v>
      </c>
      <c r="C5" s="628" t="s">
        <v>359</v>
      </c>
      <c r="D5" s="631">
        <v>876.85</v>
      </c>
      <c r="E5" s="627"/>
      <c r="F5" s="631">
        <f>F6+F7</f>
        <v>130711.887473483</v>
      </c>
      <c r="G5" s="628"/>
    </row>
    <row r="6" ht="21" customHeight="1" spans="1:7">
      <c r="A6" s="386"/>
      <c r="B6" s="386" t="s">
        <v>360</v>
      </c>
      <c r="C6" s="386" t="s">
        <v>62</v>
      </c>
      <c r="D6" s="386">
        <v>24960</v>
      </c>
      <c r="E6" s="612">
        <f>单价汇总表!D7/100</f>
        <v>2.95339092441839</v>
      </c>
      <c r="F6" s="621">
        <f>D6*E6</f>
        <v>73716.6374734831</v>
      </c>
      <c r="G6" s="386"/>
    </row>
    <row r="7" ht="21" customHeight="1" spans="1:7">
      <c r="A7" s="386"/>
      <c r="B7" s="386" t="s">
        <v>361</v>
      </c>
      <c r="C7" s="386" t="s">
        <v>359</v>
      </c>
      <c r="D7" s="612">
        <v>876.85</v>
      </c>
      <c r="E7" s="612">
        <v>65</v>
      </c>
      <c r="F7" s="621">
        <f>D7*E7</f>
        <v>56995.25</v>
      </c>
      <c r="G7" s="386"/>
    </row>
    <row r="8" ht="21" customHeight="1" spans="1:7">
      <c r="A8" s="628" t="s">
        <v>72</v>
      </c>
      <c r="B8" s="628" t="s">
        <v>362</v>
      </c>
      <c r="C8" s="628" t="s">
        <v>359</v>
      </c>
      <c r="D8" s="627">
        <f>D9+D14+D19</f>
        <v>1300</v>
      </c>
      <c r="E8" s="627"/>
      <c r="F8" s="631">
        <f>F9+F14+F19</f>
        <v>1366789.3</v>
      </c>
      <c r="G8" s="628"/>
    </row>
    <row r="9" ht="21" customHeight="1" spans="1:7">
      <c r="A9" s="386">
        <v>1</v>
      </c>
      <c r="B9" s="386" t="s">
        <v>363</v>
      </c>
      <c r="C9" s="386" t="s">
        <v>359</v>
      </c>
      <c r="D9" s="612">
        <v>142.7</v>
      </c>
      <c r="E9" s="612">
        <f>F9/D9</f>
        <v>557</v>
      </c>
      <c r="F9" s="621">
        <f>F10+F11+F12+F13</f>
        <v>79483.9</v>
      </c>
      <c r="G9" s="386"/>
    </row>
    <row r="10" ht="21" customHeight="1" spans="1:7">
      <c r="A10" s="386"/>
      <c r="B10" s="386" t="s">
        <v>364</v>
      </c>
      <c r="C10" s="386" t="s">
        <v>365</v>
      </c>
      <c r="D10" s="612">
        <f>D9*0.8</f>
        <v>114.16</v>
      </c>
      <c r="E10" s="612">
        <v>90</v>
      </c>
      <c r="F10" s="621">
        <f t="shared" ref="F10:F13" si="0">E10*D10</f>
        <v>10274.4</v>
      </c>
      <c r="G10" s="386"/>
    </row>
    <row r="11" ht="21" customHeight="1" spans="1:7">
      <c r="A11" s="386"/>
      <c r="B11" s="386" t="s">
        <v>366</v>
      </c>
      <c r="C11" s="386" t="s">
        <v>365</v>
      </c>
      <c r="D11" s="612">
        <f>D9*0.6</f>
        <v>85.62</v>
      </c>
      <c r="E11" s="612">
        <v>200</v>
      </c>
      <c r="F11" s="621">
        <f t="shared" si="0"/>
        <v>17124</v>
      </c>
      <c r="G11" s="386"/>
    </row>
    <row r="12" ht="21" customHeight="1" spans="1:7">
      <c r="A12" s="386"/>
      <c r="B12" s="386" t="s">
        <v>367</v>
      </c>
      <c r="C12" s="386" t="s">
        <v>365</v>
      </c>
      <c r="D12" s="612">
        <f>D9*0.25</f>
        <v>35.675</v>
      </c>
      <c r="E12" s="612">
        <v>500</v>
      </c>
      <c r="F12" s="621">
        <f t="shared" si="0"/>
        <v>17837.5</v>
      </c>
      <c r="G12" s="386"/>
    </row>
    <row r="13" ht="21" customHeight="1" spans="1:7">
      <c r="A13" s="386"/>
      <c r="B13" s="386" t="s">
        <v>368</v>
      </c>
      <c r="C13" s="386" t="s">
        <v>359</v>
      </c>
      <c r="D13" s="612">
        <f>D9</f>
        <v>142.7</v>
      </c>
      <c r="E13" s="612">
        <v>240</v>
      </c>
      <c r="F13" s="621">
        <f t="shared" si="0"/>
        <v>34248</v>
      </c>
      <c r="G13" s="386"/>
    </row>
    <row r="14" ht="21" customHeight="1" spans="1:7">
      <c r="A14" s="386">
        <v>2</v>
      </c>
      <c r="B14" s="386" t="s">
        <v>369</v>
      </c>
      <c r="C14" s="386" t="s">
        <v>359</v>
      </c>
      <c r="D14" s="612">
        <f>684.1+100</f>
        <v>784.1</v>
      </c>
      <c r="E14" s="612">
        <f>F14/D14</f>
        <v>954</v>
      </c>
      <c r="F14" s="621">
        <f>F15+F16+F17+F18</f>
        <v>748031.4</v>
      </c>
      <c r="G14" s="386"/>
    </row>
    <row r="15" ht="21" customHeight="1" spans="1:7">
      <c r="A15" s="386"/>
      <c r="B15" s="386" t="s">
        <v>364</v>
      </c>
      <c r="C15" s="386" t="s">
        <v>365</v>
      </c>
      <c r="D15" s="612">
        <f>D14*1.6</f>
        <v>1254.56</v>
      </c>
      <c r="E15" s="612">
        <f>E10</f>
        <v>90</v>
      </c>
      <c r="F15" s="621">
        <f>E15*D15</f>
        <v>112910.4</v>
      </c>
      <c r="G15" s="386"/>
    </row>
    <row r="16" ht="21" customHeight="1" spans="1:7">
      <c r="A16" s="386"/>
      <c r="B16" s="386" t="s">
        <v>366</v>
      </c>
      <c r="C16" s="386" t="s">
        <v>365</v>
      </c>
      <c r="D16" s="612">
        <f>D14*1.6</f>
        <v>1254.56</v>
      </c>
      <c r="E16" s="612">
        <f>E11</f>
        <v>200</v>
      </c>
      <c r="F16" s="621">
        <f>E16*D16</f>
        <v>250912</v>
      </c>
      <c r="G16" s="386"/>
    </row>
    <row r="17" ht="21" customHeight="1" spans="1:7">
      <c r="A17" s="386"/>
      <c r="B17" s="386" t="s">
        <v>367</v>
      </c>
      <c r="C17" s="386" t="s">
        <v>365</v>
      </c>
      <c r="D17" s="612">
        <f>D14*0.5</f>
        <v>392.05</v>
      </c>
      <c r="E17" s="612">
        <f>E12</f>
        <v>500</v>
      </c>
      <c r="F17" s="621">
        <f>E17*D17</f>
        <v>196025</v>
      </c>
      <c r="G17" s="386"/>
    </row>
    <row r="18" ht="21" customHeight="1" spans="1:7">
      <c r="A18" s="386"/>
      <c r="B18" s="386" t="s">
        <v>370</v>
      </c>
      <c r="C18" s="386" t="s">
        <v>359</v>
      </c>
      <c r="D18" s="612">
        <f>D14</f>
        <v>784.1</v>
      </c>
      <c r="E18" s="612">
        <f>E13</f>
        <v>240</v>
      </c>
      <c r="F18" s="621">
        <f t="shared" ref="F18:F23" si="1">E18*D18</f>
        <v>188184</v>
      </c>
      <c r="G18" s="386"/>
    </row>
    <row r="19" ht="21" customHeight="1" spans="1:7">
      <c r="A19" s="386">
        <v>3</v>
      </c>
      <c r="B19" s="386" t="s">
        <v>371</v>
      </c>
      <c r="C19" s="386" t="s">
        <v>359</v>
      </c>
      <c r="D19" s="612">
        <f>173.2+200</f>
        <v>373.2</v>
      </c>
      <c r="E19" s="612">
        <f>F19/D19</f>
        <v>1445</v>
      </c>
      <c r="F19" s="621">
        <f>F20+F21+F22+F23</f>
        <v>539274</v>
      </c>
      <c r="G19" s="386"/>
    </row>
    <row r="20" ht="21" customHeight="1" spans="1:7">
      <c r="A20" s="386"/>
      <c r="B20" s="386" t="s">
        <v>364</v>
      </c>
      <c r="C20" s="386" t="s">
        <v>365</v>
      </c>
      <c r="D20" s="612">
        <f>D19*2</f>
        <v>746.4</v>
      </c>
      <c r="E20" s="612">
        <f>E10</f>
        <v>90</v>
      </c>
      <c r="F20" s="621">
        <f t="shared" si="1"/>
        <v>67176</v>
      </c>
      <c r="G20" s="386"/>
    </row>
    <row r="21" ht="21" customHeight="1" spans="1:7">
      <c r="A21" s="386"/>
      <c r="B21" s="386" t="s">
        <v>366</v>
      </c>
      <c r="C21" s="386" t="s">
        <v>365</v>
      </c>
      <c r="D21" s="612">
        <f>D19*3</f>
        <v>1119.6</v>
      </c>
      <c r="E21" s="612">
        <f>E11</f>
        <v>200</v>
      </c>
      <c r="F21" s="621">
        <f t="shared" si="1"/>
        <v>223920</v>
      </c>
      <c r="G21" s="386"/>
    </row>
    <row r="22" ht="21" customHeight="1" spans="1:7">
      <c r="A22" s="386"/>
      <c r="B22" s="386" t="s">
        <v>367</v>
      </c>
      <c r="C22" s="386" t="s">
        <v>365</v>
      </c>
      <c r="D22" s="612">
        <f>D19*0.85</f>
        <v>317.22</v>
      </c>
      <c r="E22" s="612">
        <f>E12</f>
        <v>500</v>
      </c>
      <c r="F22" s="621">
        <f t="shared" si="1"/>
        <v>158610</v>
      </c>
      <c r="G22" s="386"/>
    </row>
    <row r="23" ht="21" customHeight="1" spans="1:7">
      <c r="A23" s="386"/>
      <c r="B23" s="386" t="s">
        <v>368</v>
      </c>
      <c r="C23" s="386" t="s">
        <v>359</v>
      </c>
      <c r="D23" s="612">
        <f>D19</f>
        <v>373.2</v>
      </c>
      <c r="E23" s="612">
        <f>E18</f>
        <v>240</v>
      </c>
      <c r="F23" s="621">
        <f t="shared" si="1"/>
        <v>89568</v>
      </c>
      <c r="G23" s="386"/>
    </row>
    <row r="24" ht="21" customHeight="1" spans="1:7">
      <c r="A24" s="628" t="s">
        <v>162</v>
      </c>
      <c r="B24" s="628" t="s">
        <v>251</v>
      </c>
      <c r="C24" s="628"/>
      <c r="D24" s="628"/>
      <c r="E24" s="627"/>
      <c r="F24" s="631">
        <f>F25</f>
        <v>284372.722445783</v>
      </c>
      <c r="G24" s="628"/>
    </row>
    <row r="25" ht="21" customHeight="1" spans="1:7">
      <c r="A25" s="386" t="s">
        <v>59</v>
      </c>
      <c r="B25" s="386" t="s">
        <v>372</v>
      </c>
      <c r="C25" s="386" t="s">
        <v>373</v>
      </c>
      <c r="D25" s="386">
        <v>0.8</v>
      </c>
      <c r="E25" s="612"/>
      <c r="F25" s="621">
        <f>F26+F32</f>
        <v>284372.722445783</v>
      </c>
      <c r="G25" s="386"/>
    </row>
    <row r="26" ht="21" customHeight="1" spans="1:7">
      <c r="A26" s="386">
        <v>1</v>
      </c>
      <c r="B26" s="386" t="s">
        <v>374</v>
      </c>
      <c r="C26" s="386" t="s">
        <v>373</v>
      </c>
      <c r="D26" s="386">
        <v>0.8</v>
      </c>
      <c r="E26" s="612"/>
      <c r="F26" s="621">
        <f>SUM(F27:F31)</f>
        <v>123679.881925368</v>
      </c>
      <c r="G26" s="386"/>
    </row>
    <row r="27" ht="21" customHeight="1" spans="1:7">
      <c r="A27" s="386"/>
      <c r="B27" s="386" t="s">
        <v>61</v>
      </c>
      <c r="C27" s="386" t="s">
        <v>62</v>
      </c>
      <c r="D27" s="612">
        <v>565.068759811617</v>
      </c>
      <c r="E27" s="612">
        <f>单价汇总表!D5/100*0.5+单价汇总表!D6/100*0.5</f>
        <v>5.75097154667093</v>
      </c>
      <c r="F27" s="621">
        <f>D27*E27</f>
        <v>3249.69435958924</v>
      </c>
      <c r="G27" s="386"/>
    </row>
    <row r="28" ht="21" customHeight="1" spans="1:7">
      <c r="A28" s="386"/>
      <c r="B28" s="386" t="s">
        <v>63</v>
      </c>
      <c r="C28" s="386" t="s">
        <v>62</v>
      </c>
      <c r="D28" s="612">
        <v>1421.8649921507</v>
      </c>
      <c r="E28" s="612">
        <f>单价汇总表!D10/100</f>
        <v>6.31435138821432</v>
      </c>
      <c r="F28" s="621">
        <f>D28*E28</f>
        <v>8978.15518704011</v>
      </c>
      <c r="G28" s="386"/>
    </row>
    <row r="29" ht="35" customHeight="1" spans="1:7">
      <c r="A29" s="386"/>
      <c r="B29" s="652" t="s">
        <v>375</v>
      </c>
      <c r="C29" s="386" t="s">
        <v>62</v>
      </c>
      <c r="D29" s="612">
        <v>118.686342229199</v>
      </c>
      <c r="E29" s="612">
        <f>单价汇总表!D25/100</f>
        <v>856.69695131964</v>
      </c>
      <c r="F29" s="621">
        <f>D29*E29</f>
        <v>101678.227551034</v>
      </c>
      <c r="G29" s="386"/>
    </row>
    <row r="30" ht="21" customHeight="1" spans="1:7">
      <c r="A30" s="386"/>
      <c r="B30" s="386" t="s">
        <v>85</v>
      </c>
      <c r="C30" s="386" t="s">
        <v>62</v>
      </c>
      <c r="D30" s="612">
        <v>0.482260596546311</v>
      </c>
      <c r="E30" s="612">
        <v>6300</v>
      </c>
      <c r="F30" s="621">
        <f>D30*E30</f>
        <v>3038.24175824176</v>
      </c>
      <c r="G30" s="386"/>
    </row>
    <row r="31" ht="21" customHeight="1" spans="1:7">
      <c r="A31" s="386"/>
      <c r="B31" s="386" t="s">
        <v>376</v>
      </c>
      <c r="C31" s="386" t="s">
        <v>62</v>
      </c>
      <c r="D31" s="612">
        <v>96.130612244898</v>
      </c>
      <c r="E31" s="612">
        <f>单价汇总表!D24/100+单价汇总表!D9/100</f>
        <v>70.0667863458875</v>
      </c>
      <c r="F31" s="621">
        <f>D31*E31</f>
        <v>6735.56306946263</v>
      </c>
      <c r="G31" s="386"/>
    </row>
    <row r="32" ht="21" customHeight="1" spans="1:7">
      <c r="A32" s="386">
        <v>2</v>
      </c>
      <c r="B32" s="386" t="s">
        <v>377</v>
      </c>
      <c r="C32" s="386"/>
      <c r="D32" s="386"/>
      <c r="E32" s="612"/>
      <c r="F32" s="621">
        <f>F33+F43</f>
        <v>160692.840520415</v>
      </c>
      <c r="G32" s="386"/>
    </row>
    <row r="33" s="641" customFormat="1" ht="22" customHeight="1" spans="1:7">
      <c r="A33" s="386">
        <v>2.1</v>
      </c>
      <c r="B33" s="386" t="s">
        <v>378</v>
      </c>
      <c r="C33" s="386" t="s">
        <v>74</v>
      </c>
      <c r="D33" s="386">
        <v>15</v>
      </c>
      <c r="E33" s="612">
        <f>F34</f>
        <v>7608.05392521596</v>
      </c>
      <c r="F33" s="621">
        <f t="shared" ref="F33:F53" si="2">D33*E33</f>
        <v>114120.808878239</v>
      </c>
      <c r="G33" s="393"/>
    </row>
    <row r="34" s="641" customFormat="1" ht="22" customHeight="1" spans="1:7">
      <c r="A34" s="386"/>
      <c r="B34" s="652" t="s">
        <v>145</v>
      </c>
      <c r="C34" s="386" t="s">
        <v>74</v>
      </c>
      <c r="D34" s="386">
        <v>1</v>
      </c>
      <c r="E34" s="612"/>
      <c r="F34" s="621">
        <f>SUM(F35:F42)</f>
        <v>7608.05392521596</v>
      </c>
      <c r="G34" s="393"/>
    </row>
    <row r="35" s="641" customFormat="1" ht="22" customHeight="1" spans="1:7">
      <c r="A35" s="386"/>
      <c r="B35" s="386" t="s">
        <v>61</v>
      </c>
      <c r="C35" s="386" t="s">
        <v>379</v>
      </c>
      <c r="D35" s="386">
        <v>11.07</v>
      </c>
      <c r="E35" s="612">
        <f>E58</f>
        <v>5.75097154667093</v>
      </c>
      <c r="F35" s="621">
        <f t="shared" si="2"/>
        <v>63.6632550216472</v>
      </c>
      <c r="G35" s="393"/>
    </row>
    <row r="36" s="641" customFormat="1" ht="22" customHeight="1" spans="1:7">
      <c r="A36" s="386"/>
      <c r="B36" s="386" t="s">
        <v>63</v>
      </c>
      <c r="C36" s="386" t="s">
        <v>379</v>
      </c>
      <c r="D36" s="386">
        <v>4.43</v>
      </c>
      <c r="E36" s="612">
        <f>E59</f>
        <v>21.7295909758467</v>
      </c>
      <c r="F36" s="621">
        <f t="shared" si="2"/>
        <v>96.2620880230011</v>
      </c>
      <c r="G36" s="393"/>
    </row>
    <row r="37" s="641" customFormat="1" ht="22" customHeight="1" spans="1:7">
      <c r="A37" s="386"/>
      <c r="B37" s="386" t="s">
        <v>380</v>
      </c>
      <c r="C37" s="386" t="s">
        <v>379</v>
      </c>
      <c r="D37" s="386">
        <v>0.7</v>
      </c>
      <c r="E37" s="612">
        <f>单价汇总表!D20/100</f>
        <v>532.455329189905</v>
      </c>
      <c r="F37" s="621">
        <f t="shared" si="2"/>
        <v>372.718730432933</v>
      </c>
      <c r="G37" s="393"/>
    </row>
    <row r="38" s="641" customFormat="1" ht="22" customHeight="1" spans="1:7">
      <c r="A38" s="386"/>
      <c r="B38" s="386" t="s">
        <v>381</v>
      </c>
      <c r="C38" s="386" t="s">
        <v>379</v>
      </c>
      <c r="D38" s="386">
        <v>0.13</v>
      </c>
      <c r="E38" s="612">
        <f>单价汇总表!D21/100</f>
        <v>564.249291609108</v>
      </c>
      <c r="F38" s="621">
        <f t="shared" si="2"/>
        <v>73.352407909184</v>
      </c>
      <c r="G38" s="393"/>
    </row>
    <row r="39" s="641" customFormat="1" ht="22" customHeight="1" spans="1:7">
      <c r="A39" s="386"/>
      <c r="B39" s="386" t="s">
        <v>82</v>
      </c>
      <c r="C39" s="386" t="s">
        <v>379</v>
      </c>
      <c r="D39" s="386">
        <v>4.89</v>
      </c>
      <c r="E39" s="612">
        <f>单价汇总表!D12/100</f>
        <v>505.429795898414</v>
      </c>
      <c r="F39" s="621">
        <f t="shared" si="2"/>
        <v>2471.55170194324</v>
      </c>
      <c r="G39" s="393"/>
    </row>
    <row r="40" s="641" customFormat="1" ht="22" customHeight="1" spans="1:7">
      <c r="A40" s="386"/>
      <c r="B40" s="386" t="s">
        <v>382</v>
      </c>
      <c r="C40" s="386" t="s">
        <v>90</v>
      </c>
      <c r="D40" s="386">
        <v>2</v>
      </c>
      <c r="E40" s="612">
        <f>E97</f>
        <v>478.06706211309</v>
      </c>
      <c r="F40" s="621">
        <f t="shared" si="2"/>
        <v>956.13412422618</v>
      </c>
      <c r="G40" s="393"/>
    </row>
    <row r="41" s="641" customFormat="1" ht="22" customHeight="1" spans="1:7">
      <c r="A41" s="386"/>
      <c r="B41" s="386" t="s">
        <v>383</v>
      </c>
      <c r="C41" s="386" t="s">
        <v>379</v>
      </c>
      <c r="D41" s="386">
        <v>3.71</v>
      </c>
      <c r="E41" s="612">
        <f>单价汇总表!D23/100+单价汇总表!D9/100</f>
        <v>44.3050182371356</v>
      </c>
      <c r="F41" s="621">
        <f t="shared" si="2"/>
        <v>164.371617659773</v>
      </c>
      <c r="G41" s="393"/>
    </row>
    <row r="42" s="641" customFormat="1" ht="22" customHeight="1" spans="1:7">
      <c r="A42" s="386"/>
      <c r="B42" s="386" t="s">
        <v>384</v>
      </c>
      <c r="C42" s="386" t="s">
        <v>155</v>
      </c>
      <c r="D42" s="386">
        <v>1</v>
      </c>
      <c r="E42" s="612">
        <v>3410</v>
      </c>
      <c r="F42" s="621">
        <f t="shared" si="2"/>
        <v>3410</v>
      </c>
      <c r="G42" s="393"/>
    </row>
    <row r="43" s="641" customFormat="1" ht="22" customHeight="1" spans="1:7">
      <c r="A43" s="386">
        <v>2.2</v>
      </c>
      <c r="B43" s="386" t="s">
        <v>385</v>
      </c>
      <c r="C43" s="386" t="s">
        <v>74</v>
      </c>
      <c r="D43" s="386">
        <v>5</v>
      </c>
      <c r="E43" s="612">
        <f>F44</f>
        <v>9314.40632843505</v>
      </c>
      <c r="F43" s="621">
        <f t="shared" si="2"/>
        <v>46572.0316421753</v>
      </c>
      <c r="G43" s="393"/>
    </row>
    <row r="44" s="641" customFormat="1" ht="22" customHeight="1" spans="1:7">
      <c r="A44" s="386"/>
      <c r="B44" s="652" t="s">
        <v>145</v>
      </c>
      <c r="C44" s="652" t="s">
        <v>74</v>
      </c>
      <c r="D44" s="386">
        <v>1</v>
      </c>
      <c r="E44" s="612"/>
      <c r="F44" s="621">
        <f>SUM(F45:F53)</f>
        <v>9314.40632843505</v>
      </c>
      <c r="G44" s="393"/>
    </row>
    <row r="45" s="641" customFormat="1" ht="22" customHeight="1" spans="1:7">
      <c r="A45" s="386"/>
      <c r="B45" s="652" t="s">
        <v>61</v>
      </c>
      <c r="C45" s="652" t="s">
        <v>379</v>
      </c>
      <c r="D45" s="652">
        <v>14.98</v>
      </c>
      <c r="E45" s="612">
        <f>E35</f>
        <v>5.75097154667093</v>
      </c>
      <c r="F45" s="621">
        <f t="shared" si="2"/>
        <v>86.1495537691305</v>
      </c>
      <c r="G45" s="393"/>
    </row>
    <row r="46" s="641" customFormat="1" ht="22" customHeight="1" spans="1:7">
      <c r="A46" s="386"/>
      <c r="B46" s="652" t="s">
        <v>63</v>
      </c>
      <c r="C46" s="652" t="s">
        <v>379</v>
      </c>
      <c r="D46" s="652">
        <v>5.99</v>
      </c>
      <c r="E46" s="612">
        <f>E36</f>
        <v>21.7295909758467</v>
      </c>
      <c r="F46" s="621">
        <f t="shared" si="2"/>
        <v>130.160249945322</v>
      </c>
      <c r="G46" s="393"/>
    </row>
    <row r="47" s="641" customFormat="1" ht="22" customHeight="1" spans="1:7">
      <c r="A47" s="386"/>
      <c r="B47" s="652" t="s">
        <v>380</v>
      </c>
      <c r="C47" s="652" t="s">
        <v>379</v>
      </c>
      <c r="D47" s="652">
        <v>0.53</v>
      </c>
      <c r="E47" s="612">
        <f>E37</f>
        <v>532.455329189905</v>
      </c>
      <c r="F47" s="621">
        <f t="shared" si="2"/>
        <v>282.201324470649</v>
      </c>
      <c r="G47" s="393"/>
    </row>
    <row r="48" s="641" customFormat="1" ht="22" customHeight="1" spans="1:7">
      <c r="A48" s="386"/>
      <c r="B48" s="652" t="s">
        <v>381</v>
      </c>
      <c r="C48" s="652" t="s">
        <v>379</v>
      </c>
      <c r="D48" s="652">
        <v>0.44</v>
      </c>
      <c r="E48" s="612">
        <f>E38</f>
        <v>564.249291609108</v>
      </c>
      <c r="F48" s="621">
        <f t="shared" si="2"/>
        <v>248.269688308007</v>
      </c>
      <c r="G48" s="393"/>
    </row>
    <row r="49" s="641" customFormat="1" ht="22" customHeight="1" spans="1:7">
      <c r="A49" s="386"/>
      <c r="B49" s="652" t="s">
        <v>82</v>
      </c>
      <c r="C49" s="652" t="s">
        <v>379</v>
      </c>
      <c r="D49" s="652">
        <v>6.37</v>
      </c>
      <c r="E49" s="612">
        <f>单价汇总表!D12/100</f>
        <v>505.429795898414</v>
      </c>
      <c r="F49" s="621">
        <f t="shared" si="2"/>
        <v>3219.5877998729</v>
      </c>
      <c r="G49" s="393"/>
    </row>
    <row r="50" s="641" customFormat="1" ht="22" customHeight="1" spans="1:7">
      <c r="A50" s="386"/>
      <c r="B50" s="652" t="s">
        <v>68</v>
      </c>
      <c r="C50" s="652" t="s">
        <v>69</v>
      </c>
      <c r="D50" s="652">
        <v>0.05</v>
      </c>
      <c r="E50" s="612">
        <f>单价汇总表!D14</f>
        <v>6220.99382408393</v>
      </c>
      <c r="F50" s="621">
        <f t="shared" si="2"/>
        <v>311.049691204196</v>
      </c>
      <c r="G50" s="393"/>
    </row>
    <row r="51" s="641" customFormat="1" ht="22" customHeight="1" spans="1:7">
      <c r="A51" s="386"/>
      <c r="B51" s="652" t="s">
        <v>386</v>
      </c>
      <c r="C51" s="652" t="s">
        <v>155</v>
      </c>
      <c r="D51" s="652">
        <v>1</v>
      </c>
      <c r="E51" s="612">
        <v>4620</v>
      </c>
      <c r="F51" s="621">
        <f t="shared" si="2"/>
        <v>4620</v>
      </c>
      <c r="G51" s="393"/>
    </row>
    <row r="52" s="641" customFormat="1" ht="22" customHeight="1" spans="1:7">
      <c r="A52" s="386"/>
      <c r="B52" s="386" t="s">
        <v>387</v>
      </c>
      <c r="C52" s="652" t="s">
        <v>379</v>
      </c>
      <c r="D52" s="652">
        <v>0.2</v>
      </c>
      <c r="E52" s="612">
        <f>E107</f>
        <v>997.251906602572</v>
      </c>
      <c r="F52" s="621">
        <f t="shared" si="2"/>
        <v>199.450381320514</v>
      </c>
      <c r="G52" s="393"/>
    </row>
    <row r="53" s="641" customFormat="1" ht="22" customHeight="1" spans="1:7">
      <c r="A53" s="386"/>
      <c r="B53" s="386" t="s">
        <v>383</v>
      </c>
      <c r="C53" s="652" t="s">
        <v>379</v>
      </c>
      <c r="D53" s="386">
        <v>4.91</v>
      </c>
      <c r="E53" s="612">
        <f>E41</f>
        <v>44.3050182371356</v>
      </c>
      <c r="F53" s="621">
        <f t="shared" si="2"/>
        <v>217.537639544336</v>
      </c>
      <c r="G53" s="393"/>
    </row>
    <row r="54" ht="21" customHeight="1" spans="1:7">
      <c r="A54" s="628" t="s">
        <v>214</v>
      </c>
      <c r="B54" s="628" t="s">
        <v>388</v>
      </c>
      <c r="C54" s="628"/>
      <c r="D54" s="628"/>
      <c r="E54" s="627"/>
      <c r="F54" s="631">
        <f>F55+F118</f>
        <v>837950.878911508</v>
      </c>
      <c r="G54" s="628"/>
    </row>
    <row r="55" ht="21" customHeight="1" spans="1:7">
      <c r="A55" s="628" t="s">
        <v>59</v>
      </c>
      <c r="B55" s="628" t="s">
        <v>389</v>
      </c>
      <c r="C55" s="628" t="s">
        <v>359</v>
      </c>
      <c r="D55" s="628">
        <v>916</v>
      </c>
      <c r="E55" s="627"/>
      <c r="F55" s="631">
        <f>F56+F71+F75+F90</f>
        <v>833163.770217052</v>
      </c>
      <c r="G55" s="386"/>
    </row>
    <row r="56" ht="21" customHeight="1" spans="1:7">
      <c r="A56" s="628">
        <v>1</v>
      </c>
      <c r="B56" s="628" t="s">
        <v>390</v>
      </c>
      <c r="C56" s="628" t="s">
        <v>74</v>
      </c>
      <c r="D56" s="628">
        <v>1</v>
      </c>
      <c r="E56" s="627"/>
      <c r="F56" s="631">
        <f>F57</f>
        <v>23617.4646839039</v>
      </c>
      <c r="G56" s="386"/>
    </row>
    <row r="57" ht="21" customHeight="1" spans="1:7">
      <c r="A57" s="386">
        <v>1.1</v>
      </c>
      <c r="B57" s="386" t="s">
        <v>391</v>
      </c>
      <c r="C57" s="386" t="s">
        <v>74</v>
      </c>
      <c r="D57" s="386">
        <v>1</v>
      </c>
      <c r="E57" s="612"/>
      <c r="F57" s="621">
        <f>SUM(F58:F70)</f>
        <v>23617.4646839039</v>
      </c>
      <c r="G57" s="386"/>
    </row>
    <row r="58" ht="21" customHeight="1" spans="1:7">
      <c r="A58" s="386"/>
      <c r="B58" s="386" t="s">
        <v>61</v>
      </c>
      <c r="C58" s="386" t="s">
        <v>62</v>
      </c>
      <c r="D58" s="386">
        <v>23</v>
      </c>
      <c r="E58" s="612">
        <f>E27</f>
        <v>5.75097154667093</v>
      </c>
      <c r="F58" s="621">
        <f t="shared" ref="F55:F66" si="3">D58*E58</f>
        <v>132.272345573431</v>
      </c>
      <c r="G58" s="386"/>
    </row>
    <row r="59" ht="21" customHeight="1" spans="1:7">
      <c r="A59" s="386"/>
      <c r="B59" s="386" t="s">
        <v>392</v>
      </c>
      <c r="C59" s="386" t="s">
        <v>62</v>
      </c>
      <c r="D59" s="386">
        <v>10.5</v>
      </c>
      <c r="E59" s="612">
        <f>单价汇总表!D11/100</f>
        <v>21.7295909758467</v>
      </c>
      <c r="F59" s="621">
        <f t="shared" si="3"/>
        <v>228.160705246391</v>
      </c>
      <c r="G59" s="386"/>
    </row>
    <row r="60" ht="21" customHeight="1" spans="1:7">
      <c r="A60" s="386"/>
      <c r="B60" s="386" t="s">
        <v>393</v>
      </c>
      <c r="C60" s="386" t="s">
        <v>394</v>
      </c>
      <c r="D60" s="386">
        <v>0.64</v>
      </c>
      <c r="E60" s="612">
        <v>200</v>
      </c>
      <c r="F60" s="621">
        <f t="shared" si="3"/>
        <v>128</v>
      </c>
      <c r="G60" s="386"/>
    </row>
    <row r="61" ht="21" customHeight="1" spans="1:7">
      <c r="A61" s="386"/>
      <c r="B61" s="386" t="s">
        <v>395</v>
      </c>
      <c r="C61" s="386" t="s">
        <v>90</v>
      </c>
      <c r="D61" s="386">
        <v>23</v>
      </c>
      <c r="E61" s="612">
        <v>315</v>
      </c>
      <c r="F61" s="621">
        <f t="shared" si="3"/>
        <v>7245</v>
      </c>
      <c r="G61" s="386"/>
    </row>
    <row r="62" ht="21" customHeight="1" spans="1:7">
      <c r="A62" s="386"/>
      <c r="B62" s="386" t="s">
        <v>396</v>
      </c>
      <c r="C62" s="386" t="s">
        <v>394</v>
      </c>
      <c r="D62" s="386">
        <v>56</v>
      </c>
      <c r="E62" s="612">
        <f>单价汇总表!D16/1000</f>
        <v>20.0328972549866</v>
      </c>
      <c r="F62" s="621">
        <f t="shared" si="3"/>
        <v>1121.84224627925</v>
      </c>
      <c r="G62" s="386"/>
    </row>
    <row r="63" ht="21" customHeight="1" spans="1:7">
      <c r="A63" s="386"/>
      <c r="B63" s="386" t="s">
        <v>397</v>
      </c>
      <c r="C63" s="386" t="s">
        <v>62</v>
      </c>
      <c r="D63" s="653">
        <v>0.0633333333333333</v>
      </c>
      <c r="E63" s="612">
        <f>单价汇总表!D18/100</f>
        <v>653.98545308841</v>
      </c>
      <c r="F63" s="621">
        <f t="shared" si="3"/>
        <v>41.4190786955993</v>
      </c>
      <c r="G63" s="386"/>
    </row>
    <row r="64" ht="21" customHeight="1" spans="1:7">
      <c r="A64" s="386"/>
      <c r="B64" s="386" t="s">
        <v>398</v>
      </c>
      <c r="C64" s="386" t="s">
        <v>62</v>
      </c>
      <c r="D64" s="653">
        <v>0.0733333333333333</v>
      </c>
      <c r="E64" s="612">
        <f>建筑工程单价分析表!F275/100</f>
        <v>113.466285835397</v>
      </c>
      <c r="F64" s="621">
        <f t="shared" si="3"/>
        <v>8.32086096126243</v>
      </c>
      <c r="G64" s="386"/>
    </row>
    <row r="65" ht="21" customHeight="1" spans="1:7">
      <c r="A65" s="386"/>
      <c r="B65" s="386" t="s">
        <v>399</v>
      </c>
      <c r="C65" s="386" t="s">
        <v>90</v>
      </c>
      <c r="D65" s="386">
        <v>20.8</v>
      </c>
      <c r="E65" s="612">
        <v>165</v>
      </c>
      <c r="F65" s="621">
        <f t="shared" si="3"/>
        <v>3432</v>
      </c>
      <c r="G65" s="386"/>
    </row>
    <row r="66" ht="21" customHeight="1" spans="1:7">
      <c r="A66" s="386"/>
      <c r="B66" s="386" t="s">
        <v>400</v>
      </c>
      <c r="C66" s="386" t="s">
        <v>90</v>
      </c>
      <c r="D66" s="386">
        <v>41.2</v>
      </c>
      <c r="E66" s="612">
        <v>100</v>
      </c>
      <c r="F66" s="621">
        <f t="shared" si="3"/>
        <v>4120</v>
      </c>
      <c r="G66" s="386"/>
    </row>
    <row r="67" ht="21" customHeight="1" spans="1:7">
      <c r="A67" s="386"/>
      <c r="B67" s="386" t="s">
        <v>401</v>
      </c>
      <c r="C67" s="386" t="s">
        <v>90</v>
      </c>
      <c r="D67" s="386">
        <v>17.82</v>
      </c>
      <c r="E67" s="612">
        <v>85</v>
      </c>
      <c r="F67" s="621">
        <f t="shared" ref="F67:F98" si="4">D67*E67</f>
        <v>1514.7</v>
      </c>
      <c r="G67" s="386"/>
    </row>
    <row r="68" ht="21" customHeight="1" spans="1:7">
      <c r="A68" s="386"/>
      <c r="B68" s="386" t="s">
        <v>402</v>
      </c>
      <c r="C68" s="386" t="s">
        <v>267</v>
      </c>
      <c r="D68" s="386">
        <v>1</v>
      </c>
      <c r="E68" s="612">
        <v>500</v>
      </c>
      <c r="F68" s="621">
        <f t="shared" si="4"/>
        <v>500</v>
      </c>
      <c r="G68" s="386"/>
    </row>
    <row r="69" ht="21" customHeight="1" spans="1:7">
      <c r="A69" s="386"/>
      <c r="B69" s="386" t="s">
        <v>403</v>
      </c>
      <c r="C69" s="386" t="s">
        <v>155</v>
      </c>
      <c r="D69" s="386">
        <v>1</v>
      </c>
      <c r="E69" s="612">
        <v>750</v>
      </c>
      <c r="F69" s="621">
        <f t="shared" si="4"/>
        <v>750</v>
      </c>
      <c r="G69" s="386"/>
    </row>
    <row r="70" ht="21" customHeight="1" spans="1:7">
      <c r="A70" s="386"/>
      <c r="B70" s="386" t="s">
        <v>404</v>
      </c>
      <c r="C70" s="386" t="s">
        <v>405</v>
      </c>
      <c r="D70" s="386">
        <v>240</v>
      </c>
      <c r="E70" s="612">
        <f>台时!E294*1.03</f>
        <v>18.3156226964499</v>
      </c>
      <c r="F70" s="621">
        <f t="shared" si="4"/>
        <v>4395.74944714798</v>
      </c>
      <c r="G70" s="386"/>
    </row>
    <row r="71" ht="21" customHeight="1" spans="1:7">
      <c r="A71" s="628">
        <v>2</v>
      </c>
      <c r="B71" s="628" t="s">
        <v>406</v>
      </c>
      <c r="C71" s="628" t="s">
        <v>90</v>
      </c>
      <c r="D71" s="628">
        <v>12473</v>
      </c>
      <c r="E71" s="627"/>
      <c r="F71" s="631">
        <f>F72+F73+F74</f>
        <v>262753.282638572</v>
      </c>
      <c r="G71" s="628"/>
    </row>
    <row r="72" ht="21" customHeight="1" spans="1:7">
      <c r="A72" s="386"/>
      <c r="B72" s="386" t="s">
        <v>407</v>
      </c>
      <c r="C72" s="386" t="s">
        <v>90</v>
      </c>
      <c r="D72" s="386">
        <v>12473</v>
      </c>
      <c r="E72" s="612">
        <f>建筑工程单价分析表!F313/100</f>
        <v>18.2518991236114</v>
      </c>
      <c r="F72" s="621">
        <f t="shared" si="4"/>
        <v>227655.937768805</v>
      </c>
      <c r="G72" s="386"/>
    </row>
    <row r="73" ht="33" customHeight="1" spans="1:7">
      <c r="A73" s="386"/>
      <c r="B73" s="652" t="s">
        <v>408</v>
      </c>
      <c r="C73" s="386" t="s">
        <v>394</v>
      </c>
      <c r="D73" s="612">
        <v>3133.21505472591</v>
      </c>
      <c r="E73" s="612">
        <f>建筑工程单价分析表!F333/100</f>
        <v>9.605898204903</v>
      </c>
      <c r="F73" s="621">
        <f t="shared" si="4"/>
        <v>30097.3448697667</v>
      </c>
      <c r="G73" s="386"/>
    </row>
    <row r="74" ht="21" customHeight="1" spans="1:7">
      <c r="A74" s="386"/>
      <c r="B74" s="386" t="s">
        <v>409</v>
      </c>
      <c r="C74" s="386" t="s">
        <v>410</v>
      </c>
      <c r="D74" s="386">
        <v>1</v>
      </c>
      <c r="E74" s="612">
        <v>5000</v>
      </c>
      <c r="F74" s="621">
        <f t="shared" si="4"/>
        <v>5000</v>
      </c>
      <c r="G74" s="386"/>
    </row>
    <row r="75" ht="21" customHeight="1" spans="1:7">
      <c r="A75" s="628">
        <v>3</v>
      </c>
      <c r="B75" s="628" t="s">
        <v>411</v>
      </c>
      <c r="C75" s="628" t="s">
        <v>90</v>
      </c>
      <c r="D75" s="628">
        <f>D76</f>
        <v>4120</v>
      </c>
      <c r="E75" s="627"/>
      <c r="F75" s="631">
        <f>F76+F81+F86+F87</f>
        <v>352943.011739808</v>
      </c>
      <c r="G75" s="628"/>
    </row>
    <row r="76" ht="21" customHeight="1" spans="1:7">
      <c r="A76" s="386">
        <v>3.1</v>
      </c>
      <c r="B76" s="386" t="s">
        <v>412</v>
      </c>
      <c r="C76" s="386" t="s">
        <v>90</v>
      </c>
      <c r="D76" s="386">
        <f>D77+D78+D79+D80</f>
        <v>4120</v>
      </c>
      <c r="E76" s="612"/>
      <c r="F76" s="621">
        <f>SUM(F77:F80)</f>
        <v>237436.09</v>
      </c>
      <c r="G76" s="386"/>
    </row>
    <row r="77" ht="21" customHeight="1" spans="1:7">
      <c r="A77" s="386"/>
      <c r="B77" s="386" t="s">
        <v>413</v>
      </c>
      <c r="C77" s="386" t="s">
        <v>90</v>
      </c>
      <c r="D77" s="386">
        <v>361</v>
      </c>
      <c r="E77" s="612">
        <f>'管材费 (PE)'!M13</f>
        <v>17.01</v>
      </c>
      <c r="F77" s="621">
        <f t="shared" si="4"/>
        <v>6140.61</v>
      </c>
      <c r="G77" s="386"/>
    </row>
    <row r="78" ht="21" customHeight="1" spans="1:7">
      <c r="A78" s="386"/>
      <c r="B78" s="386" t="s">
        <v>414</v>
      </c>
      <c r="C78" s="386" t="s">
        <v>90</v>
      </c>
      <c r="D78" s="386">
        <v>672</v>
      </c>
      <c r="E78" s="612">
        <f>'管材费 (PE)'!M16</f>
        <v>36.11</v>
      </c>
      <c r="F78" s="621">
        <f t="shared" si="4"/>
        <v>24265.92</v>
      </c>
      <c r="G78" s="386"/>
    </row>
    <row r="79" ht="21" customHeight="1" spans="1:7">
      <c r="A79" s="386"/>
      <c r="B79" s="386" t="s">
        <v>415</v>
      </c>
      <c r="C79" s="386" t="s">
        <v>90</v>
      </c>
      <c r="D79" s="386">
        <v>2437</v>
      </c>
      <c r="E79" s="612">
        <f>'管材费 (PE)'!M18</f>
        <v>55.88</v>
      </c>
      <c r="F79" s="621">
        <f t="shared" si="4"/>
        <v>136179.56</v>
      </c>
      <c r="G79" s="386"/>
    </row>
    <row r="80" ht="21" customHeight="1" spans="1:7">
      <c r="A80" s="386"/>
      <c r="B80" s="655" t="s">
        <v>416</v>
      </c>
      <c r="C80" s="655" t="s">
        <v>90</v>
      </c>
      <c r="D80" s="655">
        <v>650</v>
      </c>
      <c r="E80" s="656">
        <f>'管材费 (PE)'!N20</f>
        <v>109</v>
      </c>
      <c r="F80" s="657">
        <f t="shared" si="4"/>
        <v>70850</v>
      </c>
      <c r="G80" s="386"/>
    </row>
    <row r="81" ht="21" customHeight="1" spans="1:7">
      <c r="A81" s="386">
        <v>3.2</v>
      </c>
      <c r="B81" s="386" t="s">
        <v>417</v>
      </c>
      <c r="C81" s="386" t="s">
        <v>90</v>
      </c>
      <c r="D81" s="386">
        <f>D82+D83+D84+D85</f>
        <v>4120</v>
      </c>
      <c r="E81" s="612"/>
      <c r="F81" s="621">
        <f>SUM(F82:F85)</f>
        <v>20081.1</v>
      </c>
      <c r="G81" s="386"/>
    </row>
    <row r="82" ht="21" customHeight="1" spans="1:7">
      <c r="A82" s="386"/>
      <c r="B82" s="386" t="s">
        <v>418</v>
      </c>
      <c r="C82" s="386" t="s">
        <v>90</v>
      </c>
      <c r="D82" s="386">
        <f>D77</f>
        <v>361</v>
      </c>
      <c r="E82" s="612">
        <v>3.9</v>
      </c>
      <c r="F82" s="621">
        <f t="shared" si="4"/>
        <v>1407.9</v>
      </c>
      <c r="G82" s="386"/>
    </row>
    <row r="83" ht="21" customHeight="1" spans="1:7">
      <c r="A83" s="386"/>
      <c r="B83" s="386" t="s">
        <v>419</v>
      </c>
      <c r="C83" s="386" t="s">
        <v>90</v>
      </c>
      <c r="D83" s="386">
        <f>D78</f>
        <v>672</v>
      </c>
      <c r="E83" s="612">
        <f>E82</f>
        <v>3.9</v>
      </c>
      <c r="F83" s="621">
        <f t="shared" si="4"/>
        <v>2620.8</v>
      </c>
      <c r="G83" s="386"/>
    </row>
    <row r="84" ht="21" customHeight="1" spans="1:7">
      <c r="A84" s="386"/>
      <c r="B84" s="386" t="s">
        <v>420</v>
      </c>
      <c r="C84" s="386" t="s">
        <v>90</v>
      </c>
      <c r="D84" s="386">
        <f>D79</f>
        <v>2437</v>
      </c>
      <c r="E84" s="612">
        <v>5.2</v>
      </c>
      <c r="F84" s="621">
        <f t="shared" si="4"/>
        <v>12672.4</v>
      </c>
      <c r="G84" s="386"/>
    </row>
    <row r="85" ht="21" customHeight="1" spans="1:7">
      <c r="A85" s="386"/>
      <c r="B85" s="655" t="s">
        <v>421</v>
      </c>
      <c r="C85" s="655" t="s">
        <v>90</v>
      </c>
      <c r="D85" s="655">
        <v>650</v>
      </c>
      <c r="E85" s="656">
        <f>E84</f>
        <v>5.2</v>
      </c>
      <c r="F85" s="657">
        <f t="shared" si="4"/>
        <v>3380</v>
      </c>
      <c r="G85" s="386"/>
    </row>
    <row r="86" ht="21" customHeight="1" spans="1:7">
      <c r="A86" s="386">
        <v>3.3</v>
      </c>
      <c r="B86" s="386" t="s">
        <v>422</v>
      </c>
      <c r="C86" s="386" t="s">
        <v>423</v>
      </c>
      <c r="D86" s="386">
        <v>10</v>
      </c>
      <c r="E86" s="612">
        <f>F76</f>
        <v>237436.09</v>
      </c>
      <c r="F86" s="621">
        <f>D86*E86/100</f>
        <v>23743.609</v>
      </c>
      <c r="G86" s="386"/>
    </row>
    <row r="87" ht="21" customHeight="1" spans="1:7">
      <c r="A87" s="386">
        <v>3.4</v>
      </c>
      <c r="B87" s="386" t="s">
        <v>424</v>
      </c>
      <c r="C87" s="386" t="s">
        <v>90</v>
      </c>
      <c r="D87" s="386">
        <v>4351</v>
      </c>
      <c r="E87" s="612"/>
      <c r="F87" s="621">
        <f>F88+F89</f>
        <v>71682.2127398079</v>
      </c>
      <c r="G87" s="386"/>
    </row>
    <row r="88" ht="36" customHeight="1" spans="1:7">
      <c r="A88" s="386"/>
      <c r="B88" s="652" t="s">
        <v>425</v>
      </c>
      <c r="C88" s="386" t="s">
        <v>62</v>
      </c>
      <c r="D88" s="612">
        <v>8506.205</v>
      </c>
      <c r="E88" s="612">
        <f>单价汇总表!D5/100*0.05+单价汇总表!D6/100*0.95</f>
        <v>3.14609225004671</v>
      </c>
      <c r="F88" s="621">
        <f t="shared" si="4"/>
        <v>26761.3056278086</v>
      </c>
      <c r="G88" s="386"/>
    </row>
    <row r="89" ht="21" customHeight="1" spans="1:7">
      <c r="A89" s="386"/>
      <c r="B89" s="386" t="s">
        <v>426</v>
      </c>
      <c r="C89" s="386" t="s">
        <v>62</v>
      </c>
      <c r="D89" s="612">
        <v>8369.525667</v>
      </c>
      <c r="E89" s="612">
        <f>单价汇总表!D10/100*0.85</f>
        <v>5.36719867998217</v>
      </c>
      <c r="F89" s="621">
        <f t="shared" si="4"/>
        <v>44920.9071119993</v>
      </c>
      <c r="G89" s="386"/>
    </row>
    <row r="90" ht="21" customHeight="1" spans="1:7">
      <c r="A90" s="628">
        <v>4</v>
      </c>
      <c r="B90" s="628" t="s">
        <v>427</v>
      </c>
      <c r="C90" s="628" t="s">
        <v>74</v>
      </c>
      <c r="D90" s="628">
        <v>76</v>
      </c>
      <c r="E90" s="627"/>
      <c r="F90" s="631">
        <f>F91+F102+F112</f>
        <v>193850.011154769</v>
      </c>
      <c r="G90" s="628"/>
    </row>
    <row r="91" ht="21" customHeight="1" spans="1:7">
      <c r="A91" s="386">
        <v>4.1</v>
      </c>
      <c r="B91" s="386" t="s">
        <v>428</v>
      </c>
      <c r="C91" s="386" t="s">
        <v>74</v>
      </c>
      <c r="D91" s="386">
        <v>75</v>
      </c>
      <c r="E91" s="612">
        <f>F92</f>
        <v>2388.59345773799</v>
      </c>
      <c r="F91" s="621">
        <f>D91*E91</f>
        <v>179144.50933035</v>
      </c>
      <c r="G91" s="386"/>
    </row>
    <row r="92" ht="21" customHeight="1" spans="1:7">
      <c r="A92" s="386"/>
      <c r="B92" s="386" t="s">
        <v>429</v>
      </c>
      <c r="C92" s="386" t="s">
        <v>74</v>
      </c>
      <c r="D92" s="386">
        <v>1</v>
      </c>
      <c r="E92" s="612"/>
      <c r="F92" s="621">
        <f>SUM(F93:F101)</f>
        <v>2388.59345773799</v>
      </c>
      <c r="G92" s="386"/>
    </row>
    <row r="93" ht="21" customHeight="1" spans="1:7">
      <c r="A93" s="386"/>
      <c r="B93" s="386" t="s">
        <v>61</v>
      </c>
      <c r="C93" s="386" t="s">
        <v>62</v>
      </c>
      <c r="D93" s="386">
        <v>18.2</v>
      </c>
      <c r="E93" s="612">
        <f>E58</f>
        <v>5.75097154667093</v>
      </c>
      <c r="F93" s="621">
        <f t="shared" si="4"/>
        <v>104.667682149411</v>
      </c>
      <c r="G93" s="386"/>
    </row>
    <row r="94" ht="21" customHeight="1" spans="1:7">
      <c r="A94" s="386"/>
      <c r="B94" s="386" t="s">
        <v>63</v>
      </c>
      <c r="C94" s="386" t="s">
        <v>62</v>
      </c>
      <c r="D94" s="386">
        <v>15.3</v>
      </c>
      <c r="E94" s="612">
        <f>E59</f>
        <v>21.7295909758467</v>
      </c>
      <c r="F94" s="621">
        <f t="shared" si="4"/>
        <v>332.462741930455</v>
      </c>
      <c r="G94" s="386"/>
    </row>
    <row r="95" ht="36" customHeight="1" spans="1:7">
      <c r="A95" s="386"/>
      <c r="B95" s="652" t="s">
        <v>430</v>
      </c>
      <c r="C95" s="386" t="s">
        <v>62</v>
      </c>
      <c r="D95" s="386">
        <v>0.08</v>
      </c>
      <c r="E95" s="612">
        <f>E96</f>
        <v>997.251906602572</v>
      </c>
      <c r="F95" s="621">
        <f t="shared" si="4"/>
        <v>79.7801525282058</v>
      </c>
      <c r="G95" s="386"/>
    </row>
    <row r="96" ht="38" customHeight="1" spans="1:7">
      <c r="A96" s="386"/>
      <c r="B96" s="652" t="s">
        <v>431</v>
      </c>
      <c r="C96" s="386" t="s">
        <v>62</v>
      </c>
      <c r="D96" s="386">
        <v>0.08</v>
      </c>
      <c r="E96" s="612">
        <f>单价汇总表!D22/100+单价汇总表!D26/100</f>
        <v>997.251906602572</v>
      </c>
      <c r="F96" s="621">
        <f t="shared" si="4"/>
        <v>79.7801525282058</v>
      </c>
      <c r="G96" s="386"/>
    </row>
    <row r="97" ht="23" customHeight="1" spans="1:7">
      <c r="A97" s="386"/>
      <c r="B97" s="652" t="s">
        <v>432</v>
      </c>
      <c r="C97" s="386" t="s">
        <v>90</v>
      </c>
      <c r="D97" s="386">
        <v>3</v>
      </c>
      <c r="E97" s="612">
        <f>建筑工程单价分析表!F639/1000</f>
        <v>478.06706211309</v>
      </c>
      <c r="F97" s="621">
        <f t="shared" si="4"/>
        <v>1434.20118633927</v>
      </c>
      <c r="G97" s="386"/>
    </row>
    <row r="98" ht="21" customHeight="1" spans="1:7">
      <c r="A98" s="386"/>
      <c r="B98" s="386" t="s">
        <v>433</v>
      </c>
      <c r="C98" s="386" t="s">
        <v>62</v>
      </c>
      <c r="D98" s="386">
        <v>0.23</v>
      </c>
      <c r="E98" s="612">
        <f>E64</f>
        <v>113.466285835397</v>
      </c>
      <c r="F98" s="621">
        <f t="shared" si="4"/>
        <v>26.0972457421413</v>
      </c>
      <c r="G98" s="386"/>
    </row>
    <row r="99" ht="21" customHeight="1" spans="1:7">
      <c r="A99" s="386"/>
      <c r="B99" s="386" t="s">
        <v>68</v>
      </c>
      <c r="C99" s="386" t="s">
        <v>69</v>
      </c>
      <c r="D99" s="386">
        <v>0.04</v>
      </c>
      <c r="E99" s="612">
        <f>E111</f>
        <v>6220.99382408393</v>
      </c>
      <c r="F99" s="621">
        <f t="shared" ref="F99:F125" si="5">D99*E99</f>
        <v>248.839752963357</v>
      </c>
      <c r="G99" s="386"/>
    </row>
    <row r="100" ht="21" customHeight="1" spans="1:7">
      <c r="A100" s="386"/>
      <c r="B100" s="386" t="s">
        <v>434</v>
      </c>
      <c r="C100" s="386" t="s">
        <v>184</v>
      </c>
      <c r="D100" s="386">
        <v>0.48</v>
      </c>
      <c r="E100" s="612">
        <v>12.5</v>
      </c>
      <c r="F100" s="621">
        <f t="shared" si="5"/>
        <v>6</v>
      </c>
      <c r="G100" s="386"/>
    </row>
    <row r="101" ht="21" customHeight="1" spans="1:7">
      <c r="A101" s="386"/>
      <c r="B101" s="386" t="s">
        <v>435</v>
      </c>
      <c r="C101" s="386" t="s">
        <v>62</v>
      </c>
      <c r="D101" s="386">
        <v>0.54</v>
      </c>
      <c r="E101" s="612">
        <f>新定额单价!L113/100</f>
        <v>142.156562142498</v>
      </c>
      <c r="F101" s="621">
        <f t="shared" si="5"/>
        <v>76.7645435569489</v>
      </c>
      <c r="G101" s="386"/>
    </row>
    <row r="102" ht="21" customHeight="1" spans="1:7">
      <c r="A102" s="386">
        <v>4.2</v>
      </c>
      <c r="B102" s="386" t="s">
        <v>436</v>
      </c>
      <c r="C102" s="386" t="s">
        <v>74</v>
      </c>
      <c r="D102" s="386">
        <v>1</v>
      </c>
      <c r="E102" s="612">
        <f>F103</f>
        <v>14041.8851293671</v>
      </c>
      <c r="F102" s="621">
        <f t="shared" si="5"/>
        <v>14041.8851293671</v>
      </c>
      <c r="G102" s="386"/>
    </row>
    <row r="103" ht="21" customHeight="1" spans="1:7">
      <c r="A103" s="386"/>
      <c r="B103" s="386" t="s">
        <v>429</v>
      </c>
      <c r="C103" s="386" t="s">
        <v>74</v>
      </c>
      <c r="D103" s="386">
        <v>1</v>
      </c>
      <c r="E103" s="612"/>
      <c r="F103" s="621">
        <f>SUM(F104:F111)</f>
        <v>14041.8851293671</v>
      </c>
      <c r="G103" s="386"/>
    </row>
    <row r="104" ht="21" customHeight="1" spans="1:7">
      <c r="A104" s="386"/>
      <c r="B104" s="386" t="s">
        <v>61</v>
      </c>
      <c r="C104" s="386" t="s">
        <v>62</v>
      </c>
      <c r="D104" s="386">
        <v>18.2</v>
      </c>
      <c r="E104" s="612">
        <f>E93</f>
        <v>5.75097154667093</v>
      </c>
      <c r="F104" s="621">
        <f t="shared" si="5"/>
        <v>104.667682149411</v>
      </c>
      <c r="G104" s="386"/>
    </row>
    <row r="105" ht="21" customHeight="1" spans="1:7">
      <c r="A105" s="386"/>
      <c r="B105" s="386" t="s">
        <v>63</v>
      </c>
      <c r="C105" s="386" t="s">
        <v>62</v>
      </c>
      <c r="D105" s="386">
        <v>15.3</v>
      </c>
      <c r="E105" s="612">
        <f>E94</f>
        <v>21.7295909758467</v>
      </c>
      <c r="F105" s="621">
        <f t="shared" si="5"/>
        <v>332.462741930455</v>
      </c>
      <c r="G105" s="386"/>
    </row>
    <row r="106" ht="32" customHeight="1" spans="1:7">
      <c r="A106" s="386"/>
      <c r="B106" s="652" t="s">
        <v>430</v>
      </c>
      <c r="C106" s="386" t="s">
        <v>62</v>
      </c>
      <c r="D106" s="386">
        <v>0.44</v>
      </c>
      <c r="E106" s="612">
        <f>E95</f>
        <v>997.251906602572</v>
      </c>
      <c r="F106" s="621">
        <f t="shared" si="5"/>
        <v>438.790838905132</v>
      </c>
      <c r="G106" s="386"/>
    </row>
    <row r="107" ht="32" customHeight="1" spans="1:7">
      <c r="A107" s="386"/>
      <c r="B107" s="652" t="s">
        <v>431</v>
      </c>
      <c r="C107" s="386" t="s">
        <v>62</v>
      </c>
      <c r="D107" s="386">
        <v>0.34</v>
      </c>
      <c r="E107" s="612">
        <f>E96</f>
        <v>997.251906602572</v>
      </c>
      <c r="F107" s="621">
        <f t="shared" si="5"/>
        <v>339.065648244875</v>
      </c>
      <c r="G107" s="386"/>
    </row>
    <row r="108" ht="21" customHeight="1" spans="1:7">
      <c r="A108" s="386"/>
      <c r="B108" s="652" t="s">
        <v>437</v>
      </c>
      <c r="C108" s="386" t="s">
        <v>90</v>
      </c>
      <c r="D108" s="386">
        <v>6</v>
      </c>
      <c r="E108" s="612">
        <f>建筑工程单价分析表!F677/1000</f>
        <v>1880.94063880785</v>
      </c>
      <c r="F108" s="621">
        <f t="shared" si="5"/>
        <v>11285.6438328471</v>
      </c>
      <c r="G108" s="386"/>
    </row>
    <row r="109" ht="21" customHeight="1" spans="1:7">
      <c r="A109" s="386"/>
      <c r="B109" s="386" t="s">
        <v>148</v>
      </c>
      <c r="C109" s="386" t="s">
        <v>62</v>
      </c>
      <c r="D109" s="386">
        <v>0.63</v>
      </c>
      <c r="E109" s="612">
        <f>单价汇总表!D19/100</f>
        <v>491.881744284308</v>
      </c>
      <c r="F109" s="621">
        <f t="shared" si="5"/>
        <v>309.885498899114</v>
      </c>
      <c r="G109" s="386"/>
    </row>
    <row r="110" ht="21" customHeight="1" spans="1:7">
      <c r="A110" s="386"/>
      <c r="B110" s="386" t="s">
        <v>433</v>
      </c>
      <c r="C110" s="386" t="s">
        <v>62</v>
      </c>
      <c r="D110" s="386">
        <v>2.08</v>
      </c>
      <c r="E110" s="612">
        <f>E98</f>
        <v>113.466285835397</v>
      </c>
      <c r="F110" s="621">
        <f t="shared" si="5"/>
        <v>236.009874537626</v>
      </c>
      <c r="G110" s="386"/>
    </row>
    <row r="111" ht="21" customHeight="1" spans="1:7">
      <c r="A111" s="386"/>
      <c r="B111" s="386" t="s">
        <v>68</v>
      </c>
      <c r="C111" s="386" t="s">
        <v>69</v>
      </c>
      <c r="D111" s="386">
        <v>0.16</v>
      </c>
      <c r="E111" s="612">
        <f>单价汇总表!D14</f>
        <v>6220.99382408393</v>
      </c>
      <c r="F111" s="621">
        <f t="shared" si="5"/>
        <v>995.359011853429</v>
      </c>
      <c r="G111" s="386"/>
    </row>
    <row r="112" ht="21" customHeight="1" spans="1:7">
      <c r="A112" s="386">
        <v>4.3</v>
      </c>
      <c r="B112" s="386" t="s">
        <v>438</v>
      </c>
      <c r="C112" s="386" t="s">
        <v>74</v>
      </c>
      <c r="D112" s="386">
        <v>1</v>
      </c>
      <c r="E112" s="612">
        <f>F113</f>
        <v>663.616695051991</v>
      </c>
      <c r="F112" s="621">
        <f t="shared" si="5"/>
        <v>663.616695051991</v>
      </c>
      <c r="G112" s="386"/>
    </row>
    <row r="113" ht="21" customHeight="1" spans="1:7">
      <c r="A113" s="386"/>
      <c r="B113" s="386" t="s">
        <v>438</v>
      </c>
      <c r="C113" s="386" t="s">
        <v>74</v>
      </c>
      <c r="D113" s="386">
        <v>1</v>
      </c>
      <c r="E113" s="612"/>
      <c r="F113" s="621">
        <f>F114+F115+F117+F116</f>
        <v>663.616695051991</v>
      </c>
      <c r="G113" s="386"/>
    </row>
    <row r="114" ht="21" customHeight="1" spans="1:7">
      <c r="A114" s="386"/>
      <c r="B114" s="386" t="s">
        <v>61</v>
      </c>
      <c r="C114" s="386" t="s">
        <v>62</v>
      </c>
      <c r="D114" s="386">
        <v>2.2</v>
      </c>
      <c r="E114" s="612">
        <f>E104</f>
        <v>5.75097154667093</v>
      </c>
      <c r="F114" s="621">
        <f t="shared" si="5"/>
        <v>12.652137402676</v>
      </c>
      <c r="G114" s="386"/>
    </row>
    <row r="115" ht="21" customHeight="1" spans="1:7">
      <c r="A115" s="386"/>
      <c r="B115" s="386" t="s">
        <v>63</v>
      </c>
      <c r="C115" s="386" t="s">
        <v>62</v>
      </c>
      <c r="D115" s="386">
        <v>1.6</v>
      </c>
      <c r="E115" s="612">
        <f>E105</f>
        <v>21.7295909758467</v>
      </c>
      <c r="F115" s="621">
        <f t="shared" si="5"/>
        <v>34.7673455613547</v>
      </c>
      <c r="G115" s="386"/>
    </row>
    <row r="116" ht="21" customHeight="1" spans="1:7">
      <c r="A116" s="386"/>
      <c r="B116" s="386" t="s">
        <v>439</v>
      </c>
      <c r="C116" s="386" t="s">
        <v>62</v>
      </c>
      <c r="D116" s="386">
        <v>0.06</v>
      </c>
      <c r="E116" s="612">
        <f>E98</f>
        <v>113.466285835397</v>
      </c>
      <c r="F116" s="621">
        <f t="shared" si="5"/>
        <v>6.80797715012382</v>
      </c>
      <c r="G116" s="386"/>
    </row>
    <row r="117" ht="21" customHeight="1" spans="1:7">
      <c r="A117" s="386"/>
      <c r="B117" s="386" t="s">
        <v>440</v>
      </c>
      <c r="C117" s="386" t="s">
        <v>62</v>
      </c>
      <c r="D117" s="386">
        <v>1.08</v>
      </c>
      <c r="E117" s="612">
        <f>E48</f>
        <v>564.249291609108</v>
      </c>
      <c r="F117" s="621">
        <f t="shared" si="5"/>
        <v>609.389234937837</v>
      </c>
      <c r="G117" s="386"/>
    </row>
    <row r="118" ht="21" customHeight="1" spans="1:7">
      <c r="A118" s="386" t="s">
        <v>70</v>
      </c>
      <c r="B118" s="386" t="s">
        <v>441</v>
      </c>
      <c r="C118" s="386"/>
      <c r="D118" s="386"/>
      <c r="E118" s="612"/>
      <c r="F118" s="612">
        <f>F121+F122+F120+F119</f>
        <v>4787.10869445581</v>
      </c>
      <c r="G118" s="386"/>
    </row>
    <row r="119" ht="21" customHeight="1" spans="1:7">
      <c r="A119" s="386"/>
      <c r="B119" s="386" t="s">
        <v>61</v>
      </c>
      <c r="C119" s="386" t="s">
        <v>62</v>
      </c>
      <c r="D119" s="612">
        <f>2.4*2.4*2.2</f>
        <v>12.672</v>
      </c>
      <c r="E119" s="612">
        <f>E104</f>
        <v>5.75097154667093</v>
      </c>
      <c r="F119" s="612">
        <f>E119*D119</f>
        <v>72.876311439414</v>
      </c>
      <c r="G119" s="386"/>
    </row>
    <row r="120" ht="21" customHeight="1" spans="1:7">
      <c r="A120" s="386"/>
      <c r="B120" s="386" t="s">
        <v>63</v>
      </c>
      <c r="C120" s="386" t="s">
        <v>62</v>
      </c>
      <c r="D120" s="612">
        <f>D119*0.2</f>
        <v>2.5344</v>
      </c>
      <c r="E120" s="612">
        <f>E105</f>
        <v>21.7295909758467</v>
      </c>
      <c r="F120" s="612">
        <f>E120*D120</f>
        <v>55.071475369186</v>
      </c>
      <c r="G120" s="386"/>
    </row>
    <row r="121" ht="30" customHeight="1" spans="1:7">
      <c r="A121" s="386"/>
      <c r="B121" s="652" t="s">
        <v>430</v>
      </c>
      <c r="C121" s="386" t="s">
        <v>62</v>
      </c>
      <c r="D121" s="386">
        <f>2.4*2.4*0.2</f>
        <v>1.152</v>
      </c>
      <c r="E121" s="612">
        <f>E106</f>
        <v>997.251906602572</v>
      </c>
      <c r="F121" s="612">
        <f>E121*D121</f>
        <v>1148.83419640616</v>
      </c>
      <c r="G121" s="386"/>
    </row>
    <row r="122" ht="31" customHeight="1" spans="1:7">
      <c r="A122" s="386"/>
      <c r="B122" s="652" t="s">
        <v>442</v>
      </c>
      <c r="C122" s="386" t="s">
        <v>62</v>
      </c>
      <c r="D122" s="386">
        <f>2.4*2*0.2*2+2*2*0.2*2</f>
        <v>3.52</v>
      </c>
      <c r="E122" s="612">
        <f>E121</f>
        <v>997.251906602572</v>
      </c>
      <c r="F122" s="612">
        <f>E122*D122</f>
        <v>3510.32671124105</v>
      </c>
      <c r="G122" s="386"/>
    </row>
    <row r="123" ht="21" customHeight="1" spans="1:7">
      <c r="A123" s="628" t="s">
        <v>327</v>
      </c>
      <c r="B123" s="628" t="s">
        <v>443</v>
      </c>
      <c r="C123" s="628"/>
      <c r="D123" s="628"/>
      <c r="E123" s="627"/>
      <c r="F123" s="631">
        <f>F124</f>
        <v>410093.559948346</v>
      </c>
      <c r="G123" s="628"/>
    </row>
    <row r="124" ht="21" customHeight="1" spans="1:7">
      <c r="A124" s="386" t="s">
        <v>59</v>
      </c>
      <c r="B124" s="386" t="s">
        <v>444</v>
      </c>
      <c r="C124" s="386" t="s">
        <v>90</v>
      </c>
      <c r="D124" s="386">
        <v>12658</v>
      </c>
      <c r="E124" s="612"/>
      <c r="F124" s="621">
        <f>F126+F127+F125</f>
        <v>410093.559948346</v>
      </c>
      <c r="G124" s="386"/>
    </row>
    <row r="125" ht="21" customHeight="1" spans="1:7">
      <c r="A125" s="386"/>
      <c r="B125" s="386" t="s">
        <v>445</v>
      </c>
      <c r="C125" s="386" t="s">
        <v>62</v>
      </c>
      <c r="D125" s="386">
        <f>D126*0.1</f>
        <v>3383.4</v>
      </c>
      <c r="E125" s="612">
        <f>E131</f>
        <v>12.3309153919751</v>
      </c>
      <c r="F125" s="621">
        <f>D125*E125</f>
        <v>41720.4191372086</v>
      </c>
      <c r="G125" s="386"/>
    </row>
    <row r="126" ht="21" customHeight="1" spans="1:7">
      <c r="A126" s="386"/>
      <c r="B126" s="386" t="s">
        <v>446</v>
      </c>
      <c r="C126" s="386" t="s">
        <v>394</v>
      </c>
      <c r="D126" s="386">
        <v>33834</v>
      </c>
      <c r="E126" s="612">
        <f>单价汇总表!D17/1000</f>
        <v>3.81034712217639</v>
      </c>
      <c r="F126" s="621">
        <f>D126*E126</f>
        <v>128919.284531716</v>
      </c>
      <c r="G126" s="386"/>
    </row>
    <row r="127" ht="21" customHeight="1" spans="1:7">
      <c r="A127" s="386"/>
      <c r="B127" s="386" t="s">
        <v>447</v>
      </c>
      <c r="C127" s="386" t="s">
        <v>394</v>
      </c>
      <c r="D127" s="386">
        <v>13134</v>
      </c>
      <c r="E127" s="612">
        <f>单价汇总表!D15/1000</f>
        <v>18.2316016658612</v>
      </c>
      <c r="F127" s="621">
        <f>D127*E127</f>
        <v>239453.856279421</v>
      </c>
      <c r="G127" s="386"/>
    </row>
    <row r="128" ht="21" customHeight="1" spans="1:7">
      <c r="A128" s="628" t="s">
        <v>328</v>
      </c>
      <c r="B128" s="628" t="s">
        <v>448</v>
      </c>
      <c r="C128" s="628" t="s">
        <v>359</v>
      </c>
      <c r="D128" s="627">
        <v>133.055091274544</v>
      </c>
      <c r="E128" s="627"/>
      <c r="F128" s="631">
        <f>F129</f>
        <v>826953.359171561</v>
      </c>
      <c r="G128" s="628"/>
    </row>
    <row r="129" ht="21" customHeight="1" spans="1:7">
      <c r="A129" s="386" t="s">
        <v>59</v>
      </c>
      <c r="B129" s="386" t="s">
        <v>449</v>
      </c>
      <c r="C129" s="386" t="s">
        <v>394</v>
      </c>
      <c r="D129" s="612">
        <v>88703.8377</v>
      </c>
      <c r="E129" s="612"/>
      <c r="F129" s="621">
        <f>F130+F131</f>
        <v>826953.359171561</v>
      </c>
      <c r="G129" s="386"/>
    </row>
    <row r="130" ht="21" customHeight="1" spans="1:7">
      <c r="A130" s="386"/>
      <c r="B130" s="386" t="s">
        <v>450</v>
      </c>
      <c r="C130" s="386" t="s">
        <v>62</v>
      </c>
      <c r="D130" s="612">
        <v>44351.91885</v>
      </c>
      <c r="E130" s="612">
        <f>单价汇总表!D10/100</f>
        <v>6.31435138821432</v>
      </c>
      <c r="F130" s="621">
        <f>D130*E130</f>
        <v>280053.600360466</v>
      </c>
      <c r="G130" s="386"/>
    </row>
    <row r="131" ht="21" customHeight="1" spans="1:7">
      <c r="A131" s="386"/>
      <c r="B131" s="386" t="s">
        <v>451</v>
      </c>
      <c r="C131" s="386" t="s">
        <v>62</v>
      </c>
      <c r="D131" s="612">
        <f>D130</f>
        <v>44351.91885</v>
      </c>
      <c r="E131" s="612">
        <f>单价汇总表!D8/100</f>
        <v>12.3309153919751</v>
      </c>
      <c r="F131" s="621">
        <f>D131*E131</f>
        <v>546899.758811095</v>
      </c>
      <c r="G131" s="386"/>
    </row>
    <row r="132" ht="21" customHeight="1" spans="1:7">
      <c r="A132" s="628" t="s">
        <v>329</v>
      </c>
      <c r="B132" s="628" t="s">
        <v>452</v>
      </c>
      <c r="C132" s="628" t="s">
        <v>267</v>
      </c>
      <c r="D132" s="628">
        <v>26</v>
      </c>
      <c r="E132" s="631">
        <f>F132/D132</f>
        <v>3867.69230769231</v>
      </c>
      <c r="F132" s="631">
        <f>[214]Sheet2!$F$32</f>
        <v>100560</v>
      </c>
      <c r="G132" s="628"/>
    </row>
    <row r="133" ht="21" customHeight="1" spans="1:7">
      <c r="A133" s="393"/>
      <c r="B133" s="393"/>
      <c r="C133" s="393"/>
      <c r="D133" s="393"/>
      <c r="E133" s="612"/>
      <c r="F133" s="386"/>
      <c r="G133" s="386"/>
    </row>
    <row r="134" ht="21" customHeight="1" spans="1:7">
      <c r="A134" s="393"/>
      <c r="B134" s="393"/>
      <c r="C134" s="393"/>
      <c r="D134" s="393"/>
      <c r="E134" s="612"/>
      <c r="F134" s="386"/>
      <c r="G134" s="386"/>
    </row>
    <row r="135" ht="21" customHeight="1"/>
    <row r="136" ht="21" customHeight="1"/>
  </sheetData>
  <mergeCells count="2">
    <mergeCell ref="A1:G1"/>
    <mergeCell ref="A2:G2"/>
  </mergeCells>
  <pageMargins left="0.751388888888889" right="0.751388888888889" top="1" bottom="1" header="0.5" footer="0.5"/>
  <pageSetup paperSize="9" orientation="portrait" horizontalDpi="600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F0"/>
  </sheetPr>
  <dimension ref="A1:H35"/>
  <sheetViews>
    <sheetView zoomScale="85" zoomScaleNormal="85" workbookViewId="0">
      <selection activeCell="H28" sqref="A1:H28"/>
    </sheetView>
  </sheetViews>
  <sheetFormatPr defaultColWidth="9" defaultRowHeight="13.5" outlineLevelCol="7"/>
  <cols>
    <col min="1" max="1" width="7.05" style="622" customWidth="1"/>
    <col min="2" max="2" width="59.525" style="608" customWidth="1"/>
    <col min="3" max="16384" width="9" style="608"/>
  </cols>
  <sheetData>
    <row r="1" ht="30" customHeight="1" spans="1:8">
      <c r="A1" s="623" t="s">
        <v>453</v>
      </c>
      <c r="B1" s="623"/>
      <c r="C1" s="623"/>
      <c r="D1" s="623"/>
      <c r="E1" s="623"/>
      <c r="F1" s="623"/>
      <c r="G1" s="623"/>
      <c r="H1" s="623"/>
    </row>
    <row r="2" ht="22" customHeight="1" spans="1:8">
      <c r="A2" s="624" t="s">
        <v>50</v>
      </c>
      <c r="B2" s="625" t="s">
        <v>454</v>
      </c>
      <c r="C2" s="625" t="s">
        <v>52</v>
      </c>
      <c r="D2" s="625" t="s">
        <v>53</v>
      </c>
      <c r="E2" s="626" t="s">
        <v>455</v>
      </c>
      <c r="F2" s="626"/>
      <c r="G2" s="627" t="s">
        <v>456</v>
      </c>
      <c r="H2" s="627"/>
    </row>
    <row r="3" ht="22" customHeight="1" spans="1:8">
      <c r="A3" s="624"/>
      <c r="B3" s="625"/>
      <c r="C3" s="625"/>
      <c r="D3" s="625"/>
      <c r="E3" s="626" t="s">
        <v>123</v>
      </c>
      <c r="F3" s="626" t="s">
        <v>457</v>
      </c>
      <c r="G3" s="627" t="s">
        <v>123</v>
      </c>
      <c r="H3" s="627" t="s">
        <v>457</v>
      </c>
    </row>
    <row r="4" ht="25" customHeight="1" spans="1:8">
      <c r="A4" s="628"/>
      <c r="B4" s="629" t="s">
        <v>278</v>
      </c>
      <c r="C4" s="629"/>
      <c r="D4" s="629"/>
      <c r="E4" s="393"/>
      <c r="F4" s="630"/>
      <c r="G4" s="631">
        <f>G5+G21</f>
        <v>19659.5</v>
      </c>
      <c r="H4" s="631">
        <f>H5+H21+H28</f>
        <v>199175.2349</v>
      </c>
    </row>
    <row r="5" ht="25" customHeight="1" spans="1:8">
      <c r="A5" s="628">
        <v>1</v>
      </c>
      <c r="B5" s="629" t="s">
        <v>458</v>
      </c>
      <c r="C5" s="629" t="s">
        <v>74</v>
      </c>
      <c r="D5" s="629">
        <v>1</v>
      </c>
      <c r="E5" s="632"/>
      <c r="F5" s="633"/>
      <c r="G5" s="631">
        <f>SUM(G6:G20)</f>
        <v>5063</v>
      </c>
      <c r="H5" s="631">
        <f>SUM(H6:H20)</f>
        <v>50630</v>
      </c>
    </row>
    <row r="6" ht="25" customHeight="1" spans="1:8">
      <c r="A6" s="628"/>
      <c r="B6" s="393" t="s">
        <v>459</v>
      </c>
      <c r="C6" s="634" t="s">
        <v>90</v>
      </c>
      <c r="D6" s="634">
        <v>20</v>
      </c>
      <c r="E6" s="621">
        <f>F6*0.1</f>
        <v>2.6</v>
      </c>
      <c r="F6" s="386">
        <v>26</v>
      </c>
      <c r="G6" s="621">
        <f>E6*D6</f>
        <v>52</v>
      </c>
      <c r="H6" s="621">
        <f>F6*D6</f>
        <v>520</v>
      </c>
    </row>
    <row r="7" ht="25" customHeight="1" spans="1:8">
      <c r="A7" s="628"/>
      <c r="B7" s="393" t="s">
        <v>460</v>
      </c>
      <c r="C7" s="634" t="s">
        <v>90</v>
      </c>
      <c r="D7" s="634">
        <v>25</v>
      </c>
      <c r="E7" s="621">
        <f t="shared" ref="E7:E20" si="0">F7*0.1</f>
        <v>3.1</v>
      </c>
      <c r="F7" s="386">
        <v>31</v>
      </c>
      <c r="G7" s="621">
        <f t="shared" ref="G7:G20" si="1">E7*D7</f>
        <v>77.5</v>
      </c>
      <c r="H7" s="621">
        <f t="shared" ref="H7:H20" si="2">F7*D7</f>
        <v>775</v>
      </c>
    </row>
    <row r="8" ht="25" customHeight="1" spans="1:8">
      <c r="A8" s="628"/>
      <c r="B8" s="635" t="s">
        <v>461</v>
      </c>
      <c r="C8" s="634" t="s">
        <v>155</v>
      </c>
      <c r="D8" s="634">
        <v>1</v>
      </c>
      <c r="E8" s="621">
        <f t="shared" si="0"/>
        <v>2050</v>
      </c>
      <c r="F8" s="386">
        <v>20500</v>
      </c>
      <c r="G8" s="621">
        <f t="shared" si="1"/>
        <v>2050</v>
      </c>
      <c r="H8" s="621">
        <f t="shared" si="2"/>
        <v>20500</v>
      </c>
    </row>
    <row r="9" ht="25" customHeight="1" spans="1:8">
      <c r="A9" s="628"/>
      <c r="B9" s="393" t="s">
        <v>462</v>
      </c>
      <c r="C9" s="634" t="s">
        <v>155</v>
      </c>
      <c r="D9" s="634">
        <v>1</v>
      </c>
      <c r="E9" s="621">
        <f t="shared" si="0"/>
        <v>150</v>
      </c>
      <c r="F9" s="386">
        <v>1500</v>
      </c>
      <c r="G9" s="621">
        <f t="shared" si="1"/>
        <v>150</v>
      </c>
      <c r="H9" s="621">
        <f t="shared" si="2"/>
        <v>1500</v>
      </c>
    </row>
    <row r="10" ht="25" customHeight="1" spans="1:8">
      <c r="A10" s="628"/>
      <c r="B10" s="393" t="s">
        <v>463</v>
      </c>
      <c r="C10" s="634" t="s">
        <v>155</v>
      </c>
      <c r="D10" s="634">
        <v>1</v>
      </c>
      <c r="E10" s="621">
        <f t="shared" si="0"/>
        <v>265</v>
      </c>
      <c r="F10" s="386">
        <v>2650</v>
      </c>
      <c r="G10" s="621">
        <f t="shared" si="1"/>
        <v>265</v>
      </c>
      <c r="H10" s="621">
        <f t="shared" si="2"/>
        <v>2650</v>
      </c>
    </row>
    <row r="11" ht="25" customHeight="1" spans="1:8">
      <c r="A11" s="628"/>
      <c r="B11" s="393" t="s">
        <v>464</v>
      </c>
      <c r="C11" s="634" t="s">
        <v>465</v>
      </c>
      <c r="D11" s="634">
        <v>1</v>
      </c>
      <c r="E11" s="621">
        <f t="shared" si="0"/>
        <v>300</v>
      </c>
      <c r="F11" s="386">
        <v>3000</v>
      </c>
      <c r="G11" s="621">
        <f t="shared" si="1"/>
        <v>300</v>
      </c>
      <c r="H11" s="621">
        <f t="shared" si="2"/>
        <v>3000</v>
      </c>
    </row>
    <row r="12" ht="25" customHeight="1" spans="1:8">
      <c r="A12" s="628"/>
      <c r="B12" s="393" t="s">
        <v>466</v>
      </c>
      <c r="C12" s="634" t="s">
        <v>155</v>
      </c>
      <c r="D12" s="634">
        <v>1</v>
      </c>
      <c r="E12" s="621">
        <f t="shared" si="0"/>
        <v>400</v>
      </c>
      <c r="F12" s="386">
        <v>4000</v>
      </c>
      <c r="G12" s="621">
        <f t="shared" si="1"/>
        <v>400</v>
      </c>
      <c r="H12" s="621">
        <f t="shared" si="2"/>
        <v>4000</v>
      </c>
    </row>
    <row r="13" ht="25" customHeight="1" spans="1:8">
      <c r="A13" s="386"/>
      <c r="B13" s="393" t="s">
        <v>467</v>
      </c>
      <c r="C13" s="634" t="s">
        <v>155</v>
      </c>
      <c r="D13" s="634">
        <v>1</v>
      </c>
      <c r="E13" s="621">
        <f t="shared" si="0"/>
        <v>300</v>
      </c>
      <c r="F13" s="386">
        <v>3000</v>
      </c>
      <c r="G13" s="621">
        <f t="shared" si="1"/>
        <v>300</v>
      </c>
      <c r="H13" s="621">
        <f t="shared" si="2"/>
        <v>3000</v>
      </c>
    </row>
    <row r="14" ht="25" customHeight="1" spans="1:8">
      <c r="A14" s="386"/>
      <c r="B14" s="393" t="s">
        <v>468</v>
      </c>
      <c r="C14" s="634" t="s">
        <v>155</v>
      </c>
      <c r="D14" s="634">
        <v>1</v>
      </c>
      <c r="E14" s="621">
        <f t="shared" si="0"/>
        <v>200</v>
      </c>
      <c r="F14" s="386">
        <v>2000</v>
      </c>
      <c r="G14" s="621">
        <f t="shared" si="1"/>
        <v>200</v>
      </c>
      <c r="H14" s="621">
        <f t="shared" si="2"/>
        <v>2000</v>
      </c>
    </row>
    <row r="15" ht="25" customHeight="1" spans="1:8">
      <c r="A15" s="386"/>
      <c r="B15" s="393" t="s">
        <v>469</v>
      </c>
      <c r="C15" s="634" t="s">
        <v>155</v>
      </c>
      <c r="D15" s="634">
        <v>1</v>
      </c>
      <c r="E15" s="621">
        <f t="shared" si="0"/>
        <v>55</v>
      </c>
      <c r="F15" s="386">
        <v>550</v>
      </c>
      <c r="G15" s="621">
        <f t="shared" si="1"/>
        <v>55</v>
      </c>
      <c r="H15" s="621">
        <f t="shared" si="2"/>
        <v>550</v>
      </c>
    </row>
    <row r="16" ht="25" customHeight="1" spans="1:8">
      <c r="A16" s="386"/>
      <c r="B16" s="393" t="s">
        <v>470</v>
      </c>
      <c r="C16" s="634" t="s">
        <v>155</v>
      </c>
      <c r="D16" s="634">
        <v>1</v>
      </c>
      <c r="E16" s="621">
        <f t="shared" si="0"/>
        <v>43.5</v>
      </c>
      <c r="F16" s="386">
        <v>435</v>
      </c>
      <c r="G16" s="621">
        <f t="shared" si="1"/>
        <v>43.5</v>
      </c>
      <c r="H16" s="621">
        <f t="shared" si="2"/>
        <v>435</v>
      </c>
    </row>
    <row r="17" ht="25" customHeight="1" spans="1:8">
      <c r="A17" s="386"/>
      <c r="B17" s="393" t="s">
        <v>471</v>
      </c>
      <c r="C17" s="634" t="s">
        <v>155</v>
      </c>
      <c r="D17" s="634">
        <v>1</v>
      </c>
      <c r="E17" s="621">
        <f t="shared" si="0"/>
        <v>55</v>
      </c>
      <c r="F17" s="386">
        <v>550</v>
      </c>
      <c r="G17" s="621">
        <f t="shared" si="1"/>
        <v>55</v>
      </c>
      <c r="H17" s="621">
        <f t="shared" si="2"/>
        <v>550</v>
      </c>
    </row>
    <row r="18" ht="25" customHeight="1" spans="1:8">
      <c r="A18" s="386"/>
      <c r="B18" s="393" t="s">
        <v>472</v>
      </c>
      <c r="C18" s="634" t="s">
        <v>155</v>
      </c>
      <c r="D18" s="634">
        <v>1</v>
      </c>
      <c r="E18" s="621">
        <f t="shared" si="0"/>
        <v>100</v>
      </c>
      <c r="F18" s="386">
        <v>1000</v>
      </c>
      <c r="G18" s="621">
        <f t="shared" si="1"/>
        <v>100</v>
      </c>
      <c r="H18" s="621">
        <f t="shared" si="2"/>
        <v>1000</v>
      </c>
    </row>
    <row r="19" ht="25" customHeight="1" spans="1:8">
      <c r="A19" s="386"/>
      <c r="B19" s="393" t="s">
        <v>473</v>
      </c>
      <c r="C19" s="634" t="s">
        <v>155</v>
      </c>
      <c r="D19" s="634">
        <v>1</v>
      </c>
      <c r="E19" s="621">
        <f t="shared" si="0"/>
        <v>1000</v>
      </c>
      <c r="F19" s="636">
        <v>10000</v>
      </c>
      <c r="G19" s="621">
        <f t="shared" si="1"/>
        <v>1000</v>
      </c>
      <c r="H19" s="621">
        <f t="shared" si="2"/>
        <v>10000</v>
      </c>
    </row>
    <row r="20" ht="25" customHeight="1" spans="1:8">
      <c r="A20" s="386"/>
      <c r="B20" s="393" t="s">
        <v>474</v>
      </c>
      <c r="C20" s="634" t="s">
        <v>155</v>
      </c>
      <c r="D20" s="634">
        <v>1</v>
      </c>
      <c r="E20" s="621">
        <f t="shared" si="0"/>
        <v>15</v>
      </c>
      <c r="F20" s="636">
        <v>150</v>
      </c>
      <c r="G20" s="621">
        <f t="shared" si="1"/>
        <v>15</v>
      </c>
      <c r="H20" s="621">
        <f t="shared" si="2"/>
        <v>150</v>
      </c>
    </row>
    <row r="21" ht="25" customHeight="1" spans="1:8">
      <c r="A21" s="386">
        <v>2</v>
      </c>
      <c r="B21" s="393" t="s">
        <v>475</v>
      </c>
      <c r="C21" s="634"/>
      <c r="D21" s="634"/>
      <c r="E21" s="621"/>
      <c r="F21" s="636"/>
      <c r="G21" s="621">
        <f>SUM(G22:G27)</f>
        <v>14596.5</v>
      </c>
      <c r="H21" s="621">
        <f>SUM(H22:H27)</f>
        <v>135965</v>
      </c>
    </row>
    <row r="22" ht="25" customHeight="1" spans="1:8">
      <c r="A22" s="386"/>
      <c r="B22" s="393" t="s">
        <v>476</v>
      </c>
      <c r="C22" s="634" t="s">
        <v>155</v>
      </c>
      <c r="D22" s="634">
        <v>1</v>
      </c>
      <c r="E22" s="621">
        <f>F22*0.1</f>
        <v>3200</v>
      </c>
      <c r="F22" s="386">
        <v>32000</v>
      </c>
      <c r="G22" s="621">
        <f>E22*D22</f>
        <v>3200</v>
      </c>
      <c r="H22" s="621">
        <f>F22*D22</f>
        <v>32000</v>
      </c>
    </row>
    <row r="23" ht="25" customHeight="1" spans="1:8">
      <c r="A23" s="386"/>
      <c r="B23" s="393" t="s">
        <v>477</v>
      </c>
      <c r="C23" s="634" t="s">
        <v>465</v>
      </c>
      <c r="D23" s="634">
        <v>1</v>
      </c>
      <c r="E23" s="621">
        <f>F23*0.1</f>
        <v>320</v>
      </c>
      <c r="F23" s="386">
        <v>3200</v>
      </c>
      <c r="G23" s="621">
        <f>E23*D23</f>
        <v>320</v>
      </c>
      <c r="H23" s="621">
        <f t="shared" ref="H23:H27" si="3">D23*F23</f>
        <v>3200</v>
      </c>
    </row>
    <row r="24" ht="25" customHeight="1" spans="1:8">
      <c r="A24" s="386"/>
      <c r="B24" s="393" t="s">
        <v>478</v>
      </c>
      <c r="C24" s="634" t="s">
        <v>90</v>
      </c>
      <c r="D24" s="634">
        <v>50</v>
      </c>
      <c r="E24" s="621">
        <f>F24*0.1</f>
        <v>18</v>
      </c>
      <c r="F24" s="386">
        <v>180</v>
      </c>
      <c r="G24" s="621">
        <f t="shared" ref="G22:G27" si="4">E24*D24</f>
        <v>900</v>
      </c>
      <c r="H24" s="621">
        <f t="shared" si="3"/>
        <v>9000</v>
      </c>
    </row>
    <row r="25" ht="41" customHeight="1" spans="1:8">
      <c r="A25" s="386"/>
      <c r="B25" s="635" t="s">
        <v>479</v>
      </c>
      <c r="C25" s="634" t="s">
        <v>465</v>
      </c>
      <c r="D25" s="634">
        <v>1</v>
      </c>
      <c r="E25" s="621">
        <f>F25*0.1</f>
        <v>4600</v>
      </c>
      <c r="F25" s="386">
        <v>46000</v>
      </c>
      <c r="G25" s="621">
        <f t="shared" si="4"/>
        <v>4600</v>
      </c>
      <c r="H25" s="621">
        <f t="shared" si="3"/>
        <v>46000</v>
      </c>
    </row>
    <row r="26" ht="25" customHeight="1" spans="1:8">
      <c r="A26" s="386"/>
      <c r="B26" s="393" t="s">
        <v>480</v>
      </c>
      <c r="C26" s="634" t="s">
        <v>90</v>
      </c>
      <c r="D26" s="634">
        <v>50</v>
      </c>
      <c r="E26" s="621">
        <f>F26*0.1</f>
        <v>1.53</v>
      </c>
      <c r="F26" s="386">
        <v>15.3</v>
      </c>
      <c r="G26" s="621">
        <f t="shared" si="4"/>
        <v>76.5</v>
      </c>
      <c r="H26" s="621">
        <f t="shared" si="3"/>
        <v>765</v>
      </c>
    </row>
    <row r="27" ht="25" customHeight="1" spans="1:8">
      <c r="A27" s="386"/>
      <c r="B27" s="393" t="s">
        <v>481</v>
      </c>
      <c r="C27" s="621" t="s">
        <v>465</v>
      </c>
      <c r="D27" s="386">
        <v>1</v>
      </c>
      <c r="E27" s="621">
        <v>5500</v>
      </c>
      <c r="F27" s="621">
        <v>45000</v>
      </c>
      <c r="G27" s="634">
        <f t="shared" si="4"/>
        <v>5500</v>
      </c>
      <c r="H27" s="621">
        <f t="shared" si="3"/>
        <v>45000</v>
      </c>
    </row>
    <row r="28" ht="25" customHeight="1" spans="1:8">
      <c r="A28" s="637"/>
      <c r="B28" s="619" t="s">
        <v>482</v>
      </c>
      <c r="C28" s="386"/>
      <c r="D28" s="386"/>
      <c r="E28" s="620"/>
      <c r="F28" s="620"/>
      <c r="G28" s="621"/>
      <c r="H28" s="621">
        <f>(SUM(H6:H20)+SUM(H22:H27))*0.06742</f>
        <v>12580.2349</v>
      </c>
    </row>
    <row r="29" ht="25" customHeight="1"/>
    <row r="30" ht="25" customHeight="1"/>
    <row r="31" ht="25" customHeight="1"/>
    <row r="32" ht="25" customHeight="1"/>
    <row r="33" ht="25" customHeight="1"/>
    <row r="34" ht="25" customHeight="1"/>
    <row r="35" ht="25" customHeight="1"/>
  </sheetData>
  <mergeCells count="7">
    <mergeCell ref="A1:H1"/>
    <mergeCell ref="E2:F2"/>
    <mergeCell ref="G2:H2"/>
    <mergeCell ref="A2:A3"/>
    <mergeCell ref="B2:B3"/>
    <mergeCell ref="C2:C3"/>
    <mergeCell ref="D2:D3"/>
  </mergeCells>
  <pageMargins left="0.751388888888889" right="0.751388888888889" top="1" bottom="1" header="0.5" footer="0.5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宁夏水利水电勘测设计院</Company>
  <Application>Microsoft Excel</Application>
  <HeadingPairs>
    <vt:vector size="2" baseType="variant">
      <vt:variant>
        <vt:lpstr>工作表</vt:lpstr>
      </vt:variant>
      <vt:variant>
        <vt:i4>29</vt:i4>
      </vt:variant>
    </vt:vector>
  </HeadingPairs>
  <TitlesOfParts>
    <vt:vector size="29" baseType="lpstr">
      <vt:lpstr>管材费</vt:lpstr>
      <vt:lpstr>建筑概算核  (2)</vt:lpstr>
      <vt:lpstr>管材费 (PE)</vt:lpstr>
      <vt:lpstr>其他费用</vt:lpstr>
      <vt:lpstr>独立费用</vt:lpstr>
      <vt:lpstr>监理费</vt:lpstr>
      <vt:lpstr>总概算核</vt:lpstr>
      <vt:lpstr>建筑工程概算表</vt:lpstr>
      <vt:lpstr>机电设备及安装工程</vt:lpstr>
      <vt:lpstr>金属结构及安装工程</vt:lpstr>
      <vt:lpstr>设计费</vt:lpstr>
      <vt:lpstr>建筑工程估算表</vt:lpstr>
      <vt:lpstr>水土保持</vt:lpstr>
      <vt:lpstr>环境保护投资</vt:lpstr>
      <vt:lpstr>单价汇总表</vt:lpstr>
      <vt:lpstr>绿化单价汇总 </vt:lpstr>
      <vt:lpstr>绿化定额</vt:lpstr>
      <vt:lpstr>材料预算价</vt:lpstr>
      <vt:lpstr>绿化主材价格表</vt:lpstr>
      <vt:lpstr>配合比</vt:lpstr>
      <vt:lpstr>新定额单价</vt:lpstr>
      <vt:lpstr>台时</vt:lpstr>
      <vt:lpstr>建筑工程单价分析表</vt:lpstr>
      <vt:lpstr>工程量汇总表</vt:lpstr>
      <vt:lpstr>管道安装</vt:lpstr>
      <vt:lpstr>材料分析</vt:lpstr>
      <vt:lpstr>取费表</vt:lpstr>
      <vt:lpstr>基础材料表</vt:lpstr>
      <vt:lpstr>管材价格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Administrator</cp:lastModifiedBy>
  <cp:revision>1</cp:revision>
  <dcterms:created xsi:type="dcterms:W3CDTF">2000-11-22T01:55:00Z</dcterms:created>
  <cp:lastPrinted>2019-07-29T03:44:00Z</cp:lastPrinted>
  <dcterms:modified xsi:type="dcterms:W3CDTF">2024-03-20T03:36:30Z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2052-12.1.0.16388</vt:lpwstr>
  </property>
  <property fmtid="{D5CDD505-2E9C-101B-9397-08002B2CF9AE}" pid="3" name="ICV">
    <vt:lpwstr>4191916CE7664B76B9C9861A871CB109_13</vt:lpwstr>
  </property>
  <property fmtid="{D5CDD505-2E9C-101B-9397-08002B2CF9AE}" pid="4" name="KSOReadingLayout">
    <vt:bool>false</vt:bool>
  </property>
</Properties>
</file>