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 tabRatio="590" firstSheet="1"/>
  </bookViews>
  <sheets>
    <sheet name="概算表  " sheetId="10" r:id="rId1"/>
  </sheets>
  <definedNames>
    <definedName name="_xlnm.Print_Area" localSheetId="0">'概算表  '!$A$1:$K$44</definedName>
    <definedName name="_xlnm.Print_Titles" localSheetId="0">'概算表 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<sst xmlns="http://schemas.openxmlformats.org/spreadsheetml/2006/main" count="126" uniqueCount="73">
  <si>
    <t>平罗县城关镇2026年渠道砌护及农村基础设施提升改造以工代赈项目概算表</t>
  </si>
  <si>
    <t>序号</t>
  </si>
  <si>
    <t>工程或费用名称</t>
  </si>
  <si>
    <t xml:space="preserve">  概  算  金  额（万元）</t>
  </si>
  <si>
    <t>技术经济指标（元）</t>
  </si>
  <si>
    <t>占总投资比例</t>
  </si>
  <si>
    <t>其中：劳务报酬金额（万元）</t>
  </si>
  <si>
    <r>
      <rPr>
        <b/>
        <sz val="11"/>
        <color rgb="FF000000"/>
        <rFont val="宋体"/>
        <charset val="134"/>
      </rPr>
      <t>劳务报酬占申报中央资金比例（</t>
    </r>
    <r>
      <rPr>
        <b/>
        <sz val="11"/>
        <color indexed="8"/>
        <rFont val="Times New Roman"/>
        <charset val="0"/>
      </rPr>
      <t>%</t>
    </r>
    <r>
      <rPr>
        <b/>
        <sz val="11"/>
        <color rgb="FF000000"/>
        <rFont val="宋体"/>
        <charset val="134"/>
      </rPr>
      <t>）</t>
    </r>
  </si>
  <si>
    <t>人工费用</t>
  </si>
  <si>
    <t>机械费用</t>
  </si>
  <si>
    <t>使用资金类别</t>
  </si>
  <si>
    <t>土建工程费</t>
  </si>
  <si>
    <t>安装工程费</t>
  </si>
  <si>
    <t>设备购置费</t>
  </si>
  <si>
    <t>其它费用</t>
  </si>
  <si>
    <t>合计</t>
  </si>
  <si>
    <t>单位</t>
  </si>
  <si>
    <t>数量</t>
  </si>
  <si>
    <t>指标</t>
  </si>
  <si>
    <t>一、</t>
  </si>
  <si>
    <t>建筑工程费用</t>
  </si>
  <si>
    <t>（一）</t>
  </si>
  <si>
    <t>小兴墩村</t>
  </si>
  <si>
    <t>道路维修（沥青道路）</t>
  </si>
  <si>
    <t>㎡</t>
  </si>
  <si>
    <t>申请中央预算内以工代赈资金</t>
  </si>
  <si>
    <t>道路硬化</t>
  </si>
  <si>
    <t>农渠砌护（D=0.3m）</t>
  </si>
  <si>
    <t>m</t>
  </si>
  <si>
    <t>PGZ0.6*0.6铸铁闸门</t>
  </si>
  <si>
    <t>座</t>
  </si>
  <si>
    <t>畦田口</t>
  </si>
  <si>
    <t>（二）</t>
  </si>
  <si>
    <t>三闸村</t>
  </si>
  <si>
    <t>支渠砌护改造（D=1.8m）</t>
  </si>
  <si>
    <t>申请中央财政衔接以工代赈投资专项资金</t>
  </si>
  <si>
    <t>支渠砌护改造（D=1.6m）</t>
  </si>
  <si>
    <t>支渠砌护改造（D=1.2m）</t>
  </si>
  <si>
    <t>PGZ1.5*2.0铸铁闸门</t>
  </si>
  <si>
    <t>PGZ1.0*1.2铸铁闸门</t>
  </si>
  <si>
    <t>2.5*3.0m板桥</t>
  </si>
  <si>
    <t>2.5*9.0m板桥</t>
  </si>
  <si>
    <t>1.0*2.5m管桥</t>
  </si>
  <si>
    <t>（三）</t>
  </si>
  <si>
    <t>新民村</t>
  </si>
  <si>
    <t>支渠砌护改造（D=0.8m）</t>
  </si>
  <si>
    <t>PGZ0.8*1.0铸铁闸门</t>
  </si>
  <si>
    <t>1.2*4m生产板桥</t>
  </si>
  <si>
    <t>0.6*3m过沟管涵</t>
  </si>
  <si>
    <t>0.6*4m过沟管涵</t>
  </si>
  <si>
    <t>0.6*5m过沟管涵</t>
  </si>
  <si>
    <t>（四）</t>
  </si>
  <si>
    <t>和平村</t>
  </si>
  <si>
    <t>混凝土护渠改造</t>
  </si>
  <si>
    <t>沟渠清淤</t>
  </si>
  <si>
    <t>小计</t>
  </si>
  <si>
    <t>二、</t>
  </si>
  <si>
    <t>工程建设其它费用</t>
  </si>
  <si>
    <t>万元</t>
  </si>
  <si>
    <t>工程监理费</t>
  </si>
  <si>
    <t>编制工程量清单及控制价费</t>
  </si>
  <si>
    <t>决算费</t>
  </si>
  <si>
    <t>设计费</t>
  </si>
  <si>
    <t>测量费</t>
  </si>
  <si>
    <t>勘察费</t>
  </si>
  <si>
    <t>质量检测费</t>
  </si>
  <si>
    <t>环境评价</t>
  </si>
  <si>
    <t>三</t>
  </si>
  <si>
    <t>预备费</t>
  </si>
  <si>
    <t>四</t>
  </si>
  <si>
    <t>项目总投资</t>
  </si>
  <si>
    <t>五</t>
  </si>
  <si>
    <t>投资比(%)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</si>
</sst>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  <numFmt numFmtId="180" formatCode="0.00_);[Red]\(0.00\)"/>
    <numFmt numFmtId="181" formatCode="0_);[Red]\(0\)"/>
    <numFmt numFmtId="182" formatCode="0.0000_);[Red]\(0.0000\)"/>
    <numFmt numFmtId="183" formatCode="0.00_ "/>
  </numFmts>
  <fonts count="29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6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0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2">
    <xf numFmtId="0" fontId="0" fillId="0" borderId="0" xfId="0"/>
    <xf numFmtId="180" fontId="0" fillId="0" borderId="0" xfId="0" applyNumberFormat="1" applyFont="1" applyBorder="1" applyAlignment="1">
      <alignment vertical="center"/>
    </xf>
    <xf numFmtId="180" fontId="1" fillId="0" borderId="0" xfId="0" applyNumberFormat="1" applyFont="1" applyBorder="1"/>
    <xf numFmtId="180" fontId="1" fillId="0" borderId="0" xfId="0" applyNumberFormat="1" applyFont="1"/>
    <xf numFmtId="181" fontId="2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right"/>
    </xf>
    <xf numFmtId="181" fontId="2" fillId="0" borderId="0" xfId="0" applyNumberFormat="1" applyFont="1" applyAlignment="1">
      <alignment horizontal="right"/>
    </xf>
    <xf numFmtId="182" fontId="2" fillId="0" borderId="0" xfId="0" applyNumberFormat="1" applyFont="1" applyAlignment="1">
      <alignment horizontal="right"/>
    </xf>
    <xf numFmtId="183" fontId="2" fillId="2" borderId="0" xfId="0" applyNumberFormat="1" applyFont="1" applyFill="1"/>
    <xf numFmtId="180" fontId="2" fillId="0" borderId="0" xfId="0" applyNumberFormat="1" applyFont="1"/>
    <xf numFmtId="183" fontId="2" fillId="0" borderId="0" xfId="0" applyNumberFormat="1" applyFont="1"/>
    <xf numFmtId="180" fontId="2" fillId="0" borderId="0" xfId="0" applyNumberFormat="1" applyFont="1" applyAlignment="1">
      <alignment wrapText="1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vertical="center"/>
    </xf>
    <xf numFmtId="181" fontId="3" fillId="0" borderId="5" xfId="0" applyNumberFormat="1" applyFont="1" applyFill="1" applyBorder="1" applyAlignment="1">
      <alignment vertical="center"/>
    </xf>
    <xf numFmtId="181" fontId="4" fillId="0" borderId="4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80" fontId="6" fillId="0" borderId="5" xfId="0" applyNumberFormat="1" applyFont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0" fontId="0" fillId="0" borderId="4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81" fontId="8" fillId="0" borderId="4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vertical="center" wrapText="1"/>
    </xf>
    <xf numFmtId="181" fontId="0" fillId="0" borderId="4" xfId="0" applyNumberFormat="1" applyFon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180" fontId="0" fillId="0" borderId="4" xfId="0" applyNumberFormat="1" applyFont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3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Border="1"/>
    <xf numFmtId="10" fontId="0" fillId="0" borderId="4" xfId="0" applyNumberFormat="1" applyFill="1" applyBorder="1" applyAlignment="1">
      <alignment horizontal="center" vertical="center"/>
    </xf>
    <xf numFmtId="180" fontId="2" fillId="0" borderId="4" xfId="0" applyNumberFormat="1" applyFont="1" applyFill="1" applyBorder="1"/>
    <xf numFmtId="180" fontId="0" fillId="0" borderId="1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10" fontId="0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/>
    <xf numFmtId="180" fontId="0" fillId="0" borderId="7" xfId="0" applyNumberFormat="1" applyFont="1" applyFill="1" applyBorder="1" applyAlignment="1">
      <alignment vertical="center" wrapText="1"/>
    </xf>
    <xf numFmtId="181" fontId="2" fillId="0" borderId="0" xfId="0" applyNumberFormat="1" applyFont="1" applyBorder="1" applyAlignment="1">
      <alignment horizontal="center"/>
    </xf>
    <xf numFmtId="180" fontId="2" fillId="0" borderId="0" xfId="0" applyNumberFormat="1" applyFont="1" applyBorder="1" applyAlignment="1">
      <alignment horizontal="center"/>
    </xf>
    <xf numFmtId="180" fontId="2" fillId="0" borderId="0" xfId="0" applyNumberFormat="1" applyFont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182" fontId="2" fillId="0" borderId="0" xfId="0" applyNumberFormat="1" applyFont="1" applyBorder="1" applyAlignment="1">
      <alignment horizontal="right"/>
    </xf>
    <xf numFmtId="180" fontId="9" fillId="0" borderId="0" xfId="0" applyNumberFormat="1" applyFont="1" applyAlignment="1">
      <alignment wrapText="1"/>
    </xf>
    <xf numFmtId="10" fontId="2" fillId="0" borderId="0" xfId="0" applyNumberFormat="1" applyFont="1"/>
    <xf numFmtId="183" fontId="2" fillId="2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abSelected="1" zoomScale="70" zoomScaleNormal="70" zoomScaleSheetLayoutView="60" workbookViewId="0">
      <pane xSplit="4" ySplit="2" topLeftCell="E11" activePane="bottomRight" state="frozen"/>
      <selection/>
      <selection pane="topRight"/>
      <selection pane="bottomLeft"/>
      <selection pane="bottomRight" activeCell="M41" sqref="M41"/>
    </sheetView>
  </sheetViews>
  <sheetFormatPr defaultColWidth="9" defaultRowHeight="21" customHeight="1"/>
  <cols>
    <col min="1" max="1" width="8.23333333333333" style="4" customWidth="1"/>
    <col min="2" max="2" width="9.55" style="5" customWidth="1"/>
    <col min="3" max="3" width="18.225" style="5" customWidth="1"/>
    <col min="4" max="4" width="12.3" style="6" customWidth="1"/>
    <col min="5" max="5" width="13.0333333333333" style="7" customWidth="1"/>
    <col min="6" max="6" width="11.4" style="8" customWidth="1"/>
    <col min="7" max="7" width="9.5" style="6" customWidth="1"/>
    <col min="8" max="8" width="11.425" style="9" customWidth="1"/>
    <col min="9" max="9" width="10.4166666666667" style="5" customWidth="1"/>
    <col min="10" max="10" width="12.9333333333333" style="10" customWidth="1"/>
    <col min="11" max="11" width="11.8" style="11" customWidth="1"/>
    <col min="12" max="12" width="14.2833333333333" style="10" customWidth="1"/>
    <col min="13" max="13" width="11.8" style="10" customWidth="1"/>
    <col min="14" max="16" width="12.8" style="10" customWidth="1"/>
    <col min="17" max="17" width="20.2083333333333" style="12" customWidth="1"/>
    <col min="18" max="18" width="11.625" style="10"/>
    <col min="19" max="19" width="16.4583333333333" style="10" customWidth="1"/>
    <col min="20" max="20" width="10.375" style="10"/>
    <col min="21" max="21" width="15.875" style="10" customWidth="1"/>
    <col min="22" max="255" width="9" style="10"/>
  </cols>
  <sheetData>
    <row r="1" ht="30.75" customHeight="1" spans="1:19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6"/>
      <c r="P1" s="16"/>
      <c r="Q1" s="17"/>
    </row>
    <row r="2" ht="21.75" customHeight="1" spans="1:19">
      <c r="A2" s="18" t="s">
        <v>1</v>
      </c>
      <c r="B2" s="19" t="s">
        <v>2</v>
      </c>
      <c r="C2" s="19"/>
      <c r="D2" s="20" t="s">
        <v>3</v>
      </c>
      <c r="E2" s="20"/>
      <c r="F2" s="20"/>
      <c r="G2" s="20"/>
      <c r="H2" s="21"/>
      <c r="I2" s="20" t="s">
        <v>4</v>
      </c>
      <c r="J2" s="20"/>
      <c r="K2" s="21"/>
      <c r="L2" s="22" t="s">
        <v>5</v>
      </c>
      <c r="M2" s="22" t="s">
        <v>6</v>
      </c>
      <c r="N2" s="22" t="s">
        <v>7</v>
      </c>
      <c r="O2" s="22" t="s">
        <v>8</v>
      </c>
      <c r="P2" s="22" t="s">
        <v>9</v>
      </c>
      <c r="Q2" s="23" t="s">
        <v>10</v>
      </c>
    </row>
    <row r="3" s="1" customFormat="1" ht="39" customHeight="1" spans="1:19">
      <c r="A3" s="18"/>
      <c r="B3" s="19"/>
      <c r="C3" s="19"/>
      <c r="D3" s="24" t="s">
        <v>11</v>
      </c>
      <c r="E3" s="24" t="s">
        <v>12</v>
      </c>
      <c r="F3" s="24" t="s">
        <v>13</v>
      </c>
      <c r="G3" s="24" t="s">
        <v>14</v>
      </c>
      <c r="H3" s="21" t="s">
        <v>15</v>
      </c>
      <c r="I3" s="20" t="s">
        <v>16</v>
      </c>
      <c r="J3" s="20" t="s">
        <v>17</v>
      </c>
      <c r="K3" s="21" t="s">
        <v>18</v>
      </c>
      <c r="L3" s="22"/>
      <c r="M3" s="22"/>
      <c r="N3" s="22"/>
      <c r="O3" s="22"/>
      <c r="P3" s="22"/>
      <c r="Q3" s="25"/>
    </row>
    <row r="4" s="2" customFormat="1" ht="21.75" customHeight="1" spans="1:19">
      <c r="A4" s="26" t="s">
        <v>19</v>
      </c>
      <c r="B4" s="27" t="s">
        <v>20</v>
      </c>
      <c r="C4" s="27"/>
      <c r="D4" s="27">
        <f>D5+D11+D21+D29</f>
        <v>446.83064154</v>
      </c>
      <c r="E4" s="27">
        <f>SUM(E6:E7)</f>
        <v>0</v>
      </c>
      <c r="F4" s="27">
        <f>SUM(F6:F9)</f>
        <v>0</v>
      </c>
      <c r="G4" s="27">
        <f>SUM(G6:G7)</f>
        <v>0</v>
      </c>
      <c r="H4" s="27">
        <f>SUM(D4:G4)</f>
        <v>446.83064154</v>
      </c>
      <c r="I4" s="28"/>
      <c r="J4" s="28"/>
      <c r="K4" s="29"/>
      <c r="L4" s="27">
        <f>H4/H43*100</f>
        <v>88.6642727313029</v>
      </c>
      <c r="M4" s="27">
        <f>H45*0.51</f>
        <v>204</v>
      </c>
      <c r="N4" s="27">
        <v>51</v>
      </c>
      <c r="O4" s="27">
        <f>SUM(O6:O31)</f>
        <v>111.707660385</v>
      </c>
      <c r="P4" s="27">
        <f>SUM(P6:P31)</f>
        <v>67.024596231</v>
      </c>
      <c r="Q4" s="27"/>
    </row>
    <row r="5" s="3" customFormat="1" ht="21.75" customHeight="1" spans="1:19">
      <c r="A5" s="30" t="s">
        <v>21</v>
      </c>
      <c r="B5" s="31" t="s">
        <v>22</v>
      </c>
      <c r="C5" s="32"/>
      <c r="D5" s="27">
        <f>SUM(D6:D10)</f>
        <v>133.090211</v>
      </c>
      <c r="E5" s="27"/>
      <c r="F5" s="27"/>
      <c r="G5" s="27"/>
      <c r="H5" s="27">
        <f>D5</f>
        <v>133.090211</v>
      </c>
      <c r="I5" s="28"/>
      <c r="J5" s="28"/>
      <c r="K5" s="29"/>
      <c r="L5" s="27"/>
      <c r="M5" s="27"/>
      <c r="N5" s="27"/>
      <c r="O5" s="27"/>
      <c r="P5" s="27"/>
      <c r="Q5" s="33"/>
    </row>
    <row r="6" customFormat="1" ht="20" customHeight="1" spans="1:19">
      <c r="A6" s="34">
        <v>1</v>
      </c>
      <c r="B6" s="28" t="s">
        <v>23</v>
      </c>
      <c r="C6" s="28"/>
      <c r="D6" s="28">
        <f>J6*K6/10000</f>
        <v>18.063248</v>
      </c>
      <c r="E6" s="27"/>
      <c r="F6" s="27"/>
      <c r="G6" s="27"/>
      <c r="H6" s="29">
        <f>D6</f>
        <v>18.063248</v>
      </c>
      <c r="I6" s="28" t="s">
        <v>24</v>
      </c>
      <c r="J6" s="28">
        <f>179*7</f>
        <v>1253</v>
      </c>
      <c r="K6" s="29">
        <v>144.16</v>
      </c>
      <c r="L6" s="28">
        <f>H6/H43*100</f>
        <v>3.58427690089779</v>
      </c>
      <c r="M6" s="28">
        <f>H6/446.83*400*0.51</f>
        <v>8.24676631381062</v>
      </c>
      <c r="N6" s="28">
        <f>M6/400*100</f>
        <v>2.06169157845266</v>
      </c>
      <c r="O6" s="28">
        <f>H6*0.25</f>
        <v>4.515812</v>
      </c>
      <c r="P6" s="28">
        <f>H6*0.15</f>
        <v>2.7094872</v>
      </c>
      <c r="Q6" s="33" t="s">
        <v>25</v>
      </c>
      <c r="R6" s="10"/>
      <c r="S6" s="10"/>
    </row>
    <row r="7" customFormat="1" ht="19.95" customHeight="1" spans="1:19">
      <c r="A7" s="34">
        <v>2</v>
      </c>
      <c r="B7" s="28" t="s">
        <v>26</v>
      </c>
      <c r="C7" s="28"/>
      <c r="D7" s="28">
        <f>J7*K7/10000</f>
        <v>80.64261</v>
      </c>
      <c r="E7" s="27"/>
      <c r="F7" s="27"/>
      <c r="G7" s="27"/>
      <c r="H7" s="29">
        <f t="shared" ref="H7:H31" si="0">D7</f>
        <v>80.64261</v>
      </c>
      <c r="I7" s="28" t="s">
        <v>24</v>
      </c>
      <c r="J7" s="28">
        <f>1161*4+437*3</f>
        <v>5955</v>
      </c>
      <c r="K7" s="29">
        <v>135.42</v>
      </c>
      <c r="L7" s="28">
        <f>H7/H43*100</f>
        <v>16.0018532797152</v>
      </c>
      <c r="M7" s="28">
        <f>H7/446.83*400*0.51</f>
        <v>36.8173409126513</v>
      </c>
      <c r="N7" s="28">
        <f>M7/400*100</f>
        <v>9.20433522816284</v>
      </c>
      <c r="O7" s="28">
        <f>H7*0.25</f>
        <v>20.1606525</v>
      </c>
      <c r="P7" s="28">
        <f>H7*0.15</f>
        <v>12.0963915</v>
      </c>
      <c r="Q7" s="33" t="s">
        <v>25</v>
      </c>
      <c r="R7" s="10"/>
      <c r="S7" s="10"/>
    </row>
    <row r="8" customFormat="1" ht="19.95" customHeight="1" spans="1:19">
      <c r="A8" s="34">
        <v>3</v>
      </c>
      <c r="B8" s="28" t="s">
        <v>27</v>
      </c>
      <c r="C8" s="28"/>
      <c r="D8" s="28">
        <f>J8*K8/10000</f>
        <v>30.024291</v>
      </c>
      <c r="E8" s="35"/>
      <c r="F8" s="28"/>
      <c r="G8" s="28"/>
      <c r="H8" s="29">
        <f t="shared" si="0"/>
        <v>30.024291</v>
      </c>
      <c r="I8" s="36" t="s">
        <v>28</v>
      </c>
      <c r="J8" s="28">
        <f>934+1443+271+265</f>
        <v>2913</v>
      </c>
      <c r="K8" s="29">
        <v>103.07</v>
      </c>
      <c r="L8" s="28">
        <f>H8/H43*100</f>
        <v>5.95769779040477</v>
      </c>
      <c r="M8" s="28">
        <f>H8/446.83*400*0.51</f>
        <v>13.7075741646711</v>
      </c>
      <c r="N8" s="28">
        <f>M8/400*100</f>
        <v>3.42689354116778</v>
      </c>
      <c r="O8" s="28">
        <f>H8*0.25</f>
        <v>7.50607275</v>
      </c>
      <c r="P8" s="28">
        <f>H8*0.15</f>
        <v>4.50364365</v>
      </c>
      <c r="Q8" s="33" t="s">
        <v>25</v>
      </c>
      <c r="R8" s="10"/>
      <c r="S8" s="10"/>
    </row>
    <row r="9" customFormat="1" ht="19.95" customHeight="1" spans="1:19">
      <c r="A9" s="34">
        <v>4</v>
      </c>
      <c r="B9" s="28" t="s">
        <v>29</v>
      </c>
      <c r="C9" s="28"/>
      <c r="D9" s="28">
        <f>J9*K9/10000</f>
        <v>3.008904</v>
      </c>
      <c r="E9" s="35"/>
      <c r="F9" s="28"/>
      <c r="G9" s="28"/>
      <c r="H9" s="29">
        <f t="shared" si="0"/>
        <v>3.008904</v>
      </c>
      <c r="I9" s="36" t="s">
        <v>30</v>
      </c>
      <c r="J9" s="28">
        <v>12</v>
      </c>
      <c r="K9" s="29">
        <v>2507.42</v>
      </c>
      <c r="L9" s="28">
        <f>H9/H43*100</f>
        <v>0.597054588644244</v>
      </c>
      <c r="M9" s="28">
        <f>H9/446.83*400*0.51</f>
        <v>1.37371352863505</v>
      </c>
      <c r="N9" s="28">
        <f>M9/400*100</f>
        <v>0.343428382158763</v>
      </c>
      <c r="O9" s="28">
        <f>H9*0.25</f>
        <v>0.752226</v>
      </c>
      <c r="P9" s="28">
        <f>H9*0.15</f>
        <v>0.4513356</v>
      </c>
      <c r="Q9" s="33" t="s">
        <v>25</v>
      </c>
      <c r="R9" s="10"/>
      <c r="S9" s="10"/>
    </row>
    <row r="10" customFormat="1" ht="19.95" customHeight="1" spans="1:19">
      <c r="A10" s="34">
        <v>5</v>
      </c>
      <c r="B10" s="28" t="s">
        <v>31</v>
      </c>
      <c r="C10" s="28"/>
      <c r="D10" s="28">
        <f>J10*K10/10000</f>
        <v>1.351158</v>
      </c>
      <c r="E10" s="35"/>
      <c r="F10" s="28"/>
      <c r="G10" s="28"/>
      <c r="H10" s="29">
        <f t="shared" si="0"/>
        <v>1.351158</v>
      </c>
      <c r="I10" s="36" t="s">
        <v>30</v>
      </c>
      <c r="J10" s="28">
        <v>46</v>
      </c>
      <c r="K10" s="29">
        <v>293.73</v>
      </c>
      <c r="L10" s="28">
        <f>H10/H43*100</f>
        <v>0.268109279619217</v>
      </c>
      <c r="M10" s="28">
        <f>H10/446.83*400*0.51</f>
        <v>0.616870469753598</v>
      </c>
      <c r="N10" s="28">
        <f>M10/400*100</f>
        <v>0.154217617438399</v>
      </c>
      <c r="O10" s="28">
        <f>H10*0.25</f>
        <v>0.3377895</v>
      </c>
      <c r="P10" s="28">
        <f>H10*0.15</f>
        <v>0.2026737</v>
      </c>
      <c r="Q10" s="33" t="s">
        <v>25</v>
      </c>
      <c r="R10" s="10"/>
      <c r="S10" s="10"/>
    </row>
    <row r="11" customFormat="1" ht="19.95" customHeight="1" spans="1:19">
      <c r="A11" s="37" t="s">
        <v>32</v>
      </c>
      <c r="B11" s="31" t="s">
        <v>33</v>
      </c>
      <c r="C11" s="32"/>
      <c r="D11" s="27">
        <f>SUM(D12:D20)</f>
        <v>246.332237</v>
      </c>
      <c r="E11" s="35"/>
      <c r="F11" s="28"/>
      <c r="G11" s="28"/>
      <c r="H11" s="38">
        <f t="shared" si="0"/>
        <v>246.332237</v>
      </c>
      <c r="I11" s="36"/>
      <c r="J11" s="28"/>
      <c r="K11" s="29"/>
      <c r="L11" s="28"/>
      <c r="M11" s="28"/>
      <c r="N11" s="28"/>
      <c r="O11" s="28"/>
      <c r="P11" s="28"/>
      <c r="Q11" s="33"/>
      <c r="R11" s="10"/>
      <c r="S11" s="10"/>
    </row>
    <row r="12" customFormat="1" ht="19.95" customHeight="1" spans="1:19">
      <c r="A12" s="34">
        <v>1</v>
      </c>
      <c r="B12" s="28" t="s">
        <v>34</v>
      </c>
      <c r="C12" s="28"/>
      <c r="D12" s="28">
        <f t="shared" ref="D12:D20" si="1">J12*K12/10000</f>
        <v>23.9364</v>
      </c>
      <c r="E12" s="35"/>
      <c r="F12" s="28"/>
      <c r="G12" s="28"/>
      <c r="H12" s="29">
        <f t="shared" si="0"/>
        <v>23.9364</v>
      </c>
      <c r="I12" s="28" t="s">
        <v>28</v>
      </c>
      <c r="J12" s="28">
        <v>610</v>
      </c>
      <c r="K12" s="29">
        <v>392.4</v>
      </c>
      <c r="L12" s="28">
        <f>H12/H43*100</f>
        <v>4.7496820954155</v>
      </c>
      <c r="M12" s="28">
        <f>H12/446.83*400*0.51</f>
        <v>10.9281507508448</v>
      </c>
      <c r="N12" s="28">
        <f>M12/400*100</f>
        <v>2.73203768771121</v>
      </c>
      <c r="O12" s="28">
        <f>H12*0.25</f>
        <v>5.9841</v>
      </c>
      <c r="P12" s="28">
        <f>H12*0.15</f>
        <v>3.59046</v>
      </c>
      <c r="Q12" s="33" t="s">
        <v>35</v>
      </c>
      <c r="R12" s="10"/>
      <c r="S12" s="10"/>
    </row>
    <row r="13" customFormat="1" ht="19.95" customHeight="1" spans="1:19">
      <c r="A13" s="34">
        <v>2</v>
      </c>
      <c r="B13" s="28" t="s">
        <v>36</v>
      </c>
      <c r="C13" s="28"/>
      <c r="D13" s="28">
        <f t="shared" si="1"/>
        <v>36.624</v>
      </c>
      <c r="E13" s="35"/>
      <c r="F13" s="28"/>
      <c r="G13" s="28"/>
      <c r="H13" s="29">
        <f t="shared" si="0"/>
        <v>36.624</v>
      </c>
      <c r="I13" s="28" t="s">
        <v>28</v>
      </c>
      <c r="J13" s="28">
        <v>1050</v>
      </c>
      <c r="K13" s="29">
        <v>348.8</v>
      </c>
      <c r="L13" s="28">
        <f>H13/H43*100</f>
        <v>7.26727315145541</v>
      </c>
      <c r="M13" s="28">
        <f t="shared" ref="M13:M20" si="2">H13/446.83*400*0.51</f>
        <v>16.7206678155003</v>
      </c>
      <c r="N13" s="28">
        <f t="shared" ref="N13:N20" si="3">M13/400*100</f>
        <v>4.18016695387508</v>
      </c>
      <c r="O13" s="28">
        <f>H13*0.25</f>
        <v>9.156</v>
      </c>
      <c r="P13" s="28">
        <f>H13*0.15</f>
        <v>5.4936</v>
      </c>
      <c r="Q13" s="33" t="s">
        <v>35</v>
      </c>
      <c r="R13" s="10"/>
      <c r="S13" s="10"/>
    </row>
    <row r="14" customFormat="1" ht="19.95" customHeight="1" spans="1:19">
      <c r="A14" s="34">
        <v>3</v>
      </c>
      <c r="B14" s="28" t="s">
        <v>37</v>
      </c>
      <c r="C14" s="28"/>
      <c r="D14" s="28">
        <f t="shared" si="1"/>
        <v>137.84358</v>
      </c>
      <c r="E14" s="28"/>
      <c r="F14" s="28"/>
      <c r="G14" s="28"/>
      <c r="H14" s="29">
        <f t="shared" si="0"/>
        <v>137.84358</v>
      </c>
      <c r="I14" s="28" t="s">
        <v>28</v>
      </c>
      <c r="J14" s="28">
        <v>4516.5</v>
      </c>
      <c r="K14" s="29">
        <v>305.2</v>
      </c>
      <c r="L14" s="28">
        <f>H14/H43*100</f>
        <v>27.3521993237903</v>
      </c>
      <c r="M14" s="28">
        <f t="shared" si="2"/>
        <v>62.9324134905893</v>
      </c>
      <c r="N14" s="28">
        <f t="shared" si="3"/>
        <v>15.7331033726473</v>
      </c>
      <c r="O14" s="28">
        <f t="shared" ref="O14:O20" si="4">H14*0.25</f>
        <v>34.460895</v>
      </c>
      <c r="P14" s="28">
        <f t="shared" ref="P14:P20" si="5">H14*0.15</f>
        <v>20.676537</v>
      </c>
      <c r="Q14" s="33" t="s">
        <v>35</v>
      </c>
      <c r="R14" s="10"/>
      <c r="S14" s="10"/>
    </row>
    <row r="15" customFormat="1" ht="19.95" customHeight="1" spans="1:19">
      <c r="A15" s="34">
        <v>4</v>
      </c>
      <c r="B15" s="28" t="s">
        <v>38</v>
      </c>
      <c r="C15" s="28"/>
      <c r="D15" s="28">
        <f t="shared" si="1"/>
        <v>8.843472</v>
      </c>
      <c r="E15" s="28"/>
      <c r="F15" s="28"/>
      <c r="G15" s="28"/>
      <c r="H15" s="29">
        <f t="shared" si="0"/>
        <v>8.843472</v>
      </c>
      <c r="I15" s="28" t="s">
        <v>30</v>
      </c>
      <c r="J15" s="28">
        <v>18</v>
      </c>
      <c r="K15" s="29">
        <v>4913.04</v>
      </c>
      <c r="L15" s="28">
        <f>H15/H43*100</f>
        <v>1.75480358866447</v>
      </c>
      <c r="M15" s="28">
        <f t="shared" si="2"/>
        <v>4.03748246089117</v>
      </c>
      <c r="N15" s="28">
        <f t="shared" si="3"/>
        <v>1.00937061522279</v>
      </c>
      <c r="O15" s="28">
        <f t="shared" si="4"/>
        <v>2.210868</v>
      </c>
      <c r="P15" s="28">
        <f t="shared" si="5"/>
        <v>1.3265208</v>
      </c>
      <c r="Q15" s="33" t="s">
        <v>35</v>
      </c>
      <c r="R15" s="10"/>
      <c r="S15" s="10"/>
    </row>
    <row r="16" customFormat="1" ht="19.95" customHeight="1" spans="1:19">
      <c r="A16" s="34">
        <v>5</v>
      </c>
      <c r="B16" s="28" t="s">
        <v>39</v>
      </c>
      <c r="C16" s="28"/>
      <c r="D16" s="28">
        <f t="shared" si="1"/>
        <v>3.40884</v>
      </c>
      <c r="E16" s="28"/>
      <c r="F16" s="28"/>
      <c r="G16" s="28"/>
      <c r="H16" s="29">
        <f t="shared" si="0"/>
        <v>3.40884</v>
      </c>
      <c r="I16" s="28" t="s">
        <v>30</v>
      </c>
      <c r="J16" s="28">
        <v>9</v>
      </c>
      <c r="K16" s="29">
        <v>3787.6</v>
      </c>
      <c r="L16" s="28">
        <f>H16/H43*100</f>
        <v>0.676413592442313</v>
      </c>
      <c r="M16" s="28">
        <f t="shared" si="2"/>
        <v>1.5563040977553</v>
      </c>
      <c r="N16" s="28">
        <f t="shared" si="3"/>
        <v>0.389076024438825</v>
      </c>
      <c r="O16" s="28">
        <f t="shared" si="4"/>
        <v>0.85221</v>
      </c>
      <c r="P16" s="28">
        <f t="shared" si="5"/>
        <v>0.511326</v>
      </c>
      <c r="Q16" s="33" t="s">
        <v>35</v>
      </c>
      <c r="R16" s="10"/>
      <c r="S16" s="10"/>
    </row>
    <row r="17" customFormat="1" ht="19.95" customHeight="1" spans="1:19">
      <c r="A17" s="34">
        <v>6</v>
      </c>
      <c r="B17" s="28" t="s">
        <v>31</v>
      </c>
      <c r="C17" s="28"/>
      <c r="D17" s="28">
        <f t="shared" si="1"/>
        <v>20.341875</v>
      </c>
      <c r="E17" s="27"/>
      <c r="F17" s="27"/>
      <c r="G17" s="27"/>
      <c r="H17" s="29">
        <f t="shared" si="0"/>
        <v>20.341875</v>
      </c>
      <c r="I17" s="28" t="s">
        <v>30</v>
      </c>
      <c r="J17" s="28">
        <v>571</v>
      </c>
      <c r="K17" s="29">
        <v>356.25</v>
      </c>
      <c r="L17" s="28">
        <f>H17/H43*100</f>
        <v>4.03642316616869</v>
      </c>
      <c r="M17" s="28">
        <f t="shared" si="2"/>
        <v>9.28707226461966</v>
      </c>
      <c r="N17" s="28">
        <f t="shared" si="3"/>
        <v>2.32176806615491</v>
      </c>
      <c r="O17" s="28">
        <f t="shared" si="4"/>
        <v>5.08546875</v>
      </c>
      <c r="P17" s="28">
        <f t="shared" si="5"/>
        <v>3.05128125</v>
      </c>
      <c r="Q17" s="33" t="s">
        <v>35</v>
      </c>
      <c r="R17" s="10"/>
      <c r="S17" s="10"/>
    </row>
    <row r="18" customFormat="1" ht="19.95" customHeight="1" spans="1:19">
      <c r="A18" s="34">
        <v>7</v>
      </c>
      <c r="B18" s="28" t="s">
        <v>40</v>
      </c>
      <c r="C18" s="28"/>
      <c r="D18" s="28">
        <f t="shared" si="1"/>
        <v>5.89295</v>
      </c>
      <c r="E18" s="28"/>
      <c r="F18" s="28"/>
      <c r="G18" s="28"/>
      <c r="H18" s="29">
        <f t="shared" si="0"/>
        <v>5.89295</v>
      </c>
      <c r="I18" s="28" t="s">
        <v>30</v>
      </c>
      <c r="J18" s="28">
        <v>7</v>
      </c>
      <c r="K18" s="29">
        <v>8418.5</v>
      </c>
      <c r="L18" s="28">
        <f>H18/H43*100</f>
        <v>1.16933369697109</v>
      </c>
      <c r="M18" s="28">
        <f t="shared" si="2"/>
        <v>2.69042320345545</v>
      </c>
      <c r="N18" s="28">
        <f t="shared" si="3"/>
        <v>0.672605800863863</v>
      </c>
      <c r="O18" s="28">
        <f t="shared" si="4"/>
        <v>1.4732375</v>
      </c>
      <c r="P18" s="28">
        <f t="shared" si="5"/>
        <v>0.8839425</v>
      </c>
      <c r="Q18" s="33" t="s">
        <v>35</v>
      </c>
      <c r="R18" s="10"/>
      <c r="S18" s="10"/>
    </row>
    <row r="19" customFormat="1" ht="19.95" customHeight="1" spans="1:19">
      <c r="A19" s="34">
        <v>8</v>
      </c>
      <c r="B19" s="28" t="s">
        <v>41</v>
      </c>
      <c r="C19" s="28"/>
      <c r="D19" s="28">
        <f t="shared" si="1"/>
        <v>2.408875</v>
      </c>
      <c r="E19" s="28"/>
      <c r="F19" s="28"/>
      <c r="G19" s="28"/>
      <c r="H19" s="29">
        <f t="shared" si="0"/>
        <v>2.408875</v>
      </c>
      <c r="I19" s="28" t="s">
        <v>30</v>
      </c>
      <c r="J19" s="28">
        <v>1</v>
      </c>
      <c r="K19" s="29">
        <v>24088.75</v>
      </c>
      <c r="L19" s="28">
        <f>H19/H43*100</f>
        <v>0.477991279289869</v>
      </c>
      <c r="M19" s="28">
        <f t="shared" si="2"/>
        <v>1.09977060627084</v>
      </c>
      <c r="N19" s="28">
        <f t="shared" si="3"/>
        <v>0.27494265156771</v>
      </c>
      <c r="O19" s="28">
        <f t="shared" si="4"/>
        <v>0.60221875</v>
      </c>
      <c r="P19" s="28">
        <f t="shared" si="5"/>
        <v>0.36133125</v>
      </c>
      <c r="Q19" s="33" t="s">
        <v>35</v>
      </c>
      <c r="R19" s="10"/>
      <c r="S19" s="10"/>
    </row>
    <row r="20" customFormat="1" ht="19.95" customHeight="1" spans="1:19">
      <c r="A20" s="34">
        <v>9</v>
      </c>
      <c r="B20" s="28" t="s">
        <v>42</v>
      </c>
      <c r="C20" s="28"/>
      <c r="D20" s="28">
        <f t="shared" si="1"/>
        <v>7.032245</v>
      </c>
      <c r="E20" s="28"/>
      <c r="F20" s="28"/>
      <c r="G20" s="28"/>
      <c r="H20" s="29">
        <f t="shared" si="0"/>
        <v>7.032245</v>
      </c>
      <c r="I20" s="28" t="s">
        <v>30</v>
      </c>
      <c r="J20" s="28">
        <v>11</v>
      </c>
      <c r="K20" s="29">
        <v>6392.95</v>
      </c>
      <c r="L20" s="28">
        <f>H20/H43*100</f>
        <v>1.39540315866526</v>
      </c>
      <c r="M20" s="28">
        <f t="shared" si="2"/>
        <v>3.21056773269476</v>
      </c>
      <c r="N20" s="28">
        <f t="shared" si="3"/>
        <v>0.80264193317369</v>
      </c>
      <c r="O20" s="28">
        <f t="shared" si="4"/>
        <v>1.75806125</v>
      </c>
      <c r="P20" s="28">
        <f t="shared" si="5"/>
        <v>1.05483675</v>
      </c>
      <c r="Q20" s="33" t="s">
        <v>35</v>
      </c>
      <c r="R20" s="10"/>
      <c r="S20" s="10"/>
    </row>
    <row r="21" customFormat="1" ht="19.95" customHeight="1" spans="1:19">
      <c r="A21" s="37" t="s">
        <v>43</v>
      </c>
      <c r="B21" s="39" t="s">
        <v>44</v>
      </c>
      <c r="C21" s="40"/>
      <c r="D21" s="27">
        <f>SUM(D22:D28)</f>
        <v>63.923645</v>
      </c>
      <c r="E21" s="27"/>
      <c r="F21" s="27"/>
      <c r="G21" s="27"/>
      <c r="H21" s="38">
        <f t="shared" si="0"/>
        <v>63.923645</v>
      </c>
      <c r="I21" s="27"/>
      <c r="J21" s="27"/>
      <c r="K21" s="29"/>
      <c r="L21" s="27"/>
      <c r="M21" s="28"/>
      <c r="N21" s="28"/>
      <c r="O21" s="28"/>
      <c r="P21" s="28"/>
      <c r="Q21" s="33"/>
      <c r="R21" s="10"/>
      <c r="S21" s="10"/>
    </row>
    <row r="22" customFormat="1" ht="19.95" customHeight="1" spans="1:19">
      <c r="A22" s="34">
        <v>1</v>
      </c>
      <c r="B22" s="28" t="s">
        <v>45</v>
      </c>
      <c r="C22" s="28"/>
      <c r="D22" s="28">
        <f>J22*K22/10000</f>
        <v>47.11416</v>
      </c>
      <c r="E22" s="27"/>
      <c r="F22" s="27"/>
      <c r="G22" s="27"/>
      <c r="H22" s="29">
        <f t="shared" si="0"/>
        <v>47.11416</v>
      </c>
      <c r="I22" s="36" t="s">
        <v>28</v>
      </c>
      <c r="J22" s="28">
        <f>446+1355</f>
        <v>1801</v>
      </c>
      <c r="K22" s="29">
        <v>261.6</v>
      </c>
      <c r="L22" s="28">
        <f>H22/H43*100</f>
        <v>9.348827818408</v>
      </c>
      <c r="M22" s="28">
        <f>H22/446.83*400*0.51</f>
        <v>21.5099448112257</v>
      </c>
      <c r="N22" s="28">
        <f>M22/400*100</f>
        <v>5.37748620280644</v>
      </c>
      <c r="O22" s="28">
        <f>H22*0.25</f>
        <v>11.77854</v>
      </c>
      <c r="P22" s="28">
        <f t="shared" ref="P22:P28" si="6">H22*0.15</f>
        <v>7.067124</v>
      </c>
      <c r="Q22" s="41" t="s">
        <v>35</v>
      </c>
      <c r="R22" s="10"/>
      <c r="S22" s="10"/>
    </row>
    <row r="23" customFormat="1" ht="19.95" customHeight="1" spans="1:19">
      <c r="A23" s="34">
        <v>2</v>
      </c>
      <c r="B23" s="28" t="s">
        <v>46</v>
      </c>
      <c r="C23" s="28"/>
      <c r="D23" s="28">
        <f t="shared" ref="D23:D28" si="7">J23*K23/10000</f>
        <v>8.430006</v>
      </c>
      <c r="E23" s="28"/>
      <c r="F23" s="28"/>
      <c r="G23" s="28"/>
      <c r="H23" s="29">
        <f t="shared" si="0"/>
        <v>8.430006</v>
      </c>
      <c r="I23" s="36" t="s">
        <v>30</v>
      </c>
      <c r="J23" s="28">
        <v>23</v>
      </c>
      <c r="K23" s="29">
        <v>3665.22</v>
      </c>
      <c r="L23" s="28">
        <f>H23/H43*100</f>
        <v>1.67275983700328</v>
      </c>
      <c r="M23" s="28">
        <f t="shared" ref="M23:M28" si="8">H23/446.83*400*0.51</f>
        <v>3.84871477743213</v>
      </c>
      <c r="N23" s="28">
        <f t="shared" ref="N23:N28" si="9">M23/400*100</f>
        <v>0.962178694358033</v>
      </c>
      <c r="O23" s="28">
        <f t="shared" ref="O23:O28" si="10">H23*0.25</f>
        <v>2.1075015</v>
      </c>
      <c r="P23" s="28">
        <f t="shared" si="6"/>
        <v>1.2645009</v>
      </c>
      <c r="Q23" s="41" t="s">
        <v>35</v>
      </c>
      <c r="R23" s="10"/>
      <c r="S23" s="10"/>
    </row>
    <row r="24" customFormat="1" ht="19.95" customHeight="1" spans="1:19">
      <c r="A24" s="34">
        <v>3</v>
      </c>
      <c r="B24" s="28" t="s">
        <v>31</v>
      </c>
      <c r="C24" s="28"/>
      <c r="D24" s="28">
        <f t="shared" si="7"/>
        <v>4.26996</v>
      </c>
      <c r="E24" s="28"/>
      <c r="F24" s="28"/>
      <c r="G24" s="28"/>
      <c r="H24" s="29">
        <f t="shared" si="0"/>
        <v>4.26996</v>
      </c>
      <c r="I24" s="36" t="s">
        <v>30</v>
      </c>
      <c r="J24" s="28">
        <v>120</v>
      </c>
      <c r="K24" s="29">
        <v>355.83</v>
      </c>
      <c r="L24" s="28">
        <f>H24/H43*100</f>
        <v>0.847284995243243</v>
      </c>
      <c r="M24" s="28">
        <f t="shared" si="8"/>
        <v>1.9494479779782</v>
      </c>
      <c r="N24" s="28">
        <f t="shared" si="9"/>
        <v>0.487361994494551</v>
      </c>
      <c r="O24" s="28">
        <f t="shared" si="10"/>
        <v>1.06749</v>
      </c>
      <c r="P24" s="28">
        <f t="shared" si="6"/>
        <v>0.640494</v>
      </c>
      <c r="Q24" s="41" t="s">
        <v>35</v>
      </c>
      <c r="R24" s="10"/>
      <c r="S24" s="10"/>
    </row>
    <row r="25" customFormat="1" ht="19.95" customHeight="1" spans="1:19">
      <c r="A25" s="34">
        <v>4</v>
      </c>
      <c r="B25" s="28" t="s">
        <v>47</v>
      </c>
      <c r="C25" s="28"/>
      <c r="D25" s="28">
        <f t="shared" si="7"/>
        <v>0.775073</v>
      </c>
      <c r="E25" s="28"/>
      <c r="F25" s="28"/>
      <c r="G25" s="28"/>
      <c r="H25" s="29">
        <f t="shared" si="0"/>
        <v>0.775073</v>
      </c>
      <c r="I25" s="28" t="s">
        <v>30</v>
      </c>
      <c r="J25" s="28">
        <v>1</v>
      </c>
      <c r="K25" s="29">
        <v>7750.73</v>
      </c>
      <c r="L25" s="28">
        <f>H25/H43*100</f>
        <v>0.153797160422619</v>
      </c>
      <c r="M25" s="28">
        <f t="shared" si="8"/>
        <v>0.35385916791621</v>
      </c>
      <c r="N25" s="28">
        <f t="shared" si="9"/>
        <v>0.0884647919790524</v>
      </c>
      <c r="O25" s="28">
        <f t="shared" si="10"/>
        <v>0.19376825</v>
      </c>
      <c r="P25" s="28">
        <f t="shared" si="6"/>
        <v>0.11626095</v>
      </c>
      <c r="Q25" s="41" t="s">
        <v>35</v>
      </c>
      <c r="R25" s="10"/>
      <c r="S25" s="10"/>
    </row>
    <row r="26" customFormat="1" ht="19.95" customHeight="1" spans="1:19">
      <c r="A26" s="34">
        <v>5</v>
      </c>
      <c r="B26" s="28" t="s">
        <v>48</v>
      </c>
      <c r="C26" s="28"/>
      <c r="D26" s="28">
        <f t="shared" si="7"/>
        <v>2.080365</v>
      </c>
      <c r="E26" s="28"/>
      <c r="F26" s="28"/>
      <c r="G26" s="28"/>
      <c r="H26" s="29">
        <f t="shared" si="0"/>
        <v>2.080365</v>
      </c>
      <c r="I26" s="28" t="s">
        <v>30</v>
      </c>
      <c r="J26" s="28">
        <v>5</v>
      </c>
      <c r="K26" s="29">
        <v>4160.73</v>
      </c>
      <c r="L26" s="28">
        <f>H26/H43*100</f>
        <v>0.412805283686313</v>
      </c>
      <c r="M26" s="28">
        <f t="shared" si="8"/>
        <v>0.94978953964595</v>
      </c>
      <c r="N26" s="28">
        <f t="shared" si="9"/>
        <v>0.237447384911488</v>
      </c>
      <c r="O26" s="28">
        <f t="shared" si="10"/>
        <v>0.52009125</v>
      </c>
      <c r="P26" s="28">
        <f t="shared" si="6"/>
        <v>0.31205475</v>
      </c>
      <c r="Q26" s="41" t="s">
        <v>35</v>
      </c>
      <c r="R26" s="10"/>
      <c r="S26" s="10"/>
    </row>
    <row r="27" customFormat="1" ht="19.95" customHeight="1" spans="1:19">
      <c r="A27" s="34">
        <v>6</v>
      </c>
      <c r="B27" s="28" t="s">
        <v>49</v>
      </c>
      <c r="C27" s="28"/>
      <c r="D27" s="28">
        <f t="shared" si="7"/>
        <v>0.557346</v>
      </c>
      <c r="E27" s="28"/>
      <c r="F27" s="28"/>
      <c r="G27" s="28"/>
      <c r="H27" s="29">
        <f t="shared" si="0"/>
        <v>0.557346</v>
      </c>
      <c r="I27" s="28" t="s">
        <v>30</v>
      </c>
      <c r="J27" s="28">
        <v>1</v>
      </c>
      <c r="K27" s="29">
        <v>5573.46</v>
      </c>
      <c r="L27" s="28">
        <f>H27/H43*100</f>
        <v>0.110593753327629</v>
      </c>
      <c r="M27" s="28">
        <f t="shared" si="8"/>
        <v>0.254456021305642</v>
      </c>
      <c r="N27" s="28">
        <f t="shared" si="9"/>
        <v>0.0636140053264105</v>
      </c>
      <c r="O27" s="28">
        <f t="shared" si="10"/>
        <v>0.1393365</v>
      </c>
      <c r="P27" s="28">
        <f t="shared" si="6"/>
        <v>0.0836019</v>
      </c>
      <c r="Q27" s="41" t="s">
        <v>35</v>
      </c>
      <c r="R27" s="10"/>
      <c r="S27" s="10"/>
    </row>
    <row r="28" customFormat="1" ht="19.95" customHeight="1" spans="1:19">
      <c r="A28" s="34">
        <v>7</v>
      </c>
      <c r="B28" s="28" t="s">
        <v>50</v>
      </c>
      <c r="C28" s="28"/>
      <c r="D28" s="28">
        <f t="shared" si="7"/>
        <v>0.696735</v>
      </c>
      <c r="E28" s="28"/>
      <c r="F28" s="28"/>
      <c r="G28" s="28"/>
      <c r="H28" s="29">
        <f t="shared" si="0"/>
        <v>0.696735</v>
      </c>
      <c r="I28" s="28" t="s">
        <v>30</v>
      </c>
      <c r="J28" s="28">
        <v>1</v>
      </c>
      <c r="K28" s="29">
        <v>6967.35</v>
      </c>
      <c r="L28" s="28">
        <f>H28/H43*100</f>
        <v>0.13825260919559</v>
      </c>
      <c r="M28" s="28">
        <f t="shared" si="8"/>
        <v>0.318093995479265</v>
      </c>
      <c r="N28" s="28">
        <f t="shared" si="9"/>
        <v>0.0795234988698163</v>
      </c>
      <c r="O28" s="28">
        <f t="shared" si="10"/>
        <v>0.17418375</v>
      </c>
      <c r="P28" s="28">
        <f t="shared" si="6"/>
        <v>0.10451025</v>
      </c>
      <c r="Q28" s="41" t="s">
        <v>35</v>
      </c>
      <c r="R28" s="10"/>
      <c r="S28" s="10"/>
    </row>
    <row r="29" customFormat="1" ht="19.95" customHeight="1" spans="1:19">
      <c r="A29" s="26" t="s">
        <v>51</v>
      </c>
      <c r="B29" s="39" t="s">
        <v>52</v>
      </c>
      <c r="C29" s="40"/>
      <c r="D29" s="27">
        <f>SUM(D30:D31)</f>
        <v>3.48454854</v>
      </c>
      <c r="E29" s="28"/>
      <c r="F29" s="28"/>
      <c r="G29" s="28"/>
      <c r="H29" s="38">
        <f t="shared" si="0"/>
        <v>3.48454854</v>
      </c>
      <c r="I29" s="28"/>
      <c r="J29" s="28"/>
      <c r="K29" s="29"/>
      <c r="L29" s="28"/>
      <c r="M29" s="28"/>
      <c r="N29" s="28"/>
      <c r="O29" s="28"/>
      <c r="P29" s="28"/>
      <c r="Q29" s="33"/>
      <c r="R29" s="10"/>
      <c r="S29" s="10"/>
    </row>
    <row r="30" customFormat="1" ht="19.95" customHeight="1" spans="1:19">
      <c r="A30" s="34">
        <v>1</v>
      </c>
      <c r="B30" s="28" t="s">
        <v>53</v>
      </c>
      <c r="C30" s="28"/>
      <c r="D30" s="28">
        <f>J30*K30/10000</f>
        <v>2.17000854</v>
      </c>
      <c r="E30" s="28"/>
      <c r="F30" s="28"/>
      <c r="G30" s="28"/>
      <c r="H30" s="29">
        <f t="shared" si="0"/>
        <v>2.17000854</v>
      </c>
      <c r="I30" s="36" t="s">
        <v>28</v>
      </c>
      <c r="J30" s="28">
        <f>31.22</f>
        <v>31.22</v>
      </c>
      <c r="K30" s="29">
        <v>695.07</v>
      </c>
      <c r="L30" s="28">
        <f>H30/H43*100</f>
        <v>0.430593184828827</v>
      </c>
      <c r="M30" s="28">
        <f>H30/446.83*400*0.51</f>
        <v>0.990716250386053</v>
      </c>
      <c r="N30" s="28">
        <f>M30/400*100</f>
        <v>0.247679062596513</v>
      </c>
      <c r="O30" s="28">
        <f>H30*0.25</f>
        <v>0.542502135</v>
      </c>
      <c r="P30" s="28">
        <f>H30*0.15</f>
        <v>0.325501281</v>
      </c>
      <c r="Q30" s="33" t="s">
        <v>25</v>
      </c>
      <c r="R30" s="10"/>
      <c r="S30" s="10"/>
    </row>
    <row r="31" customFormat="1" ht="19.95" customHeight="1" spans="1:19">
      <c r="A31" s="34">
        <v>2</v>
      </c>
      <c r="B31" s="28" t="s">
        <v>54</v>
      </c>
      <c r="C31" s="28"/>
      <c r="D31" s="28">
        <v>1.31454</v>
      </c>
      <c r="E31" s="28"/>
      <c r="F31" s="28"/>
      <c r="G31" s="28"/>
      <c r="H31" s="29">
        <f t="shared" si="0"/>
        <v>1.31454</v>
      </c>
      <c r="I31" s="36" t="s">
        <v>28</v>
      </c>
      <c r="J31" s="28">
        <v>100.5</v>
      </c>
      <c r="K31" s="29">
        <v>130.8</v>
      </c>
      <c r="L31" s="28">
        <f>H31/H43*100</f>
        <v>0.26084319704331</v>
      </c>
      <c r="M31" s="28">
        <f>H31/446.83*400*0.51</f>
        <v>0.600152541234922</v>
      </c>
      <c r="N31" s="28">
        <f>M31/400*100</f>
        <v>0.15003813530873</v>
      </c>
      <c r="O31" s="28">
        <f>H31*0.25</f>
        <v>0.328635</v>
      </c>
      <c r="P31" s="28">
        <f>H31*0.15</f>
        <v>0.197181</v>
      </c>
      <c r="Q31" s="33" t="s">
        <v>25</v>
      </c>
      <c r="R31" s="10"/>
      <c r="S31" s="10"/>
    </row>
    <row r="32" customFormat="1" ht="19.95" customHeight="1" spans="1:19">
      <c r="A32" s="26" t="s">
        <v>55</v>
      </c>
      <c r="B32" s="26"/>
      <c r="C32" s="26"/>
      <c r="D32" s="27">
        <f t="shared" ref="D32:H32" si="11">D4</f>
        <v>446.83064154</v>
      </c>
      <c r="E32" s="27">
        <f t="shared" si="11"/>
        <v>0</v>
      </c>
      <c r="F32" s="27">
        <f t="shared" si="11"/>
        <v>0</v>
      </c>
      <c r="G32" s="27">
        <f t="shared" si="11"/>
        <v>0</v>
      </c>
      <c r="H32" s="27">
        <f t="shared" si="11"/>
        <v>446.83064154</v>
      </c>
      <c r="I32" s="27"/>
      <c r="J32" s="27"/>
      <c r="K32" s="38"/>
      <c r="L32" s="27">
        <f>SUM(L6:L31)</f>
        <v>88.6642727313029</v>
      </c>
      <c r="M32" s="27">
        <f>SUM(M6:M31)</f>
        <v>204.000292894747</v>
      </c>
      <c r="N32" s="27">
        <f>SUM(N6:N31)</f>
        <v>51.0000732236869</v>
      </c>
      <c r="O32" s="27">
        <f>O4</f>
        <v>111.707660385</v>
      </c>
      <c r="P32" s="27">
        <f>P4</f>
        <v>67.024596231</v>
      </c>
      <c r="Q32" s="33"/>
      <c r="R32" s="10"/>
      <c r="S32" s="10"/>
    </row>
    <row r="33" ht="19.95" customHeight="1" spans="1:17">
      <c r="A33" s="26" t="s">
        <v>56</v>
      </c>
      <c r="B33" s="42" t="s">
        <v>57</v>
      </c>
      <c r="C33" s="42"/>
      <c r="D33" s="27"/>
      <c r="E33" s="27"/>
      <c r="F33" s="27"/>
      <c r="G33" s="27">
        <f>H33</f>
        <v>42.4489109463</v>
      </c>
      <c r="H33" s="38">
        <f>SUM(H34:H41)</f>
        <v>42.4489109463</v>
      </c>
      <c r="I33" s="27" t="s">
        <v>58</v>
      </c>
      <c r="J33" s="27"/>
      <c r="K33" s="38"/>
      <c r="L33" s="27">
        <f>H33/H43*100</f>
        <v>8.42310590947378</v>
      </c>
      <c r="M33" s="38"/>
      <c r="N33" s="43"/>
      <c r="O33" s="43"/>
      <c r="P33" s="43"/>
      <c r="Q33" s="33"/>
    </row>
    <row r="34" ht="19.95" customHeight="1" spans="1:17">
      <c r="A34" s="34">
        <v>1</v>
      </c>
      <c r="B34" s="28" t="s">
        <v>59</v>
      </c>
      <c r="C34" s="28"/>
      <c r="D34" s="28"/>
      <c r="E34" s="35"/>
      <c r="F34" s="35"/>
      <c r="G34" s="35">
        <f t="shared" ref="G34:G41" si="12">J34*K34</f>
        <v>6.7024596231</v>
      </c>
      <c r="H34" s="29">
        <f t="shared" ref="H34:H42" si="13">SUM(D34:G34)</f>
        <v>6.7024596231</v>
      </c>
      <c r="I34" s="28" t="s">
        <v>58</v>
      </c>
      <c r="J34" s="28">
        <f>H32</f>
        <v>446.83064154</v>
      </c>
      <c r="K34" s="44">
        <v>0.015</v>
      </c>
      <c r="L34" s="44"/>
      <c r="M34" s="44"/>
      <c r="N34" s="45"/>
      <c r="O34" s="45"/>
      <c r="P34" s="45"/>
      <c r="Q34" s="33"/>
    </row>
    <row r="35" ht="21.75" customHeight="1" spans="1:17">
      <c r="A35" s="34">
        <v>2</v>
      </c>
      <c r="B35" s="28" t="s">
        <v>60</v>
      </c>
      <c r="C35" s="28"/>
      <c r="D35" s="35"/>
      <c r="E35" s="35"/>
      <c r="F35" s="35"/>
      <c r="G35" s="35">
        <f t="shared" si="12"/>
        <v>2.2341532077</v>
      </c>
      <c r="H35" s="29">
        <f t="shared" si="13"/>
        <v>2.2341532077</v>
      </c>
      <c r="I35" s="28" t="s">
        <v>58</v>
      </c>
      <c r="J35" s="28">
        <f t="shared" ref="J35:J40" si="14">J34</f>
        <v>446.83064154</v>
      </c>
      <c r="K35" s="44">
        <v>0.005</v>
      </c>
      <c r="L35" s="44"/>
      <c r="M35" s="44"/>
      <c r="N35" s="45"/>
      <c r="O35" s="45"/>
      <c r="P35" s="45"/>
      <c r="Q35" s="33"/>
    </row>
    <row r="36" ht="21.75" customHeight="1" spans="1:17">
      <c r="A36" s="34">
        <v>3</v>
      </c>
      <c r="B36" s="46" t="s">
        <v>61</v>
      </c>
      <c r="C36" s="47"/>
      <c r="D36" s="35"/>
      <c r="E36" s="35"/>
      <c r="F36" s="35"/>
      <c r="G36" s="35">
        <f t="shared" si="12"/>
        <v>2.2341532077</v>
      </c>
      <c r="H36" s="29">
        <f t="shared" si="13"/>
        <v>2.2341532077</v>
      </c>
      <c r="I36" s="28" t="s">
        <v>58</v>
      </c>
      <c r="J36" s="28">
        <f t="shared" si="14"/>
        <v>446.83064154</v>
      </c>
      <c r="K36" s="44">
        <v>0.005</v>
      </c>
      <c r="L36" s="44"/>
      <c r="M36" s="44"/>
      <c r="N36" s="45"/>
      <c r="O36" s="45"/>
      <c r="P36" s="45"/>
      <c r="Q36" s="33"/>
    </row>
    <row r="37" ht="21.75" customHeight="1" spans="1:17">
      <c r="A37" s="34">
        <v>4</v>
      </c>
      <c r="B37" s="28" t="s">
        <v>62</v>
      </c>
      <c r="C37" s="28"/>
      <c r="D37" s="35"/>
      <c r="E37" s="35"/>
      <c r="F37" s="35"/>
      <c r="G37" s="35">
        <f t="shared" si="12"/>
        <v>13.4049192462</v>
      </c>
      <c r="H37" s="29">
        <f t="shared" si="13"/>
        <v>13.4049192462</v>
      </c>
      <c r="I37" s="28" t="s">
        <v>58</v>
      </c>
      <c r="J37" s="28">
        <f t="shared" si="14"/>
        <v>446.83064154</v>
      </c>
      <c r="K37" s="48">
        <v>0.03</v>
      </c>
      <c r="L37" s="48"/>
      <c r="M37" s="48"/>
      <c r="N37" s="45"/>
      <c r="O37" s="45"/>
      <c r="P37" s="45"/>
      <c r="Q37" s="33"/>
    </row>
    <row r="38" ht="21.75" customHeight="1" spans="1:17">
      <c r="A38" s="34">
        <v>5</v>
      </c>
      <c r="B38" s="28" t="s">
        <v>63</v>
      </c>
      <c r="C38" s="28"/>
      <c r="D38" s="35"/>
      <c r="E38" s="35"/>
      <c r="F38" s="35"/>
      <c r="G38" s="35">
        <f t="shared" si="12"/>
        <v>6.7024596231</v>
      </c>
      <c r="H38" s="29">
        <f t="shared" si="13"/>
        <v>6.7024596231</v>
      </c>
      <c r="I38" s="28" t="s">
        <v>58</v>
      </c>
      <c r="J38" s="28">
        <f t="shared" si="14"/>
        <v>446.83064154</v>
      </c>
      <c r="K38" s="44">
        <v>0.015</v>
      </c>
      <c r="L38" s="44"/>
      <c r="M38" s="44"/>
      <c r="N38" s="45"/>
      <c r="O38" s="45"/>
      <c r="P38" s="45"/>
      <c r="Q38" s="33"/>
    </row>
    <row r="39" ht="21.75" customHeight="1" spans="1:17">
      <c r="A39" s="34">
        <v>6</v>
      </c>
      <c r="B39" s="28" t="s">
        <v>64</v>
      </c>
      <c r="C39" s="28"/>
      <c r="D39" s="35"/>
      <c r="E39" s="35"/>
      <c r="F39" s="35"/>
      <c r="G39" s="35">
        <f t="shared" si="12"/>
        <v>6.7024596231</v>
      </c>
      <c r="H39" s="29">
        <f t="shared" si="13"/>
        <v>6.7024596231</v>
      </c>
      <c r="I39" s="28" t="s">
        <v>58</v>
      </c>
      <c r="J39" s="28">
        <f t="shared" si="14"/>
        <v>446.83064154</v>
      </c>
      <c r="K39" s="44">
        <v>0.015</v>
      </c>
      <c r="L39" s="44"/>
      <c r="M39" s="44"/>
      <c r="N39" s="45"/>
      <c r="O39" s="45"/>
      <c r="P39" s="45"/>
      <c r="Q39" s="33"/>
    </row>
    <row r="40" ht="21.75" customHeight="1" spans="1:17">
      <c r="A40" s="34">
        <v>7</v>
      </c>
      <c r="B40" s="28" t="s">
        <v>65</v>
      </c>
      <c r="C40" s="28"/>
      <c r="D40" s="35"/>
      <c r="E40" s="35"/>
      <c r="F40" s="35"/>
      <c r="G40" s="35">
        <f t="shared" si="12"/>
        <v>2.2341532077</v>
      </c>
      <c r="H40" s="29">
        <f t="shared" si="13"/>
        <v>2.2341532077</v>
      </c>
      <c r="I40" s="28" t="s">
        <v>58</v>
      </c>
      <c r="J40" s="28">
        <f t="shared" si="14"/>
        <v>446.83064154</v>
      </c>
      <c r="K40" s="44">
        <v>0.005</v>
      </c>
      <c r="L40" s="44"/>
      <c r="M40" s="44"/>
      <c r="N40" s="45"/>
      <c r="O40" s="45"/>
      <c r="P40" s="45"/>
      <c r="Q40" s="33"/>
    </row>
    <row r="41" ht="21.75" customHeight="1" spans="1:17">
      <c r="A41" s="34">
        <v>8</v>
      </c>
      <c r="B41" s="28" t="s">
        <v>66</v>
      </c>
      <c r="C41" s="28"/>
      <c r="D41" s="28"/>
      <c r="E41" s="28"/>
      <c r="F41" s="28"/>
      <c r="G41" s="35">
        <f t="shared" si="12"/>
        <v>2.2341532077</v>
      </c>
      <c r="H41" s="29">
        <f t="shared" si="13"/>
        <v>2.2341532077</v>
      </c>
      <c r="I41" s="28" t="s">
        <v>58</v>
      </c>
      <c r="J41" s="28">
        <f>H4</f>
        <v>446.83064154</v>
      </c>
      <c r="K41" s="44">
        <v>0.005</v>
      </c>
      <c r="L41" s="27"/>
      <c r="M41" s="44"/>
      <c r="N41" s="45"/>
      <c r="O41" s="45"/>
      <c r="P41" s="45"/>
      <c r="Q41" s="33"/>
    </row>
    <row r="42" ht="21.75" customHeight="1" spans="1:17">
      <c r="A42" s="26" t="s">
        <v>67</v>
      </c>
      <c r="B42" s="42" t="s">
        <v>68</v>
      </c>
      <c r="C42" s="42"/>
      <c r="D42" s="27"/>
      <c r="E42" s="27"/>
      <c r="F42" s="27"/>
      <c r="G42" s="27">
        <f>J42*0.03</f>
        <v>14.678386574589</v>
      </c>
      <c r="H42" s="38">
        <f t="shared" si="13"/>
        <v>14.678386574589</v>
      </c>
      <c r="I42" s="27" t="s">
        <v>58</v>
      </c>
      <c r="J42" s="28">
        <f>H33+H4</f>
        <v>489.2795524863</v>
      </c>
      <c r="K42" s="44">
        <v>0.03</v>
      </c>
      <c r="L42" s="27">
        <f>H42/H43*100</f>
        <v>2.9126213592233</v>
      </c>
      <c r="M42" s="44"/>
      <c r="N42" s="45"/>
      <c r="O42" s="45"/>
      <c r="P42" s="45"/>
      <c r="Q42" s="33"/>
    </row>
    <row r="43" ht="21.75" customHeight="1" spans="1:17">
      <c r="A43" s="26" t="s">
        <v>69</v>
      </c>
      <c r="B43" s="42" t="s">
        <v>70</v>
      </c>
      <c r="C43" s="42"/>
      <c r="D43" s="27">
        <f t="shared" ref="D43:F43" si="15">D4</f>
        <v>446.83064154</v>
      </c>
      <c r="E43" s="27">
        <f t="shared" si="15"/>
        <v>0</v>
      </c>
      <c r="F43" s="27">
        <f t="shared" si="15"/>
        <v>0</v>
      </c>
      <c r="G43" s="27">
        <f>G33+G42</f>
        <v>57.127297520889</v>
      </c>
      <c r="H43" s="38">
        <f>H33+H4+H42</f>
        <v>503.957939060889</v>
      </c>
      <c r="I43" s="27" t="s">
        <v>58</v>
      </c>
      <c r="J43" s="27"/>
      <c r="K43" s="38"/>
      <c r="L43" s="27">
        <f>H43/H43*100</f>
        <v>100</v>
      </c>
      <c r="M43" s="27"/>
      <c r="N43" s="45"/>
      <c r="O43" s="45"/>
      <c r="P43" s="45"/>
      <c r="Q43" s="33"/>
    </row>
    <row r="44" ht="21.75" customHeight="1" spans="1:17">
      <c r="A44" s="49" t="s">
        <v>71</v>
      </c>
      <c r="B44" s="49" t="s">
        <v>72</v>
      </c>
      <c r="C44" s="49"/>
      <c r="D44" s="50">
        <f>D43/H43*100</f>
        <v>88.6642727313029</v>
      </c>
      <c r="E44" s="50">
        <f>E43/H43*100</f>
        <v>0</v>
      </c>
      <c r="F44" s="50">
        <f>F43/H43*100</f>
        <v>0</v>
      </c>
      <c r="G44" s="50">
        <f>G43/H43*100</f>
        <v>11.3357272686971</v>
      </c>
      <c r="H44" s="50">
        <v>100</v>
      </c>
      <c r="I44" s="50"/>
      <c r="J44" s="50"/>
      <c r="K44" s="50"/>
      <c r="L44" s="51">
        <f>L4+L33+L42</f>
        <v>100</v>
      </c>
      <c r="M44" s="50"/>
      <c r="N44" s="52"/>
      <c r="O44" s="52"/>
      <c r="P44" s="52"/>
      <c r="Q44" s="53"/>
    </row>
    <row r="45" ht="21.75" customHeight="1" spans="1:17">
      <c r="A45" s="54"/>
      <c r="B45" s="55"/>
      <c r="C45" s="55"/>
      <c r="D45" s="56"/>
      <c r="E45" s="57"/>
      <c r="F45" s="58"/>
      <c r="G45" s="10"/>
      <c r="H45" s="10">
        <v>400</v>
      </c>
      <c r="I45" s="10">
        <f>H43-H45</f>
        <v>103.957939060889</v>
      </c>
      <c r="K45" s="11">
        <f>25*5+5</f>
        <v>130</v>
      </c>
      <c r="Q45" s="59"/>
    </row>
    <row r="46" ht="21.75" customHeight="1" spans="1:17">
      <c r="A46" s="54"/>
      <c r="B46" s="55"/>
      <c r="C46" s="55"/>
      <c r="D46" s="56"/>
      <c r="E46" s="56"/>
      <c r="F46" s="56"/>
      <c r="G46" s="10"/>
      <c r="H46" s="60">
        <f>H45/H43</f>
        <v>0.793717032705921</v>
      </c>
      <c r="I46" s="60">
        <f>I45/H43</f>
        <v>0.206282967294079</v>
      </c>
      <c r="N46" s="10">
        <f>1809-1150</f>
        <v>659</v>
      </c>
    </row>
    <row r="47" ht="21.75" customHeight="1" spans="1:17">
      <c r="A47" s="54"/>
      <c r="B47" s="55"/>
      <c r="C47" s="55"/>
      <c r="D47" s="56"/>
      <c r="E47" s="57"/>
      <c r="F47" s="58"/>
      <c r="G47" s="10"/>
      <c r="H47" s="10"/>
      <c r="I47" s="10"/>
      <c r="L47" s="10">
        <f>2913+11295+1801+31.22+100.5</f>
        <v>16140.72</v>
      </c>
    </row>
    <row r="48" ht="21.75" customHeight="1" spans="1:17">
      <c r="A48" s="54"/>
      <c r="B48" s="55"/>
      <c r="C48" s="55"/>
      <c r="D48" s="56"/>
      <c r="E48" s="57"/>
      <c r="F48" s="58"/>
      <c r="G48" s="10"/>
      <c r="H48" s="10"/>
      <c r="I48" s="10"/>
      <c r="J48" s="10">
        <f>J8+J12+J13+J14+J22+J30+J31</f>
        <v>11022.22</v>
      </c>
      <c r="L48" s="10">
        <f>372+300+66+255+100+139+188+356+349+222.5+356+100+112+146+147+214+261+78+213+315+227</f>
        <v>4516.5</v>
      </c>
    </row>
    <row r="49" ht="21.75" customHeight="1" spans="1:17">
      <c r="A49" s="54"/>
      <c r="B49" s="55"/>
      <c r="C49" s="55"/>
      <c r="D49" s="56"/>
      <c r="E49" s="57"/>
      <c r="F49" s="58"/>
      <c r="G49" s="10"/>
      <c r="H49" s="10"/>
      <c r="I49" s="10">
        <f>H4-550</f>
        <v>-103.16935846</v>
      </c>
      <c r="J49" s="10">
        <f>J9+J10+J15+J16+J17+J18+J19+J20+J23+J24+J25+J26+J27+J28</f>
        <v>826</v>
      </c>
      <c r="L49" s="10">
        <f>42+411+8+65+15+46</f>
        <v>587</v>
      </c>
    </row>
    <row r="50" ht="21.75" customHeight="1" spans="1:17">
      <c r="A50" s="54"/>
      <c r="B50" s="55"/>
      <c r="C50" s="55"/>
      <c r="D50" s="56"/>
      <c r="E50" s="57"/>
      <c r="F50" s="58"/>
      <c r="G50" s="10"/>
      <c r="H50" s="10"/>
      <c r="I50" s="10"/>
      <c r="Q50" s="12">
        <f>3900+3900+3900+3900+3900</f>
        <v>19500</v>
      </c>
    </row>
    <row r="51" ht="21.75" customHeight="1" spans="1:17">
      <c r="A51" s="54"/>
      <c r="B51" s="55"/>
      <c r="C51" s="55"/>
      <c r="D51" s="56"/>
      <c r="E51" s="57"/>
      <c r="F51" s="58"/>
      <c r="G51" s="10"/>
      <c r="H51" s="10"/>
      <c r="I51" s="10"/>
    </row>
    <row r="52" ht="21.75" customHeight="1" spans="1:17">
      <c r="A52" s="54"/>
      <c r="B52" s="55"/>
      <c r="C52" s="55"/>
      <c r="D52" s="56"/>
      <c r="E52" s="57"/>
      <c r="F52" s="58">
        <f>J40-H45</f>
        <v>46.83064154</v>
      </c>
      <c r="G52" s="56"/>
      <c r="H52" s="61"/>
      <c r="I52" s="55"/>
      <c r="O52" s="10">
        <f>15+46+42+992+21+120</f>
        <v>1236</v>
      </c>
    </row>
    <row r="53" ht="21.75" customHeight="1" spans="1:17">
      <c r="A53" s="54"/>
      <c r="B53" s="55"/>
      <c r="C53" s="55"/>
      <c r="D53" s="56"/>
      <c r="E53" s="57"/>
      <c r="F53" s="58"/>
      <c r="G53" s="56"/>
      <c r="H53" s="61"/>
      <c r="I53" s="55"/>
      <c r="K53" s="11">
        <f>18*5</f>
        <v>90</v>
      </c>
    </row>
    <row r="54" ht="21.75" customHeight="1" spans="1:17">
      <c r="A54" s="54"/>
      <c r="B54" s="55"/>
      <c r="C54" s="55"/>
      <c r="D54" s="56"/>
      <c r="E54" s="57"/>
      <c r="F54" s="58"/>
      <c r="G54" s="56"/>
      <c r="H54" s="61"/>
      <c r="I54" s="55"/>
    </row>
    <row r="55" ht="21.75" customHeight="1" spans="1:17">
      <c r="A55" s="54"/>
      <c r="B55" s="55"/>
      <c r="C55" s="55"/>
      <c r="D55" s="56"/>
      <c r="E55" s="57"/>
      <c r="F55" s="58"/>
      <c r="G55" s="56"/>
      <c r="H55" s="61"/>
      <c r="I55" s="55"/>
    </row>
    <row r="56" ht="21.75" customHeight="1" spans="1:17">
      <c r="A56" s="54"/>
      <c r="B56" s="55"/>
      <c r="C56" s="55"/>
      <c r="D56" s="56"/>
      <c r="E56" s="57"/>
      <c r="F56" s="58"/>
      <c r="G56" s="56"/>
      <c r="H56" s="61"/>
      <c r="I56" s="55"/>
    </row>
    <row r="57" customHeight="1" spans="1:17">
      <c r="A57" s="54"/>
      <c r="B57" s="55"/>
      <c r="C57" s="55"/>
      <c r="D57" s="56"/>
      <c r="E57" s="57"/>
      <c r="F57" s="58"/>
      <c r="G57" s="56"/>
      <c r="H57" s="61"/>
      <c r="I57" s="55"/>
    </row>
    <row r="58" customHeight="1" spans="1:17">
      <c r="A58" s="54"/>
      <c r="B58" s="55"/>
      <c r="C58" s="55"/>
      <c r="D58" s="56"/>
      <c r="E58" s="57"/>
      <c r="F58" s="58"/>
      <c r="G58" s="56"/>
      <c r="H58" s="61"/>
      <c r="I58" s="55"/>
    </row>
    <row r="59" customHeight="1" spans="1:17">
      <c r="A59" s="54"/>
      <c r="B59" s="55"/>
      <c r="C59" s="55"/>
      <c r="D59" s="56"/>
      <c r="E59" s="57"/>
      <c r="F59" s="58"/>
      <c r="G59" s="56"/>
      <c r="H59" s="61"/>
      <c r="I59" s="55"/>
    </row>
    <row r="60" customHeight="1" spans="1:17">
      <c r="A60" s="54"/>
      <c r="B60" s="55"/>
      <c r="C60" s="55"/>
      <c r="D60" s="56"/>
      <c r="E60" s="57"/>
      <c r="F60" s="58"/>
      <c r="G60" s="56"/>
      <c r="H60" s="61"/>
      <c r="I60" s="55"/>
    </row>
    <row r="61" customHeight="1" spans="1:17">
      <c r="A61" s="54"/>
      <c r="B61" s="55"/>
      <c r="C61" s="55"/>
      <c r="D61" s="56"/>
      <c r="E61" s="57"/>
      <c r="F61" s="58"/>
      <c r="G61" s="56"/>
      <c r="H61" s="61"/>
      <c r="I61" s="55"/>
    </row>
    <row r="62" customHeight="1" spans="1:17">
      <c r="A62" s="54"/>
      <c r="B62" s="55"/>
      <c r="C62" s="55"/>
      <c r="D62" s="56"/>
      <c r="E62" s="57"/>
      <c r="F62" s="58"/>
      <c r="G62" s="56"/>
      <c r="H62" s="61"/>
      <c r="I62" s="55"/>
    </row>
    <row r="63" customHeight="1" spans="1:17">
      <c r="A63" s="54"/>
      <c r="B63" s="55"/>
      <c r="C63" s="55"/>
      <c r="D63" s="56"/>
      <c r="E63" s="57"/>
      <c r="F63" s="58"/>
      <c r="G63" s="56"/>
      <c r="H63" s="61"/>
      <c r="I63" s="55"/>
    </row>
    <row r="64" customHeight="1" spans="1:17">
      <c r="A64" s="54"/>
      <c r="B64" s="55"/>
      <c r="C64" s="55"/>
      <c r="D64" s="56"/>
      <c r="E64" s="57"/>
      <c r="F64" s="58"/>
      <c r="G64" s="56"/>
      <c r="H64" s="61"/>
      <c r="I64" s="55"/>
    </row>
    <row r="65" customHeight="1" spans="1:9">
      <c r="A65" s="54"/>
      <c r="B65" s="55"/>
      <c r="C65" s="55"/>
      <c r="D65" s="56"/>
      <c r="E65" s="57"/>
      <c r="F65" s="58"/>
      <c r="G65" s="56"/>
      <c r="H65" s="61"/>
      <c r="I65" s="55"/>
    </row>
    <row r="66" customHeight="1" spans="1:9">
      <c r="A66" s="54"/>
      <c r="B66" s="55"/>
      <c r="C66" s="55"/>
      <c r="D66" s="56"/>
      <c r="E66" s="57"/>
      <c r="F66" s="58"/>
      <c r="G66" s="56"/>
      <c r="H66" s="61"/>
      <c r="I66" s="55"/>
    </row>
  </sheetData>
  <mergeCells count="52">
    <mergeCell ref="A1:N1"/>
    <mergeCell ref="D2:H2"/>
    <mergeCell ref="I2:K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2:A3"/>
    <mergeCell ref="L2:L3"/>
    <mergeCell ref="M2:M3"/>
    <mergeCell ref="N2:N3"/>
    <mergeCell ref="O2:O3"/>
    <mergeCell ref="P2:P3"/>
    <mergeCell ref="Q2:Q3"/>
    <mergeCell ref="B2:C3"/>
  </mergeCells>
  <printOptions horizontalCentered="1"/>
  <pageMargins left="0.79" right="0.79" top="0.98" bottom="0.98" header="0.31" footer="0.51"/>
  <pageSetup paperSize="9" firstPageNumber="4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徐冬琴</cp:lastModifiedBy>
  <dcterms:created xsi:type="dcterms:W3CDTF">2019-09-27T02:01:00Z</dcterms:created>
  <dcterms:modified xsi:type="dcterms:W3CDTF">2026-03-03T09:19:06Z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3D09B8FB73D346E79CC35896822CB828_13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