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842"/>
  </bookViews>
  <sheets>
    <sheet name="概算明细表" sheetId="6" r:id="rId1"/>
    <sheet name="方案一" sheetId="16" state="hidden" r:id="rId2"/>
    <sheet name="三层框架结构" sheetId="15" state="hidden" r:id="rId3"/>
    <sheet name="宁夏师范学院风雨操场项目 (3)" sheetId="14" state="hidden" r:id="rId4"/>
    <sheet name="成本测算" sheetId="13" state="hidden" r:id="rId5"/>
    <sheet name="标准运动场项目 (3)" sheetId="12" state="hidden" r:id="rId6"/>
    <sheet name="宁夏师范学院风雨操场项目 (2)" sheetId="9" state="hidden" r:id="rId7"/>
    <sheet name="标准运动场项目 (2)" sheetId="8" state="hidden" r:id="rId8"/>
  </sheets>
  <definedNames>
    <definedName name="_xlnm._FilterDatabase" localSheetId="0" hidden="1">概算明细表!$A$1:$K$166</definedName>
    <definedName name="_xlnm.Print_Area" localSheetId="0">概算明细表!$A$1:$K$146</definedName>
    <definedName name="_xlnm.Print_Area" localSheetId="3">'宁夏师范学院风雨操场项目 (3)'!$A$1:$K$59</definedName>
    <definedName name="_xlnm.Print_Titles" localSheetId="7">'标准运动场项目 (2)'!$1:$4</definedName>
    <definedName name="_xlnm.Print_Titles" localSheetId="5">'标准运动场项目 (3)'!$1:$4</definedName>
    <definedName name="_xlnm.Print_Titles" localSheetId="0">概算明细表!$1:$4</definedName>
    <definedName name="_xlnm.Print_Titles" localSheetId="6">'宁夏师范学院风雨操场项目 (2)'!$1:$4</definedName>
    <definedName name="_xlnm.Print_Titles" localSheetId="3">'宁夏师范学院风雨操场项目 (3)'!$1:$4</definedName>
    <definedName name="_xlnm.Print_Area" localSheetId="2">三层框架结构!$A$1:$K$56</definedName>
    <definedName name="_xlnm.Print_Titles" localSheetId="2">三层框架结构!$1:$4</definedName>
    <definedName name="_xlnm.Print_Area" localSheetId="1">方案一!$A$1:$K$40</definedName>
    <definedName name="_xlnm.Print_Titles" localSheetId="1">方案一!$1:$4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<sst xmlns="http://schemas.openxmlformats.org/spreadsheetml/2006/main" count="1112" uniqueCount="357">
  <si>
    <t>工程概算审定表</t>
  </si>
  <si>
    <t>工程项目：平罗中学宿舍楼及其它设施改造提升建设项目</t>
  </si>
  <si>
    <t>序号</t>
  </si>
  <si>
    <t>项目名称</t>
  </si>
  <si>
    <t>概算价值（万元）</t>
  </si>
  <si>
    <t>技术经济指标（元）</t>
  </si>
  <si>
    <t>占投资额（%）</t>
  </si>
  <si>
    <t>建筑工程费</t>
  </si>
  <si>
    <t>设备购置费</t>
  </si>
  <si>
    <t>安装工程费</t>
  </si>
  <si>
    <t>其他费用</t>
  </si>
  <si>
    <t>合计</t>
  </si>
  <si>
    <t>单位</t>
  </si>
  <si>
    <t>数量</t>
  </si>
  <si>
    <t>单位价值</t>
  </si>
  <si>
    <t>一</t>
  </si>
  <si>
    <t>工程费用</t>
  </si>
  <si>
    <t>㎡</t>
  </si>
  <si>
    <t>（一）</t>
  </si>
  <si>
    <t>16#学生公寓改造工程</t>
  </si>
  <si>
    <t>建筑装饰工程</t>
  </si>
  <si>
    <t>门窗拆除及恢复</t>
  </si>
  <si>
    <t>平屋面拆除及恢复</t>
  </si>
  <si>
    <t>坡屋面拆除及恢复</t>
  </si>
  <si>
    <t>檐沟和雨棚拆除及恢复</t>
  </si>
  <si>
    <t>外墙面拆除及恢复</t>
  </si>
  <si>
    <t>女儿墙内侧拆除及恢复</t>
  </si>
  <si>
    <t>卫生间地面砖拆除及恢复（含水池及隔断蹲位等）</t>
  </si>
  <si>
    <t>卫生间墙面砖拆除及恢复</t>
  </si>
  <si>
    <t>卫生间无机涂料天棚拆除及恢复</t>
  </si>
  <si>
    <t>给排水工程</t>
  </si>
  <si>
    <t>给水工程</t>
  </si>
  <si>
    <t>m</t>
  </si>
  <si>
    <t>排水工程</t>
  </si>
  <si>
    <t>消火栓工程</t>
  </si>
  <si>
    <t>电气设备安装工程</t>
  </si>
  <si>
    <t>强电安装工程</t>
  </si>
  <si>
    <t>项</t>
  </si>
  <si>
    <t>消防电安装工程</t>
  </si>
  <si>
    <t>小    计</t>
  </si>
  <si>
    <t>（二）</t>
  </si>
  <si>
    <t>17#学生公寓改造工程（同16#公寓楼）</t>
  </si>
  <si>
    <t>消防工程</t>
  </si>
  <si>
    <t>（三）</t>
  </si>
  <si>
    <t>18#学生公寓改造工程（同16#公寓楼）</t>
  </si>
  <si>
    <t>（四）</t>
  </si>
  <si>
    <t>5#教学楼改造工程</t>
  </si>
  <si>
    <t>檐沟拆除及恢复</t>
  </si>
  <si>
    <t>（五）</t>
  </si>
  <si>
    <t>6#教学楼改造工程（同5#教学楼）</t>
  </si>
  <si>
    <t>（六）</t>
  </si>
  <si>
    <t>7#教学楼改造工程（同5#教学楼）</t>
  </si>
  <si>
    <t>（七）</t>
  </si>
  <si>
    <t>室内采暖及消防改造工程</t>
  </si>
  <si>
    <t>1#行政办公楼</t>
  </si>
  <si>
    <t>地面拆除及恢复工程（散热器）</t>
  </si>
  <si>
    <t>采暖改造工程</t>
  </si>
  <si>
    <t>消防改造工程</t>
  </si>
  <si>
    <t>2#实验楼</t>
  </si>
  <si>
    <t>3#实验楼</t>
  </si>
  <si>
    <t>4#科技楼</t>
  </si>
  <si>
    <t>5#教学楼</t>
  </si>
  <si>
    <t>6#教学楼</t>
  </si>
  <si>
    <t>7#教学楼</t>
  </si>
  <si>
    <t>9#教研楼</t>
  </si>
  <si>
    <t>10#教研楼</t>
  </si>
  <si>
    <t>14#图书馆</t>
  </si>
  <si>
    <t>15#风雨操场</t>
  </si>
  <si>
    <t>17#看台</t>
  </si>
  <si>
    <t>19#回民食堂</t>
  </si>
  <si>
    <t>地面拆除及恢复工程（地暖+散热器）</t>
  </si>
  <si>
    <t>20汉民食堂</t>
  </si>
  <si>
    <t>生活辅助用房</t>
  </si>
  <si>
    <t>（八）</t>
  </si>
  <si>
    <t>换热站</t>
  </si>
  <si>
    <t>土建及装修工程</t>
  </si>
  <si>
    <t>采暖工程</t>
  </si>
  <si>
    <t>电气工程</t>
  </si>
  <si>
    <t>消防控制室（电气及设备）</t>
  </si>
  <si>
    <t>（九）</t>
  </si>
  <si>
    <t>室外配套改造工程</t>
  </si>
  <si>
    <t>沥青混凝土路面改造</t>
  </si>
  <si>
    <t>花岗岩铺装改造</t>
  </si>
  <si>
    <t>透水砖铺装改造</t>
  </si>
  <si>
    <t>混凝土道牙改造</t>
  </si>
  <si>
    <t>室外消防--土建工程</t>
  </si>
  <si>
    <t>室外消防--安装工程</t>
  </si>
  <si>
    <t>室外采暖--土建工程</t>
  </si>
  <si>
    <t>室外采暖--安装工程</t>
  </si>
  <si>
    <t>室外电气--土建工程</t>
  </si>
  <si>
    <t>室外电气--安装工程</t>
  </si>
  <si>
    <t>二</t>
  </si>
  <si>
    <t>工程建设其他费用</t>
  </si>
  <si>
    <t>万元</t>
  </si>
  <si>
    <t>项目建设管理费</t>
  </si>
  <si>
    <t>工程监理费</t>
  </si>
  <si>
    <t>测绘费</t>
  </si>
  <si>
    <t>工程设计费</t>
  </si>
  <si>
    <t>结构安全性及抗震性能鉴定费</t>
  </si>
  <si>
    <t>编制清单和招标控制价及审核费</t>
  </si>
  <si>
    <t>施工阶段全过程造价控制（含竣工结算审核费）</t>
  </si>
  <si>
    <t>财务决算费</t>
  </si>
  <si>
    <t>工程招标代理服务费</t>
  </si>
  <si>
    <t>质量检测试验费</t>
  </si>
  <si>
    <t>可研编制及评审费</t>
  </si>
  <si>
    <t>施工图审查费（含BIM审查费）</t>
  </si>
  <si>
    <t>BIM设计费</t>
  </si>
  <si>
    <t>防雷接地检测费</t>
  </si>
  <si>
    <t>环境影响评价费</t>
  </si>
  <si>
    <t>节能评估费</t>
  </si>
  <si>
    <t>三</t>
  </si>
  <si>
    <t>预备费</t>
  </si>
  <si>
    <t>四</t>
  </si>
  <si>
    <t>项目总投资</t>
  </si>
  <si>
    <t>投资估算综合表</t>
  </si>
  <si>
    <t>工程项目：北方民族大学研究生宿舍项目--（方案一）</t>
  </si>
  <si>
    <t>估算价值（万元）</t>
  </si>
  <si>
    <t>三层框架结构</t>
  </si>
  <si>
    <t>建筑及装饰装修工程</t>
  </si>
  <si>
    <t>给排水及消防工程</t>
  </si>
  <si>
    <t>采暖及通风工程</t>
  </si>
  <si>
    <t>无障碍客梯（5层5站）</t>
  </si>
  <si>
    <t>部</t>
  </si>
  <si>
    <t>强弱电工程</t>
  </si>
  <si>
    <t>抗震支架</t>
  </si>
  <si>
    <t>室外附属工程</t>
  </si>
  <si>
    <t>室外沥青路硬化</t>
  </si>
  <si>
    <t>室外仿石材透水砖铺装</t>
  </si>
  <si>
    <t>绿化工程</t>
  </si>
  <si>
    <t>室外化粪池</t>
  </si>
  <si>
    <t>座</t>
  </si>
  <si>
    <t>水外网工程</t>
  </si>
  <si>
    <t>暖外网工程</t>
  </si>
  <si>
    <t>电外网工程</t>
  </si>
  <si>
    <t>建设管理费</t>
  </si>
  <si>
    <t>平方米</t>
  </si>
  <si>
    <t>施工图及BIM审查费</t>
  </si>
  <si>
    <t>全过程造价跟踪审计费</t>
  </si>
  <si>
    <t>编制清单及招标控制价</t>
  </si>
  <si>
    <t>建设工程质量检测试验费</t>
  </si>
  <si>
    <t>可行性研究报告编制费</t>
  </si>
  <si>
    <t>项目建议书编制费</t>
  </si>
  <si>
    <t>竣工决算编审费</t>
  </si>
  <si>
    <t>竣工结算审核费</t>
  </si>
  <si>
    <t>节能评价费</t>
  </si>
  <si>
    <t>环境影响咨询评价</t>
  </si>
  <si>
    <t>水土保持方案编制费</t>
  </si>
  <si>
    <t>消防检测费</t>
  </si>
  <si>
    <t>1#宿舍</t>
  </si>
  <si>
    <t>客梯（15层15站）</t>
  </si>
  <si>
    <t>太阳能集热系统</t>
  </si>
  <si>
    <t>套</t>
  </si>
  <si>
    <t>2#宿舍</t>
  </si>
  <si>
    <t>地下车库（含人防地下室）</t>
  </si>
  <si>
    <t>建筑与装饰装修工程</t>
  </si>
  <si>
    <t>给排水及消防喷淋工程</t>
  </si>
  <si>
    <t>采暖及通风防排烟工程</t>
  </si>
  <si>
    <t>消防水泵房设备</t>
  </si>
  <si>
    <t>变配电室设备</t>
  </si>
  <si>
    <t>投   资  估  算  表</t>
  </si>
  <si>
    <t>工程项目：宁夏师范学院“升大创博”重点建设项目（一期）——风雨操场项目</t>
  </si>
  <si>
    <t>风雨操场</t>
  </si>
  <si>
    <t>装饰</t>
  </si>
  <si>
    <t>建筑</t>
  </si>
  <si>
    <t>给排水及消防、喷淋工程</t>
  </si>
  <si>
    <t>强电工程</t>
  </si>
  <si>
    <t>弱电工程</t>
  </si>
  <si>
    <t>抗震支架工程</t>
  </si>
  <si>
    <t>货梯</t>
  </si>
  <si>
    <t>无障碍客梯</t>
  </si>
  <si>
    <t>太阳能光伏系统</t>
  </si>
  <si>
    <t>KW</t>
  </si>
  <si>
    <t>场地挖填土方工程</t>
  </si>
  <si>
    <t>m³</t>
  </si>
  <si>
    <t>硬化广场</t>
  </si>
  <si>
    <t>混凝土道路</t>
  </si>
  <si>
    <t>停车位</t>
  </si>
  <si>
    <t>钢丝网骨架DN100</t>
  </si>
  <si>
    <t>钢筋混凝土排水管道DN300</t>
  </si>
  <si>
    <t>地下式室外消火栓(SA100/65)</t>
  </si>
  <si>
    <t>个</t>
  </si>
  <si>
    <t>矩形钢筋混凝土给水阀门井（1.4m*1.4m）</t>
  </si>
  <si>
    <t>雨水口</t>
  </si>
  <si>
    <t>化粪池（75m³）</t>
  </si>
  <si>
    <t>矩形钢筋混凝土排水检查井（1m*1m）</t>
  </si>
  <si>
    <t>直埋保温管DN200</t>
  </si>
  <si>
    <t>钢筋混凝土检查井1.5m*1.5m</t>
  </si>
  <si>
    <t>钢筋混凝土补偿器井（2m*2m）</t>
  </si>
  <si>
    <t>电缆</t>
  </si>
  <si>
    <t>电井</t>
  </si>
  <si>
    <t>路灯</t>
  </si>
  <si>
    <t>盏</t>
  </si>
  <si>
    <t>400KVA箱变</t>
  </si>
  <si>
    <t>台</t>
  </si>
  <si>
    <t>2.场地地震安全评价费是否计入</t>
  </si>
  <si>
    <t>勘察测量费</t>
  </si>
  <si>
    <t>施工图审查费</t>
  </si>
  <si>
    <t>全过程跟踪审计费</t>
  </si>
  <si>
    <t>可行性研究报告编制及评价费</t>
  </si>
  <si>
    <t>项目建议书编制及评审费</t>
  </si>
  <si>
    <t>编制竣工决算费</t>
  </si>
  <si>
    <t>审核竣工结算费</t>
  </si>
  <si>
    <t>三通一平费</t>
  </si>
  <si>
    <t>风雨操场成本测算表</t>
  </si>
  <si>
    <t>建筑面积</t>
  </si>
  <si>
    <t>每平米工程含量</t>
  </si>
  <si>
    <t>工程量</t>
  </si>
  <si>
    <t>单方造价（元）</t>
  </si>
  <si>
    <t>总造价（万元）</t>
  </si>
  <si>
    <t>单方建筑面积造价（元/平米）</t>
  </si>
  <si>
    <t>备注</t>
  </si>
  <si>
    <t>建筑工程</t>
  </si>
  <si>
    <t>3:7灰土夯填2米</t>
  </si>
  <si>
    <t>素土回填2米</t>
  </si>
  <si>
    <t>基础处理打桩</t>
  </si>
  <si>
    <t>根</t>
  </si>
  <si>
    <t>土方工程</t>
  </si>
  <si>
    <t>混凝土</t>
  </si>
  <si>
    <t>砌体工程</t>
  </si>
  <si>
    <t>玻璃幕墙</t>
  </si>
  <si>
    <t>钢材</t>
  </si>
  <si>
    <t>t</t>
  </si>
  <si>
    <t>模板</t>
  </si>
  <si>
    <t>钢结构顶子</t>
  </si>
  <si>
    <t>铝镁锰板</t>
  </si>
  <si>
    <t>室外大台阶</t>
  </si>
  <si>
    <t>措施项目垂直运输脚手架、大型机械</t>
  </si>
  <si>
    <t>装饰与装修工程</t>
  </si>
  <si>
    <t>门窗</t>
  </si>
  <si>
    <t>楼地面</t>
  </si>
  <si>
    <t>天棚吊顶</t>
  </si>
  <si>
    <t>内墙面</t>
  </si>
  <si>
    <t>外墙面（穿孔铝板装饰）</t>
  </si>
  <si>
    <t>外墙保温</t>
  </si>
  <si>
    <t>外墙真石漆</t>
  </si>
  <si>
    <t>安装工程</t>
  </si>
  <si>
    <t>采暖及通风、防排烟工程</t>
  </si>
  <si>
    <t>空调工程</t>
  </si>
  <si>
    <t>强弱电及消防工程</t>
  </si>
  <si>
    <t>变配电室</t>
  </si>
  <si>
    <t>水</t>
  </si>
  <si>
    <t>太阳能集热器</t>
  </si>
  <si>
    <t>吨</t>
  </si>
  <si>
    <t>工程项目：宁夏师范学院“升大创博”重点建设项目（一期）-田径运动场项目</t>
  </si>
  <si>
    <t>指标</t>
  </si>
  <si>
    <t>看台</t>
  </si>
  <si>
    <t>土建及装饰装修工程（含减隔震）</t>
  </si>
  <si>
    <t>给排水工程、消防及喷淋工程</t>
  </si>
  <si>
    <t>通风排烟系统</t>
  </si>
  <si>
    <t>变配电设备</t>
  </si>
  <si>
    <t>附属工程</t>
  </si>
  <si>
    <t>硬质铺装</t>
  </si>
  <si>
    <t>水外线</t>
  </si>
  <si>
    <t>暖外线</t>
  </si>
  <si>
    <t>电外线</t>
  </si>
  <si>
    <t>塑胶铺装</t>
  </si>
  <si>
    <t>球场围栏</t>
  </si>
  <si>
    <t>室外高杆灯</t>
  </si>
  <si>
    <t>看台膜结构遮阳雨棚</t>
  </si>
  <si>
    <t>室外看台座椅</t>
  </si>
  <si>
    <t>球场人工草坪</t>
  </si>
  <si>
    <t>铅球、跳远场地沙坑</t>
  </si>
  <si>
    <t>器械</t>
  </si>
  <si>
    <t>地质勘察费</t>
  </si>
  <si>
    <t>清单及控制价编制费</t>
  </si>
  <si>
    <t>施工阶段全过程造价控制</t>
  </si>
  <si>
    <t>审核竣工决算</t>
  </si>
  <si>
    <t>一次调整</t>
  </si>
  <si>
    <t>二次调整</t>
  </si>
  <si>
    <t>三次调整</t>
  </si>
  <si>
    <t>编制竣工决算</t>
  </si>
  <si>
    <t>施工图设计费</t>
  </si>
  <si>
    <t>招标服务费</t>
  </si>
  <si>
    <t>水土保持设施验收费</t>
  </si>
  <si>
    <t>工程项目：宁夏师范学院风雨操场项目</t>
  </si>
  <si>
    <t>建筑主体工程（含减隔震）</t>
  </si>
  <si>
    <t>室内外装饰装修工程</t>
  </si>
  <si>
    <t>给排水、消防、喷淋工程</t>
  </si>
  <si>
    <t>室内变电所</t>
  </si>
  <si>
    <t>高压柜</t>
  </si>
  <si>
    <t>KYN28</t>
  </si>
  <si>
    <t>9面</t>
  </si>
  <si>
    <t>电梯工程</t>
  </si>
  <si>
    <t>变压器</t>
  </si>
  <si>
    <t>2台</t>
  </si>
  <si>
    <t>400KWA</t>
  </si>
  <si>
    <t>太阳能光伏板</t>
  </si>
  <si>
    <t>低压柜</t>
  </si>
  <si>
    <t>15面</t>
  </si>
  <si>
    <t>铺砖道路</t>
  </si>
  <si>
    <t>沥青混凝土道路</t>
  </si>
  <si>
    <t>绿化种植及种植土换填</t>
  </si>
  <si>
    <t>外网采暖管道</t>
  </si>
  <si>
    <t>DN200</t>
  </si>
  <si>
    <t>170米</t>
  </si>
  <si>
    <t>1.5深度</t>
  </si>
  <si>
    <t>绿化喷灌工程</t>
  </si>
  <si>
    <t>DN150</t>
  </si>
  <si>
    <t>80米</t>
  </si>
  <si>
    <t>化粪池</t>
  </si>
  <si>
    <t>固定支墩</t>
  </si>
  <si>
    <t>庭院灯</t>
  </si>
  <si>
    <t>阀门检查井1.8*1.6*1.8</t>
  </si>
  <si>
    <t>PE给水塑料管DN150安装</t>
  </si>
  <si>
    <t>消防管道球墨铸铁管DN150安装</t>
  </si>
  <si>
    <t>室外消火栓</t>
  </si>
  <si>
    <t>钢筋混凝土排水管DN300安装</t>
  </si>
  <si>
    <t>钢筋混凝土雨水管DN300安装</t>
  </si>
  <si>
    <t>雨水检查井（井径1m）</t>
  </si>
  <si>
    <t>排水检查井（井径1m）</t>
  </si>
  <si>
    <t>消防阀门井（井径1m）</t>
  </si>
  <si>
    <t>给水阀门井
（井径1m）</t>
  </si>
  <si>
    <t>补偿器DN200</t>
  </si>
  <si>
    <t xml:space="preserve">个 </t>
  </si>
  <si>
    <t>水表井（井径1m）</t>
  </si>
  <si>
    <t>管道垫层</t>
  </si>
  <si>
    <t>管道及井土方</t>
  </si>
  <si>
    <t>外网采暖管道DN200安装</t>
  </si>
  <si>
    <t>外网采暖管道DN150安装</t>
  </si>
  <si>
    <t>热计量DN100带数据远传功能</t>
  </si>
  <si>
    <t>外网采暖土方工程</t>
  </si>
  <si>
    <t>砂垫层</t>
  </si>
  <si>
    <t>面</t>
  </si>
  <si>
    <t>400KVA变压器</t>
  </si>
  <si>
    <t>YJV10-3*95</t>
  </si>
  <si>
    <t>电缆保护管SC150</t>
  </si>
  <si>
    <t>弱电检查井</t>
  </si>
  <si>
    <t>直通井</t>
  </si>
  <si>
    <t>三通井</t>
  </si>
  <si>
    <t>线管及井土方工程</t>
  </si>
  <si>
    <t>成品活动看台可伸缩座椅</t>
  </si>
  <si>
    <t>成品活动看台固定座椅</t>
  </si>
  <si>
    <t>教学体育设施用品及开办费</t>
  </si>
  <si>
    <t>设计费</t>
  </si>
  <si>
    <t>工程保险费</t>
  </si>
  <si>
    <t>节能评审费</t>
  </si>
  <si>
    <t>2元/㎡</t>
  </si>
  <si>
    <t>水资源费</t>
  </si>
  <si>
    <t>交通评价费</t>
  </si>
  <si>
    <t>高可靠供电费</t>
  </si>
  <si>
    <t>KWA</t>
  </si>
  <si>
    <t>工程项目：宁夏师范学院标准运动场项目</t>
  </si>
  <si>
    <t>土建及装饰装修工程</t>
  </si>
  <si>
    <t>给排水、消防工程</t>
  </si>
  <si>
    <t>看台防护栏杆</t>
  </si>
  <si>
    <t>高杆灯4个</t>
  </si>
  <si>
    <t>污水检查井</t>
  </si>
  <si>
    <t>成品足球架</t>
  </si>
  <si>
    <t>室外高杆灯（25m高）</t>
  </si>
  <si>
    <t>可伸缩终点裁判台</t>
  </si>
  <si>
    <t>膜结构遮阳雨棚</t>
  </si>
  <si>
    <t>塑胶跑道</t>
  </si>
  <si>
    <t>混凝土基层</t>
  </si>
  <si>
    <t>人工草坪</t>
  </si>
  <si>
    <t>铺装</t>
  </si>
  <si>
    <t>运动场内环沟</t>
  </si>
  <si>
    <t>跳远、三级跳区域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</si>
</sst>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_);[Red]\(0.0\)"/>
    <numFmt numFmtId="180" formatCode="0.0_ "/>
    <numFmt numFmtId="181" formatCode="0_ "/>
    <numFmt numFmtId="182" formatCode="0.0;[Red]0.0"/>
    <numFmt numFmtId="183" formatCode="0.00;[Red]0.00"/>
    <numFmt numFmtId="184" formatCode="0;[Red]0"/>
    <numFmt numFmtId="185" formatCode="0.0_);\(0.0\)"/>
    <numFmt numFmtId="186" formatCode="0.0000_ "/>
    <numFmt numFmtId="187" formatCode="0.00_);\(0.00\)"/>
    <numFmt numFmtId="188" formatCode="0.000_ "/>
  </numFmts>
  <fonts count="50">
    <font>
      <sz val="10"/>
      <color theme="1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28"/>
      <name val="宋体"/>
      <charset val="134"/>
    </font>
    <font>
      <b/>
      <sz val="14"/>
      <color rgb="FFFF0000"/>
      <name val="宋体"/>
      <charset val="134"/>
    </font>
    <font>
      <b/>
      <sz val="10"/>
      <color theme="1"/>
      <name val="Arial"/>
      <charset val="134"/>
    </font>
    <font>
      <sz val="20"/>
      <color theme="1"/>
      <name val="宋体"/>
      <charset val="134"/>
    </font>
    <font>
      <sz val="20"/>
      <color theme="1"/>
      <name val="Arial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b/>
      <sz val="28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0"/>
    </font>
    <font>
      <sz val="16"/>
      <color rgb="FF000000"/>
      <name val="宋体"/>
      <charset val="134"/>
    </font>
    <font>
      <sz val="14.05"/>
      <color rgb="FF000000"/>
      <name val="Times New Roman"/>
      <charset val="134"/>
    </font>
    <font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9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0" borderId="17" applyNumberFormat="0" applyAlignment="0" applyProtection="0">
      <alignment vertical="center"/>
    </xf>
    <xf numFmtId="0" fontId="40" fillId="11" borderId="18" applyNumberFormat="0" applyAlignment="0" applyProtection="0">
      <alignment vertical="center"/>
    </xf>
    <xf numFmtId="0" fontId="41" fillId="11" borderId="17" applyNumberFormat="0" applyAlignment="0" applyProtection="0">
      <alignment vertical="center"/>
    </xf>
    <xf numFmtId="0" fontId="42" fillId="12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49">
    <xf numFmtId="0" fontId="0" fillId="0" borderId="0" xfId="0"/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10" fontId="5" fillId="0" borderId="8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0" fontId="3" fillId="2" borderId="1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0" fontId="5" fillId="0" borderId="1" xfId="0" applyNumberFormat="1" applyFont="1" applyFill="1" applyBorder="1" applyAlignment="1">
      <alignment horizontal="right" vertical="center"/>
    </xf>
    <xf numFmtId="10" fontId="8" fillId="0" borderId="8" xfId="0" applyNumberFormat="1" applyFont="1" applyFill="1" applyBorder="1" applyAlignment="1" applyProtection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10" fontId="5" fillId="0" borderId="9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8" fontId="3" fillId="0" borderId="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80" fontId="3" fillId="0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10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right" vertical="center"/>
    </xf>
    <xf numFmtId="177" fontId="3" fillId="2" borderId="8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12" fillId="2" borderId="8" xfId="0" applyNumberFormat="1" applyFont="1" applyFill="1" applyBorder="1" applyAlignment="1">
      <alignment horizontal="right" vertical="center"/>
    </xf>
    <xf numFmtId="177" fontId="8" fillId="2" borderId="8" xfId="0" applyNumberFormat="1" applyFont="1" applyFill="1" applyBorder="1" applyAlignment="1">
      <alignment horizontal="center" vertical="center"/>
    </xf>
    <xf numFmtId="10" fontId="5" fillId="2" borderId="8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 applyProtection="1">
      <alignment horizontal="right" vertical="center"/>
    </xf>
    <xf numFmtId="176" fontId="1" fillId="2" borderId="0" xfId="0" applyNumberFormat="1" applyFont="1" applyFill="1" applyBorder="1" applyAlignment="1">
      <alignment vertical="center"/>
    </xf>
    <xf numFmtId="179" fontId="7" fillId="2" borderId="13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9" fontId="3" fillId="2" borderId="4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3" fillId="0" borderId="0" xfId="0" applyFont="1"/>
    <xf numFmtId="0" fontId="0" fillId="4" borderId="0" xfId="0" applyFill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13" fillId="0" borderId="1" xfId="0" applyNumberFormat="1" applyFont="1" applyBorder="1"/>
    <xf numFmtId="176" fontId="16" fillId="0" borderId="1" xfId="0" applyNumberFormat="1" applyFont="1" applyBorder="1" applyAlignment="1">
      <alignment horizontal="right" vertical="center"/>
    </xf>
    <xf numFmtId="176" fontId="0" fillId="4" borderId="1" xfId="0" applyNumberFormat="1" applyFill="1" applyBorder="1"/>
    <xf numFmtId="176" fontId="0" fillId="0" borderId="1" xfId="0" applyNumberFormat="1" applyBorder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5" fillId="2" borderId="4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 vertical="center"/>
    </xf>
    <xf numFmtId="182" fontId="3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right" vertical="center"/>
    </xf>
    <xf numFmtId="181" fontId="3" fillId="0" borderId="1" xfId="0" applyNumberFormat="1" applyFont="1" applyFill="1" applyBorder="1" applyAlignment="1">
      <alignment horizontal="right" vertical="center"/>
    </xf>
    <xf numFmtId="181" fontId="3" fillId="2" borderId="1" xfId="0" applyNumberFormat="1" applyFont="1" applyFill="1" applyBorder="1" applyAlignment="1">
      <alignment horizontal="right" vertical="center"/>
    </xf>
    <xf numFmtId="181" fontId="6" fillId="2" borderId="1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181" fontId="5" fillId="2" borderId="1" xfId="0" applyNumberFormat="1" applyFont="1" applyFill="1" applyBorder="1" applyAlignment="1">
      <alignment horizontal="right" vertical="center"/>
    </xf>
    <xf numFmtId="183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184" fontId="3" fillId="2" borderId="1" xfId="0" applyNumberFormat="1" applyFont="1" applyFill="1" applyBorder="1" applyAlignment="1">
      <alignment horizontal="right" vertical="center"/>
    </xf>
    <xf numFmtId="183" fontId="5" fillId="0" borderId="6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77" fontId="3" fillId="2" borderId="12" xfId="0" applyNumberFormat="1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>
      <alignment horizontal="center" vertical="center"/>
    </xf>
    <xf numFmtId="177" fontId="5" fillId="2" borderId="11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left" vertical="center"/>
    </xf>
    <xf numFmtId="177" fontId="8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/>
    </xf>
    <xf numFmtId="178" fontId="3" fillId="2" borderId="4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19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183" fontId="3" fillId="0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3" fontId="7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0" fontId="3" fillId="2" borderId="1" xfId="0" applyNumberFormat="1" applyFont="1" applyFill="1" applyBorder="1" applyAlignment="1" applyProtection="1">
      <alignment horizontal="right" vertical="center"/>
    </xf>
    <xf numFmtId="184" fontId="3" fillId="2" borderId="1" xfId="0" applyNumberFormat="1" applyFont="1" applyFill="1" applyBorder="1" applyAlignment="1" applyProtection="1">
      <alignment horizontal="right" vertical="center"/>
    </xf>
    <xf numFmtId="177" fontId="5" fillId="2" borderId="0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vertical="center"/>
    </xf>
    <xf numFmtId="10" fontId="3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3" fillId="6" borderId="0" xfId="0" applyNumberFormat="1" applyFont="1" applyFill="1" applyAlignment="1">
      <alignment vertical="center"/>
    </xf>
    <xf numFmtId="176" fontId="3" fillId="7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3" fillId="8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176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 wrapText="1"/>
    </xf>
    <xf numFmtId="176" fontId="21" fillId="2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85" fontId="3" fillId="0" borderId="4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3" fillId="6" borderId="0" xfId="0" applyNumberFormat="1" applyFont="1" applyFill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center" vertical="center"/>
    </xf>
    <xf numFmtId="186" fontId="3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80" fontId="3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horizontal="center" vertical="center"/>
    </xf>
    <xf numFmtId="186" fontId="5" fillId="2" borderId="0" xfId="0" applyNumberFormat="1" applyFont="1" applyFill="1" applyBorder="1" applyAlignment="1">
      <alignment vertical="center"/>
    </xf>
    <xf numFmtId="176" fontId="7" fillId="6" borderId="0" xfId="0" applyNumberFormat="1" applyFont="1" applyFill="1" applyBorder="1" applyAlignment="1">
      <alignment horizontal="center" vertical="center"/>
    </xf>
    <xf numFmtId="180" fontId="3" fillId="6" borderId="0" xfId="0" applyNumberFormat="1" applyFont="1" applyFill="1" applyBorder="1" applyAlignment="1">
      <alignment vertical="center"/>
    </xf>
    <xf numFmtId="176" fontId="3" fillId="6" borderId="0" xfId="0" applyNumberFormat="1" applyFont="1" applyFill="1" applyBorder="1" applyAlignment="1">
      <alignment vertical="center"/>
    </xf>
    <xf numFmtId="176" fontId="7" fillId="7" borderId="0" xfId="0" applyNumberFormat="1" applyFont="1" applyFill="1" applyBorder="1" applyAlignment="1">
      <alignment horizontal="center" vertical="center"/>
    </xf>
    <xf numFmtId="180" fontId="3" fillId="7" borderId="0" xfId="0" applyNumberFormat="1" applyFont="1" applyFill="1" applyBorder="1" applyAlignment="1">
      <alignment vertical="center"/>
    </xf>
    <xf numFmtId="176" fontId="3" fillId="7" borderId="0" xfId="0" applyNumberFormat="1" applyFont="1" applyFill="1" applyBorder="1" applyAlignment="1">
      <alignment vertical="center"/>
    </xf>
    <xf numFmtId="177" fontId="19" fillId="0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81" fontId="2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8" borderId="0" xfId="0" applyNumberFormat="1" applyFont="1" applyFill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7" fillId="8" borderId="0" xfId="0" applyNumberFormat="1" applyFont="1" applyFill="1" applyBorder="1" applyAlignment="1">
      <alignment horizontal="center" vertical="center"/>
    </xf>
    <xf numFmtId="180" fontId="3" fillId="8" borderId="0" xfId="0" applyNumberFormat="1" applyFont="1" applyFill="1" applyBorder="1" applyAlignment="1">
      <alignment vertical="center"/>
    </xf>
    <xf numFmtId="176" fontId="3" fillId="8" borderId="0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176" fontId="6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right" vertical="center" wrapText="1"/>
    </xf>
    <xf numFmtId="178" fontId="26" fillId="2" borderId="0" xfId="0" applyNumberFormat="1" applyFont="1" applyFill="1" applyBorder="1" applyAlignment="1">
      <alignment horizontal="center"/>
    </xf>
    <xf numFmtId="177" fontId="26" fillId="2" borderId="0" xfId="0" applyNumberFormat="1" applyFont="1" applyFill="1" applyBorder="1" applyAlignment="1">
      <alignment horizontal="center"/>
    </xf>
    <xf numFmtId="176" fontId="25" fillId="2" borderId="0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right" vertical="center" wrapText="1"/>
    </xf>
    <xf numFmtId="0" fontId="28" fillId="2" borderId="0" xfId="0" applyFont="1" applyFill="1" applyAlignment="1">
      <alignment horizontal="center" vertical="center"/>
    </xf>
    <xf numFmtId="176" fontId="29" fillId="2" borderId="0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25" fillId="2" borderId="0" xfId="0" applyNumberFormat="1" applyFont="1" applyFill="1" applyBorder="1" applyAlignment="1">
      <alignment horizontal="center" vertical="center" wrapText="1"/>
    </xf>
    <xf numFmtId="176" fontId="22" fillId="2" borderId="0" xfId="0" applyNumberFormat="1" applyFont="1" applyFill="1" applyBorder="1" applyAlignment="1">
      <alignment horizontal="center" vertical="center"/>
    </xf>
    <xf numFmtId="183" fontId="2" fillId="2" borderId="0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87" fontId="3" fillId="0" borderId="1" xfId="0" applyNumberFormat="1" applyFont="1" applyFill="1" applyBorder="1" applyAlignment="1" applyProtection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 applyProtection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88" fontId="3" fillId="2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6"/>
  <sheetViews>
    <sheetView tabSelected="1" view="pageBreakPreview" zoomScale="70" zoomScaleNormal="100" workbookViewId="0">
      <pane ySplit="5" topLeftCell="A80" activePane="bottomLeft" state="frozen"/>
      <selection/>
      <selection pane="bottomLeft" activeCell="E84" sqref="E84"/>
    </sheetView>
  </sheetViews>
  <sheetFormatPr defaultColWidth="10.2666666666667" defaultRowHeight="28" customHeight="1"/>
  <cols>
    <col min="1" max="1" width="12.775" style="241" customWidth="1"/>
    <col min="2" max="2" width="45.075" style="242" customWidth="1"/>
    <col min="3" max="3" width="26.7166666666667" style="243" customWidth="1"/>
    <col min="4" max="4" width="17.4916666666667" style="243" customWidth="1"/>
    <col min="5" max="5" width="20.2666666666667" style="243" customWidth="1"/>
    <col min="6" max="6" width="15.0916666666667" style="243" customWidth="1"/>
    <col min="7" max="7" width="22.575" style="243" customWidth="1"/>
    <col min="8" max="8" width="20.6666666666667" style="241" customWidth="1"/>
    <col min="9" max="9" width="20.1833333333333" style="241"/>
    <col min="10" max="10" width="20.2833333333333" style="241"/>
    <col min="11" max="11" width="19.7166666666667" style="241" customWidth="1"/>
    <col min="12" max="12" width="17.475" style="241" customWidth="1"/>
    <col min="13" max="13" width="25.8916666666667" style="241" customWidth="1"/>
    <col min="14" max="14" width="30.35" style="244" customWidth="1"/>
    <col min="15" max="15" width="15.7166666666667" style="245" customWidth="1"/>
    <col min="16" max="16" width="27.725" style="245" customWidth="1"/>
    <col min="17" max="17" width="10.4583333333333" style="245"/>
    <col min="18" max="18" width="24.625" style="245" customWidth="1"/>
    <col min="19" max="19" width="15.5416666666667" style="245" customWidth="1"/>
    <col min="20" max="16384" width="10.2666666666667" style="245"/>
  </cols>
  <sheetData>
    <row r="1" ht="42" customHeight="1" spans="1:14">
      <c r="A1" s="246" t="s">
        <v>0</v>
      </c>
      <c r="B1" s="247"/>
      <c r="C1" s="248"/>
      <c r="D1" s="248"/>
      <c r="E1" s="248"/>
      <c r="F1" s="248"/>
      <c r="G1" s="248"/>
      <c r="H1" s="246"/>
      <c r="I1" s="246"/>
      <c r="J1" s="246"/>
      <c r="K1" s="246"/>
      <c r="M1" s="273"/>
      <c r="N1" s="274"/>
    </row>
    <row r="2" customHeight="1" spans="1:13">
      <c r="A2" s="249" t="s">
        <v>1</v>
      </c>
      <c r="B2" s="249"/>
      <c r="C2" s="250"/>
      <c r="D2" s="250"/>
      <c r="E2" s="250"/>
      <c r="F2" s="250"/>
      <c r="G2" s="250"/>
      <c r="H2" s="260"/>
      <c r="I2" s="260"/>
      <c r="J2" s="260"/>
      <c r="K2" s="260"/>
      <c r="M2" s="273"/>
    </row>
    <row r="3" s="224" customFormat="1" customHeight="1" spans="1:14">
      <c r="A3" s="201" t="s">
        <v>2</v>
      </c>
      <c r="B3" s="202" t="s">
        <v>3</v>
      </c>
      <c r="C3" s="213" t="s">
        <v>4</v>
      </c>
      <c r="D3" s="213"/>
      <c r="E3" s="213"/>
      <c r="F3" s="213"/>
      <c r="G3" s="213"/>
      <c r="H3" s="203" t="s">
        <v>5</v>
      </c>
      <c r="I3" s="203"/>
      <c r="J3" s="203"/>
      <c r="K3" s="215" t="s">
        <v>6</v>
      </c>
      <c r="L3" s="261"/>
      <c r="M3" s="264"/>
      <c r="N3" s="275"/>
    </row>
    <row r="4" s="224" customFormat="1" ht="25" customHeight="1" spans="1:14">
      <c r="A4" s="204"/>
      <c r="B4" s="205"/>
      <c r="C4" s="251" t="s">
        <v>7</v>
      </c>
      <c r="D4" s="251" t="s">
        <v>8</v>
      </c>
      <c r="E4" s="251" t="s">
        <v>9</v>
      </c>
      <c r="F4" s="251" t="s">
        <v>10</v>
      </c>
      <c r="G4" s="18" t="s">
        <v>11</v>
      </c>
      <c r="H4" s="52" t="s">
        <v>12</v>
      </c>
      <c r="I4" s="52" t="s">
        <v>13</v>
      </c>
      <c r="J4" s="205" t="s">
        <v>14</v>
      </c>
      <c r="K4" s="216"/>
      <c r="L4" s="262"/>
      <c r="M4" s="276"/>
      <c r="N4" s="277"/>
    </row>
    <row r="5" s="234" customFormat="1" ht="31" customHeight="1" spans="1:13">
      <c r="A5" s="17" t="s">
        <v>15</v>
      </c>
      <c r="B5" s="251" t="s">
        <v>16</v>
      </c>
      <c r="C5" s="18">
        <f>C6+C26+C32+C38+C47+C50+C53+C109+C116</f>
        <v>2614.805814</v>
      </c>
      <c r="D5" s="18">
        <f>D6+D26+D32+D38+D47+D50+D53+D109+D116</f>
        <v>0</v>
      </c>
      <c r="E5" s="18">
        <f>E6+E26+E32+E38+E47+E50+E53+E109+E116</f>
        <v>1255.258929</v>
      </c>
      <c r="F5" s="18">
        <f>F6+F26+F32+F38+F47+F50+F53+F109+F116</f>
        <v>0</v>
      </c>
      <c r="G5" s="18">
        <f>G6+G26+G32+G38+G47+G50+G53+G109+G116</f>
        <v>3870.064743</v>
      </c>
      <c r="H5" s="252" t="s">
        <v>17</v>
      </c>
      <c r="I5" s="18"/>
      <c r="J5" s="18"/>
      <c r="K5" s="263">
        <f>G5/G146</f>
        <v>0.911768010194652</v>
      </c>
      <c r="L5" s="264"/>
      <c r="M5" s="267">
        <v>38700647.53</v>
      </c>
    </row>
    <row r="6" s="235" customFormat="1" ht="31" customHeight="1" spans="1:19">
      <c r="A6" s="21" t="s">
        <v>18</v>
      </c>
      <c r="B6" s="83" t="s">
        <v>19</v>
      </c>
      <c r="C6" s="252">
        <f>C25</f>
        <v>266.32179</v>
      </c>
      <c r="D6" s="252">
        <f>D25</f>
        <v>0</v>
      </c>
      <c r="E6" s="252">
        <f>E25</f>
        <v>39.511043</v>
      </c>
      <c r="F6" s="252">
        <f>F25</f>
        <v>0</v>
      </c>
      <c r="G6" s="18">
        <f>G25</f>
        <v>305.832833</v>
      </c>
      <c r="H6" s="252" t="s">
        <v>17</v>
      </c>
      <c r="I6" s="265">
        <f>3828.28</f>
        <v>3828.28</v>
      </c>
      <c r="J6" s="255"/>
      <c r="K6" s="266"/>
      <c r="L6" s="267"/>
      <c r="M6" s="267">
        <f>G5*10000-M5</f>
        <v>-0.0999999940395355</v>
      </c>
      <c r="N6" s="234"/>
      <c r="O6" s="234"/>
      <c r="P6" s="234"/>
      <c r="Q6" s="234"/>
      <c r="R6" s="234"/>
      <c r="S6" s="234"/>
    </row>
    <row r="7" s="236" customFormat="1" ht="31" customHeight="1" spans="1:19">
      <c r="A7" s="21">
        <v>1</v>
      </c>
      <c r="B7" s="83" t="s">
        <v>20</v>
      </c>
      <c r="C7" s="252">
        <f>SUM(C8:C16)</f>
        <v>266.32179</v>
      </c>
      <c r="D7" s="252">
        <f>SUM(D8:D16)</f>
        <v>0</v>
      </c>
      <c r="E7" s="252">
        <f>SUM(E8:E16)</f>
        <v>0</v>
      </c>
      <c r="F7" s="252">
        <f>SUM(F8:F16)</f>
        <v>0</v>
      </c>
      <c r="G7" s="18">
        <f>SUM(G8:G16)</f>
        <v>266.32179</v>
      </c>
      <c r="H7" s="252" t="s">
        <v>17</v>
      </c>
      <c r="I7" s="265">
        <f>I6</f>
        <v>3828.28</v>
      </c>
      <c r="J7" s="252">
        <f>G7/I7*10000</f>
        <v>695.669569623956</v>
      </c>
      <c r="K7" s="268"/>
      <c r="L7" s="269"/>
      <c r="M7" s="278"/>
      <c r="N7" s="279"/>
      <c r="O7" s="280"/>
      <c r="P7" s="280"/>
      <c r="Q7" s="280"/>
      <c r="R7" s="280"/>
      <c r="S7" s="280"/>
    </row>
    <row r="8" s="236" customFormat="1" ht="31" customHeight="1" spans="1:19">
      <c r="A8" s="253">
        <v>1.1</v>
      </c>
      <c r="B8" s="254" t="s">
        <v>21</v>
      </c>
      <c r="C8" s="255">
        <f>780125.48/10000</f>
        <v>78.012548</v>
      </c>
      <c r="D8" s="255"/>
      <c r="E8" s="255"/>
      <c r="F8" s="255"/>
      <c r="G8" s="47">
        <f t="shared" ref="G8:G16" si="0">SUM(C8:F8)</f>
        <v>78.012548</v>
      </c>
      <c r="H8" s="255" t="s">
        <v>17</v>
      </c>
      <c r="I8" s="270">
        <v>766.32</v>
      </c>
      <c r="J8" s="255">
        <f>G8/I8*10000</f>
        <v>1018.01529387201</v>
      </c>
      <c r="K8" s="268"/>
      <c r="L8" s="269"/>
      <c r="M8" s="278"/>
      <c r="N8" s="281"/>
      <c r="O8" s="280"/>
      <c r="P8" s="280"/>
      <c r="Q8" s="280"/>
      <c r="R8" s="280"/>
      <c r="S8" s="280"/>
    </row>
    <row r="9" s="236" customFormat="1" ht="31" customHeight="1" spans="1:19">
      <c r="A9" s="253">
        <v>1.2</v>
      </c>
      <c r="B9" s="254" t="s">
        <v>22</v>
      </c>
      <c r="C9" s="255">
        <f>271865.83/10000</f>
        <v>27.186583</v>
      </c>
      <c r="D9" s="255"/>
      <c r="E9" s="255"/>
      <c r="F9" s="255"/>
      <c r="G9" s="47">
        <f t="shared" si="0"/>
        <v>27.186583</v>
      </c>
      <c r="H9" s="255" t="s">
        <v>17</v>
      </c>
      <c r="I9" s="270">
        <v>585</v>
      </c>
      <c r="J9" s="255">
        <f t="shared" ref="J9:J17" si="1">G9/I9*10000</f>
        <v>464.727914529915</v>
      </c>
      <c r="K9" s="268"/>
      <c r="L9" s="269"/>
      <c r="M9" s="278"/>
      <c r="N9" s="281"/>
      <c r="O9" s="280"/>
      <c r="P9" s="280"/>
      <c r="Q9" s="280"/>
      <c r="R9" s="280"/>
      <c r="S9" s="280"/>
    </row>
    <row r="10" s="236" customFormat="1" ht="31" customHeight="1" spans="1:19">
      <c r="A10" s="253">
        <v>1.3</v>
      </c>
      <c r="B10" s="254" t="s">
        <v>23</v>
      </c>
      <c r="C10" s="255">
        <f>111671.73/10000</f>
        <v>11.167173</v>
      </c>
      <c r="D10" s="255"/>
      <c r="E10" s="255"/>
      <c r="F10" s="255"/>
      <c r="G10" s="47">
        <f t="shared" si="0"/>
        <v>11.167173</v>
      </c>
      <c r="H10" s="255" t="s">
        <v>17</v>
      </c>
      <c r="I10" s="270">
        <v>423.2</v>
      </c>
      <c r="J10" s="255">
        <f t="shared" si="1"/>
        <v>263.874598298677</v>
      </c>
      <c r="K10" s="268"/>
      <c r="L10" s="269"/>
      <c r="M10" s="278"/>
      <c r="N10" s="281"/>
      <c r="O10" s="280"/>
      <c r="P10" s="280"/>
      <c r="Q10" s="280"/>
      <c r="R10" s="280"/>
      <c r="S10" s="280"/>
    </row>
    <row r="11" s="236" customFormat="1" ht="31" customHeight="1" spans="1:19">
      <c r="A11" s="253">
        <v>1.4</v>
      </c>
      <c r="B11" s="254" t="s">
        <v>24</v>
      </c>
      <c r="C11" s="255">
        <f>102687.86/10000</f>
        <v>10.268786</v>
      </c>
      <c r="D11" s="255"/>
      <c r="E11" s="255"/>
      <c r="F11" s="255"/>
      <c r="G11" s="47">
        <f t="shared" si="0"/>
        <v>10.268786</v>
      </c>
      <c r="H11" s="255" t="s">
        <v>17</v>
      </c>
      <c r="I11" s="270">
        <f>290.83+72+86</f>
        <v>448.83</v>
      </c>
      <c r="J11" s="255">
        <f t="shared" si="1"/>
        <v>228.790098701067</v>
      </c>
      <c r="K11" s="268"/>
      <c r="L11" s="269"/>
      <c r="M11" s="278"/>
      <c r="N11" s="281"/>
      <c r="O11" s="280"/>
      <c r="P11" s="280"/>
      <c r="Q11" s="280"/>
      <c r="R11" s="280"/>
      <c r="S11" s="280"/>
    </row>
    <row r="12" s="236" customFormat="1" ht="31" customHeight="1" spans="1:19">
      <c r="A12" s="253">
        <v>1.5</v>
      </c>
      <c r="B12" s="254" t="s">
        <v>25</v>
      </c>
      <c r="C12" s="255">
        <f>857762.43/10000</f>
        <v>85.776243</v>
      </c>
      <c r="D12" s="255"/>
      <c r="E12" s="255"/>
      <c r="F12" s="255"/>
      <c r="G12" s="47">
        <f t="shared" si="0"/>
        <v>85.776243</v>
      </c>
      <c r="H12" s="255" t="s">
        <v>17</v>
      </c>
      <c r="I12" s="270">
        <f>1680+242.36</f>
        <v>1922.36</v>
      </c>
      <c r="J12" s="255">
        <f t="shared" si="1"/>
        <v>446.202808006825</v>
      </c>
      <c r="K12" s="268"/>
      <c r="L12" s="269"/>
      <c r="M12" s="278"/>
      <c r="N12" s="281"/>
      <c r="O12" s="280"/>
      <c r="P12" s="280"/>
      <c r="Q12" s="280"/>
      <c r="R12" s="280"/>
      <c r="S12" s="280"/>
    </row>
    <row r="13" s="236" customFormat="1" ht="31" customHeight="1" spans="1:19">
      <c r="A13" s="253">
        <v>1.6</v>
      </c>
      <c r="B13" s="254" t="s">
        <v>26</v>
      </c>
      <c r="C13" s="255">
        <f>89177.95/10000</f>
        <v>8.917795</v>
      </c>
      <c r="D13" s="255"/>
      <c r="E13" s="255"/>
      <c r="F13" s="255"/>
      <c r="G13" s="47">
        <f t="shared" si="0"/>
        <v>8.917795</v>
      </c>
      <c r="H13" s="255" t="s">
        <v>17</v>
      </c>
      <c r="I13" s="270">
        <v>355.2</v>
      </c>
      <c r="J13" s="255">
        <f t="shared" si="1"/>
        <v>251.064048423423</v>
      </c>
      <c r="K13" s="268"/>
      <c r="L13" s="269"/>
      <c r="M13" s="278"/>
      <c r="N13" s="281"/>
      <c r="O13" s="280"/>
      <c r="P13" s="280"/>
      <c r="Q13" s="280"/>
      <c r="R13" s="280"/>
      <c r="S13" s="280"/>
    </row>
    <row r="14" s="236" customFormat="1" ht="31" customHeight="1" spans="1:19">
      <c r="A14" s="253">
        <v>1.7</v>
      </c>
      <c r="B14" s="85" t="s">
        <v>27</v>
      </c>
      <c r="C14" s="255">
        <f>156117.29/10000</f>
        <v>15.611729</v>
      </c>
      <c r="D14" s="255"/>
      <c r="E14" s="255"/>
      <c r="F14" s="255"/>
      <c r="G14" s="47">
        <f t="shared" si="0"/>
        <v>15.611729</v>
      </c>
      <c r="H14" s="255" t="s">
        <v>17</v>
      </c>
      <c r="I14" s="270">
        <v>243.65</v>
      </c>
      <c r="J14" s="255">
        <f t="shared" si="1"/>
        <v>640.74405910117</v>
      </c>
      <c r="K14" s="268"/>
      <c r="L14" s="269"/>
      <c r="M14" s="278"/>
      <c r="N14" s="281"/>
      <c r="O14" s="280"/>
      <c r="P14" s="280"/>
      <c r="Q14" s="280"/>
      <c r="R14" s="280"/>
      <c r="S14" s="280"/>
    </row>
    <row r="15" s="236" customFormat="1" ht="31" customHeight="1" spans="1:19">
      <c r="A15" s="253">
        <v>1.8</v>
      </c>
      <c r="B15" s="254" t="s">
        <v>28</v>
      </c>
      <c r="C15" s="255">
        <f>233359.96/10000</f>
        <v>23.335996</v>
      </c>
      <c r="D15" s="255"/>
      <c r="E15" s="255"/>
      <c r="F15" s="255"/>
      <c r="G15" s="47">
        <f t="shared" si="0"/>
        <v>23.335996</v>
      </c>
      <c r="H15" s="255" t="s">
        <v>17</v>
      </c>
      <c r="I15" s="270">
        <v>665</v>
      </c>
      <c r="J15" s="255">
        <f t="shared" si="1"/>
        <v>350.917233082707</v>
      </c>
      <c r="K15" s="268"/>
      <c r="L15" s="269"/>
      <c r="M15" s="278"/>
      <c r="N15" s="281"/>
      <c r="O15" s="280"/>
      <c r="P15" s="280"/>
      <c r="Q15" s="280"/>
      <c r="R15" s="280"/>
      <c r="S15" s="280"/>
    </row>
    <row r="16" s="236" customFormat="1" ht="31" customHeight="1" spans="1:19">
      <c r="A16" s="253">
        <v>1.9</v>
      </c>
      <c r="B16" s="254" t="s">
        <v>29</v>
      </c>
      <c r="C16" s="255">
        <f>60449.37/10000</f>
        <v>6.044937</v>
      </c>
      <c r="D16" s="255"/>
      <c r="E16" s="255"/>
      <c r="F16" s="255"/>
      <c r="G16" s="47">
        <f t="shared" si="0"/>
        <v>6.044937</v>
      </c>
      <c r="H16" s="255" t="s">
        <v>17</v>
      </c>
      <c r="I16" s="270">
        <v>365.48</v>
      </c>
      <c r="J16" s="255">
        <f t="shared" si="1"/>
        <v>165.397203677356</v>
      </c>
      <c r="K16" s="268"/>
      <c r="L16" s="269"/>
      <c r="M16" s="278"/>
      <c r="N16" s="281"/>
      <c r="O16" s="280"/>
      <c r="P16" s="280"/>
      <c r="Q16" s="280"/>
      <c r="R16" s="280"/>
      <c r="S16" s="280"/>
    </row>
    <row r="17" s="236" customFormat="1" ht="31" customHeight="1" spans="1:19">
      <c r="A17" s="21">
        <v>2</v>
      </c>
      <c r="B17" s="83" t="s">
        <v>30</v>
      </c>
      <c r="C17" s="252">
        <f>SUM(C18:C19)</f>
        <v>0</v>
      </c>
      <c r="D17" s="252">
        <f>SUM(D18:D19)</f>
        <v>0</v>
      </c>
      <c r="E17" s="252">
        <f>SUM(E18:E19)</f>
        <v>11.453581</v>
      </c>
      <c r="F17" s="252">
        <f>SUM(F18:F19)</f>
        <v>0</v>
      </c>
      <c r="G17" s="18">
        <f>SUM(G18:G19)</f>
        <v>11.453581</v>
      </c>
      <c r="H17" s="252" t="s">
        <v>17</v>
      </c>
      <c r="I17" s="265">
        <f>I6</f>
        <v>3828.28</v>
      </c>
      <c r="J17" s="252">
        <f t="shared" si="1"/>
        <v>29.9183471428422</v>
      </c>
      <c r="K17" s="268"/>
      <c r="L17" s="269"/>
      <c r="M17" s="278"/>
      <c r="N17" s="281"/>
      <c r="O17" s="280"/>
      <c r="P17" s="280"/>
      <c r="Q17" s="280"/>
      <c r="R17" s="280"/>
      <c r="S17" s="280"/>
    </row>
    <row r="18" s="236" customFormat="1" ht="31" customHeight="1" spans="1:19">
      <c r="A18" s="253">
        <v>2.1</v>
      </c>
      <c r="B18" s="85" t="s">
        <v>31</v>
      </c>
      <c r="C18" s="255"/>
      <c r="D18" s="255"/>
      <c r="E18" s="255">
        <f>33462.51/10000</f>
        <v>3.346251</v>
      </c>
      <c r="F18" s="255"/>
      <c r="G18" s="47">
        <f>SUM(C18:F18)</f>
        <v>3.346251</v>
      </c>
      <c r="H18" s="255" t="s">
        <v>32</v>
      </c>
      <c r="I18" s="270">
        <v>336.97</v>
      </c>
      <c r="J18" s="255">
        <f t="shared" ref="J18:J22" si="2">G18/I18*10000</f>
        <v>99.3041220286672</v>
      </c>
      <c r="K18" s="268"/>
      <c r="L18" s="269"/>
      <c r="M18" s="278"/>
      <c r="N18" s="281"/>
      <c r="O18" s="280"/>
      <c r="P18" s="280"/>
      <c r="Q18" s="280"/>
      <c r="R18" s="280"/>
      <c r="S18" s="280"/>
    </row>
    <row r="19" s="236" customFormat="1" ht="31" customHeight="1" spans="1:19">
      <c r="A19" s="253">
        <v>2.2</v>
      </c>
      <c r="B19" s="85" t="s">
        <v>33</v>
      </c>
      <c r="C19" s="255"/>
      <c r="D19" s="255"/>
      <c r="E19" s="255">
        <f>81073.3/10000</f>
        <v>8.10733</v>
      </c>
      <c r="F19" s="255"/>
      <c r="G19" s="47">
        <f>SUM(C19:F19)</f>
        <v>8.10733</v>
      </c>
      <c r="H19" s="255" t="s">
        <v>32</v>
      </c>
      <c r="I19" s="270">
        <v>321.36</v>
      </c>
      <c r="J19" s="255">
        <f t="shared" si="2"/>
        <v>252.281864575554</v>
      </c>
      <c r="K19" s="268"/>
      <c r="L19" s="269"/>
      <c r="M19" s="278"/>
      <c r="N19" s="281"/>
      <c r="O19" s="280"/>
      <c r="P19" s="280"/>
      <c r="Q19" s="280"/>
      <c r="R19" s="280"/>
      <c r="S19" s="280"/>
    </row>
    <row r="20" s="235" customFormat="1" ht="31" customHeight="1" spans="1:19">
      <c r="A20" s="21">
        <v>3</v>
      </c>
      <c r="B20" s="256" t="s">
        <v>34</v>
      </c>
      <c r="C20" s="252">
        <f>SUM(C21:C21)</f>
        <v>0</v>
      </c>
      <c r="D20" s="252">
        <f>SUM(D21:D21)</f>
        <v>0</v>
      </c>
      <c r="E20" s="252">
        <f>SUM(E21:E21)</f>
        <v>13.888278</v>
      </c>
      <c r="F20" s="252">
        <f>SUM(F21:F21)</f>
        <v>0</v>
      </c>
      <c r="G20" s="18">
        <f>SUM(G21:G21)</f>
        <v>13.888278</v>
      </c>
      <c r="H20" s="252" t="s">
        <v>17</v>
      </c>
      <c r="I20" s="265">
        <f>I6</f>
        <v>3828.28</v>
      </c>
      <c r="J20" s="252">
        <f t="shared" si="2"/>
        <v>36.2781144534883</v>
      </c>
      <c r="K20" s="266"/>
      <c r="L20" s="267"/>
      <c r="M20" s="282"/>
      <c r="N20" s="277"/>
      <c r="O20" s="234"/>
      <c r="P20" s="234"/>
      <c r="Q20" s="234"/>
      <c r="R20" s="234"/>
      <c r="S20" s="234"/>
    </row>
    <row r="21" s="236" customFormat="1" ht="31" customHeight="1" spans="1:19">
      <c r="A21" s="253">
        <v>3.1</v>
      </c>
      <c r="B21" s="85" t="s">
        <v>34</v>
      </c>
      <c r="C21" s="255"/>
      <c r="D21" s="255"/>
      <c r="E21" s="255">
        <f>138882.78/10000</f>
        <v>13.888278</v>
      </c>
      <c r="F21" s="255"/>
      <c r="G21" s="47">
        <f>SUM(C21:F21)</f>
        <v>13.888278</v>
      </c>
      <c r="H21" s="255" t="s">
        <v>32</v>
      </c>
      <c r="I21" s="270">
        <f>375.46</f>
        <v>375.46</v>
      </c>
      <c r="J21" s="255">
        <f t="shared" si="2"/>
        <v>369.900335588345</v>
      </c>
      <c r="K21" s="268"/>
      <c r="L21" s="269"/>
      <c r="M21" s="278"/>
      <c r="N21" s="281"/>
      <c r="O21" s="280"/>
      <c r="P21" s="280"/>
      <c r="Q21" s="280"/>
      <c r="R21" s="280"/>
      <c r="S21" s="280"/>
    </row>
    <row r="22" s="235" customFormat="1" ht="31" customHeight="1" spans="1:19">
      <c r="A22" s="21">
        <v>4</v>
      </c>
      <c r="B22" s="83" t="s">
        <v>35</v>
      </c>
      <c r="C22" s="252">
        <f>SUM(C23:C24)</f>
        <v>0</v>
      </c>
      <c r="D22" s="252">
        <f>SUM(D23:D24)</f>
        <v>0</v>
      </c>
      <c r="E22" s="252">
        <f>SUM(E23:E24)</f>
        <v>14.169184</v>
      </c>
      <c r="F22" s="252">
        <f>SUM(F23:F24)</f>
        <v>0</v>
      </c>
      <c r="G22" s="18">
        <f>SUM(G23:G24)</f>
        <v>14.169184</v>
      </c>
      <c r="H22" s="252" t="s">
        <v>17</v>
      </c>
      <c r="I22" s="265">
        <f>I6</f>
        <v>3828.28</v>
      </c>
      <c r="J22" s="252">
        <f t="shared" si="2"/>
        <v>37.0118800087768</v>
      </c>
      <c r="K22" s="266"/>
      <c r="L22" s="267"/>
      <c r="M22" s="282"/>
      <c r="N22" s="277"/>
      <c r="O22" s="234"/>
      <c r="P22" s="234"/>
      <c r="Q22" s="234"/>
      <c r="R22" s="234"/>
      <c r="S22" s="234"/>
    </row>
    <row r="23" s="236" customFormat="1" ht="31" customHeight="1" spans="1:19">
      <c r="A23" s="253">
        <v>4.1</v>
      </c>
      <c r="B23" s="85" t="s">
        <v>36</v>
      </c>
      <c r="C23" s="255"/>
      <c r="D23" s="255"/>
      <c r="E23" s="255">
        <f>131801.56/10000</f>
        <v>13.180156</v>
      </c>
      <c r="F23" s="255"/>
      <c r="G23" s="47">
        <f>SUM(C23:F23)</f>
        <v>13.180156</v>
      </c>
      <c r="H23" s="259" t="s">
        <v>37</v>
      </c>
      <c r="I23" s="270">
        <v>1</v>
      </c>
      <c r="J23" s="255">
        <v>131801.56</v>
      </c>
      <c r="K23" s="268"/>
      <c r="L23" s="269"/>
      <c r="M23" s="278"/>
      <c r="N23" s="281"/>
      <c r="O23" s="280"/>
      <c r="P23" s="280"/>
      <c r="Q23" s="280"/>
      <c r="R23" s="280"/>
      <c r="S23" s="280"/>
    </row>
    <row r="24" s="236" customFormat="1" ht="31" customHeight="1" spans="1:19">
      <c r="A24" s="253">
        <v>4.2</v>
      </c>
      <c r="B24" s="85" t="s">
        <v>38</v>
      </c>
      <c r="C24" s="255"/>
      <c r="D24" s="255"/>
      <c r="E24" s="255">
        <f>9890.28/10000</f>
        <v>0.989028</v>
      </c>
      <c r="F24" s="255"/>
      <c r="G24" s="47">
        <f>SUM(C24:F24)</f>
        <v>0.989028</v>
      </c>
      <c r="H24" s="255" t="s">
        <v>32</v>
      </c>
      <c r="I24" s="270">
        <v>60</v>
      </c>
      <c r="J24" s="255">
        <f>G24/I24*10000</f>
        <v>164.838</v>
      </c>
      <c r="K24" s="268"/>
      <c r="L24" s="269"/>
      <c r="M24" s="278"/>
      <c r="N24" s="281"/>
      <c r="O24" s="280"/>
      <c r="P24" s="280"/>
      <c r="Q24" s="280"/>
      <c r="R24" s="280"/>
      <c r="S24" s="280"/>
    </row>
    <row r="25" s="235" customFormat="1" ht="31" customHeight="1" spans="1:19">
      <c r="A25" s="21">
        <v>5</v>
      </c>
      <c r="B25" s="257" t="s">
        <v>39</v>
      </c>
      <c r="C25" s="252">
        <f>C7+C17+C20+C22</f>
        <v>266.32179</v>
      </c>
      <c r="D25" s="252">
        <f>D7+D17+D20+D22</f>
        <v>0</v>
      </c>
      <c r="E25" s="252">
        <f>E7+E17+E20+E22</f>
        <v>39.511043</v>
      </c>
      <c r="F25" s="252">
        <f>F7+F17+F20+F22</f>
        <v>0</v>
      </c>
      <c r="G25" s="18">
        <f>G7+G17+G20+G22</f>
        <v>305.832833</v>
      </c>
      <c r="H25" s="252"/>
      <c r="I25" s="265"/>
      <c r="J25" s="252"/>
      <c r="K25" s="266"/>
      <c r="L25" s="267"/>
      <c r="M25" s="282"/>
      <c r="N25" s="277"/>
      <c r="O25" s="234"/>
      <c r="P25" s="234"/>
      <c r="Q25" s="234"/>
      <c r="R25" s="234"/>
      <c r="S25" s="234"/>
    </row>
    <row r="26" s="235" customFormat="1" ht="31" customHeight="1" spans="1:19">
      <c r="A26" s="21" t="s">
        <v>40</v>
      </c>
      <c r="B26" s="83" t="s">
        <v>41</v>
      </c>
      <c r="C26" s="252">
        <f>C31</f>
        <v>266.32179</v>
      </c>
      <c r="D26" s="252">
        <f>D31</f>
        <v>0</v>
      </c>
      <c r="E26" s="252">
        <f>E31</f>
        <v>39.511043</v>
      </c>
      <c r="F26" s="252">
        <f>F31</f>
        <v>0</v>
      </c>
      <c r="G26" s="18">
        <f>G31</f>
        <v>305.832833</v>
      </c>
      <c r="H26" s="252" t="s">
        <v>17</v>
      </c>
      <c r="I26" s="265">
        <f>3828.28</f>
        <v>3828.28</v>
      </c>
      <c r="J26" s="255"/>
      <c r="K26" s="266"/>
      <c r="L26" s="267"/>
      <c r="M26" s="267"/>
      <c r="N26" s="234"/>
      <c r="O26" s="234"/>
      <c r="P26" s="234"/>
      <c r="Q26" s="234"/>
      <c r="R26" s="234"/>
      <c r="S26" s="234"/>
    </row>
    <row r="27" s="236" customFormat="1" ht="31" customHeight="1" spans="1:19">
      <c r="A27" s="84">
        <v>1</v>
      </c>
      <c r="B27" s="254" t="s">
        <v>20</v>
      </c>
      <c r="C27" s="255">
        <f>C7</f>
        <v>266.32179</v>
      </c>
      <c r="D27" s="255">
        <f>D7</f>
        <v>0</v>
      </c>
      <c r="E27" s="255">
        <f>E7</f>
        <v>0</v>
      </c>
      <c r="F27" s="255">
        <f>F7</f>
        <v>0</v>
      </c>
      <c r="G27" s="47">
        <f>SUM(C27:F27)</f>
        <v>266.32179</v>
      </c>
      <c r="H27" s="255" t="s">
        <v>17</v>
      </c>
      <c r="I27" s="270">
        <f>I26</f>
        <v>3828.28</v>
      </c>
      <c r="J27" s="255">
        <f>G27/I27*10000</f>
        <v>695.669569623956</v>
      </c>
      <c r="K27" s="268"/>
      <c r="L27" s="269"/>
      <c r="M27" s="278"/>
      <c r="N27" s="279"/>
      <c r="O27" s="280"/>
      <c r="P27" s="280"/>
      <c r="Q27" s="280"/>
      <c r="R27" s="280"/>
      <c r="S27" s="280"/>
    </row>
    <row r="28" s="236" customFormat="1" ht="31" customHeight="1" spans="1:19">
      <c r="A28" s="84">
        <v>2</v>
      </c>
      <c r="B28" s="254" t="s">
        <v>30</v>
      </c>
      <c r="C28" s="255">
        <f>C17</f>
        <v>0</v>
      </c>
      <c r="D28" s="255">
        <f>D17</f>
        <v>0</v>
      </c>
      <c r="E28" s="255">
        <f>E17</f>
        <v>11.453581</v>
      </c>
      <c r="F28" s="255">
        <f>F17</f>
        <v>0</v>
      </c>
      <c r="G28" s="47">
        <f>SUM(C28:F28)</f>
        <v>11.453581</v>
      </c>
      <c r="H28" s="255" t="s">
        <v>17</v>
      </c>
      <c r="I28" s="270">
        <f>I27</f>
        <v>3828.28</v>
      </c>
      <c r="J28" s="255">
        <f>G28/I28*10000</f>
        <v>29.9183471428422</v>
      </c>
      <c r="K28" s="268"/>
      <c r="L28" s="269"/>
      <c r="M28" s="278"/>
      <c r="N28" s="281"/>
      <c r="O28" s="280"/>
      <c r="P28" s="280"/>
      <c r="Q28" s="280"/>
      <c r="R28" s="280"/>
      <c r="S28" s="280"/>
    </row>
    <row r="29" s="236" customFormat="1" ht="31" customHeight="1" spans="1:19">
      <c r="A29" s="84">
        <v>3</v>
      </c>
      <c r="B29" s="254" t="s">
        <v>42</v>
      </c>
      <c r="C29" s="255">
        <f>C20</f>
        <v>0</v>
      </c>
      <c r="D29" s="255">
        <f>D20</f>
        <v>0</v>
      </c>
      <c r="E29" s="255">
        <f>E20</f>
        <v>13.888278</v>
      </c>
      <c r="F29" s="255">
        <f>F20</f>
        <v>0</v>
      </c>
      <c r="G29" s="47">
        <f t="shared" ref="G29:G36" si="3">SUM(C29:F29)</f>
        <v>13.888278</v>
      </c>
      <c r="H29" s="255" t="s">
        <v>17</v>
      </c>
      <c r="I29" s="270">
        <f t="shared" ref="I29:I36" si="4">I28</f>
        <v>3828.28</v>
      </c>
      <c r="J29" s="255">
        <f t="shared" ref="J29:J36" si="5">G29/I29*10000</f>
        <v>36.2781144534883</v>
      </c>
      <c r="K29" s="268"/>
      <c r="L29" s="269"/>
      <c r="M29" s="278"/>
      <c r="N29" s="281"/>
      <c r="O29" s="280"/>
      <c r="P29" s="280"/>
      <c r="Q29" s="280"/>
      <c r="R29" s="280"/>
      <c r="S29" s="280"/>
    </row>
    <row r="30" s="236" customFormat="1" ht="31" customHeight="1" spans="1:19">
      <c r="A30" s="84">
        <v>4</v>
      </c>
      <c r="B30" s="254" t="s">
        <v>35</v>
      </c>
      <c r="C30" s="255">
        <f>C22</f>
        <v>0</v>
      </c>
      <c r="D30" s="255">
        <f>D22</f>
        <v>0</v>
      </c>
      <c r="E30" s="255">
        <f>E22</f>
        <v>14.169184</v>
      </c>
      <c r="F30" s="255">
        <f>F22</f>
        <v>0</v>
      </c>
      <c r="G30" s="47">
        <f t="shared" si="3"/>
        <v>14.169184</v>
      </c>
      <c r="H30" s="255" t="s">
        <v>17</v>
      </c>
      <c r="I30" s="270">
        <f t="shared" si="4"/>
        <v>3828.28</v>
      </c>
      <c r="J30" s="255">
        <f t="shared" si="5"/>
        <v>37.0118800087768</v>
      </c>
      <c r="K30" s="268"/>
      <c r="L30" s="269"/>
      <c r="M30" s="278"/>
      <c r="N30" s="281"/>
      <c r="O30" s="280"/>
      <c r="P30" s="280"/>
      <c r="Q30" s="280"/>
      <c r="R30" s="280"/>
      <c r="S30" s="280"/>
    </row>
    <row r="31" s="236" customFormat="1" ht="31" customHeight="1" spans="1:19">
      <c r="A31" s="84">
        <v>5</v>
      </c>
      <c r="B31" s="258" t="s">
        <v>39</v>
      </c>
      <c r="C31" s="255">
        <f>SUM(C27:C30)</f>
        <v>266.32179</v>
      </c>
      <c r="D31" s="255">
        <f>SUM(D27:D30)</f>
        <v>0</v>
      </c>
      <c r="E31" s="255">
        <f>SUM(E27:E30)</f>
        <v>39.511043</v>
      </c>
      <c r="F31" s="255">
        <f>SUM(F27:F30)</f>
        <v>0</v>
      </c>
      <c r="G31" s="47">
        <f>SUM(G27:G30)</f>
        <v>305.832833</v>
      </c>
      <c r="H31" s="255"/>
      <c r="I31" s="270"/>
      <c r="J31" s="255"/>
      <c r="K31" s="268"/>
      <c r="L31" s="269"/>
      <c r="M31" s="278"/>
      <c r="N31" s="281"/>
      <c r="O31" s="280"/>
      <c r="P31" s="280"/>
      <c r="Q31" s="280"/>
      <c r="R31" s="280"/>
      <c r="S31" s="280"/>
    </row>
    <row r="32" s="235" customFormat="1" ht="31" customHeight="1" spans="1:19">
      <c r="A32" s="21" t="s">
        <v>43</v>
      </c>
      <c r="B32" s="83" t="s">
        <v>44</v>
      </c>
      <c r="C32" s="252">
        <f>C37</f>
        <v>266.32179</v>
      </c>
      <c r="D32" s="252">
        <f>D37</f>
        <v>0</v>
      </c>
      <c r="E32" s="252">
        <f>E37</f>
        <v>39.511043</v>
      </c>
      <c r="F32" s="252">
        <f>F37</f>
        <v>0</v>
      </c>
      <c r="G32" s="18">
        <f>G37</f>
        <v>305.832833</v>
      </c>
      <c r="H32" s="252" t="s">
        <v>17</v>
      </c>
      <c r="I32" s="265">
        <f>3828.28</f>
        <v>3828.28</v>
      </c>
      <c r="J32" s="255"/>
      <c r="K32" s="266"/>
      <c r="L32" s="267"/>
      <c r="M32" s="267"/>
      <c r="N32" s="234"/>
      <c r="O32" s="234"/>
      <c r="P32" s="234"/>
      <c r="Q32" s="234"/>
      <c r="R32" s="234"/>
      <c r="S32" s="234"/>
    </row>
    <row r="33" s="236" customFormat="1" ht="31" customHeight="1" spans="1:19">
      <c r="A33" s="84">
        <v>1</v>
      </c>
      <c r="B33" s="254" t="s">
        <v>20</v>
      </c>
      <c r="C33" s="255">
        <f>C27</f>
        <v>266.32179</v>
      </c>
      <c r="D33" s="255">
        <f>D27</f>
        <v>0</v>
      </c>
      <c r="E33" s="255">
        <f>E27</f>
        <v>0</v>
      </c>
      <c r="F33" s="255">
        <f>F27</f>
        <v>0</v>
      </c>
      <c r="G33" s="47">
        <f t="shared" si="3"/>
        <v>266.32179</v>
      </c>
      <c r="H33" s="255" t="s">
        <v>17</v>
      </c>
      <c r="I33" s="270">
        <f t="shared" si="4"/>
        <v>3828.28</v>
      </c>
      <c r="J33" s="255">
        <f t="shared" si="5"/>
        <v>695.669569623956</v>
      </c>
      <c r="K33" s="268"/>
      <c r="L33" s="269"/>
      <c r="M33" s="278"/>
      <c r="N33" s="279"/>
      <c r="O33" s="280"/>
      <c r="P33" s="280"/>
      <c r="Q33" s="280"/>
      <c r="R33" s="280"/>
      <c r="S33" s="280"/>
    </row>
    <row r="34" s="236" customFormat="1" ht="31" customHeight="1" spans="1:19">
      <c r="A34" s="84">
        <v>2</v>
      </c>
      <c r="B34" s="254" t="s">
        <v>30</v>
      </c>
      <c r="C34" s="255">
        <f>C28</f>
        <v>0</v>
      </c>
      <c r="D34" s="255">
        <f>D28</f>
        <v>0</v>
      </c>
      <c r="E34" s="255">
        <f>E28</f>
        <v>11.453581</v>
      </c>
      <c r="F34" s="255">
        <f>F28</f>
        <v>0</v>
      </c>
      <c r="G34" s="47">
        <f t="shared" si="3"/>
        <v>11.453581</v>
      </c>
      <c r="H34" s="255" t="s">
        <v>17</v>
      </c>
      <c r="I34" s="270">
        <f t="shared" si="4"/>
        <v>3828.28</v>
      </c>
      <c r="J34" s="255">
        <f t="shared" si="5"/>
        <v>29.9183471428422</v>
      </c>
      <c r="K34" s="268"/>
      <c r="L34" s="269"/>
      <c r="M34" s="278"/>
      <c r="N34" s="281"/>
      <c r="O34" s="280"/>
      <c r="P34" s="280"/>
      <c r="Q34" s="280"/>
      <c r="R34" s="280"/>
      <c r="S34" s="280"/>
    </row>
    <row r="35" s="236" customFormat="1" ht="31" customHeight="1" spans="1:19">
      <c r="A35" s="84">
        <v>3</v>
      </c>
      <c r="B35" s="254" t="s">
        <v>42</v>
      </c>
      <c r="C35" s="255">
        <f>C29</f>
        <v>0</v>
      </c>
      <c r="D35" s="255">
        <f>D29</f>
        <v>0</v>
      </c>
      <c r="E35" s="255">
        <f>E29</f>
        <v>13.888278</v>
      </c>
      <c r="F35" s="255">
        <f>F29</f>
        <v>0</v>
      </c>
      <c r="G35" s="47">
        <f t="shared" si="3"/>
        <v>13.888278</v>
      </c>
      <c r="H35" s="255" t="s">
        <v>17</v>
      </c>
      <c r="I35" s="270">
        <f t="shared" si="4"/>
        <v>3828.28</v>
      </c>
      <c r="J35" s="255">
        <f t="shared" si="5"/>
        <v>36.2781144534883</v>
      </c>
      <c r="K35" s="268"/>
      <c r="L35" s="269"/>
      <c r="M35" s="278"/>
      <c r="N35" s="281"/>
      <c r="O35" s="280"/>
      <c r="P35" s="280"/>
      <c r="Q35" s="280"/>
      <c r="R35" s="280"/>
      <c r="S35" s="280"/>
    </row>
    <row r="36" s="236" customFormat="1" ht="31" customHeight="1" spans="1:19">
      <c r="A36" s="84">
        <v>4</v>
      </c>
      <c r="B36" s="254" t="s">
        <v>35</v>
      </c>
      <c r="C36" s="255">
        <f>C30</f>
        <v>0</v>
      </c>
      <c r="D36" s="255">
        <f>D30</f>
        <v>0</v>
      </c>
      <c r="E36" s="255">
        <f>E30</f>
        <v>14.169184</v>
      </c>
      <c r="F36" s="255">
        <f>F30</f>
        <v>0</v>
      </c>
      <c r="G36" s="47">
        <f t="shared" si="3"/>
        <v>14.169184</v>
      </c>
      <c r="H36" s="255" t="s">
        <v>17</v>
      </c>
      <c r="I36" s="270">
        <f t="shared" si="4"/>
        <v>3828.28</v>
      </c>
      <c r="J36" s="255">
        <f t="shared" si="5"/>
        <v>37.0118800087768</v>
      </c>
      <c r="K36" s="268"/>
      <c r="L36" s="269"/>
      <c r="M36" s="278"/>
      <c r="N36" s="281"/>
      <c r="O36" s="280"/>
      <c r="P36" s="280"/>
      <c r="Q36" s="280"/>
      <c r="R36" s="280"/>
      <c r="S36" s="280"/>
    </row>
    <row r="37" s="236" customFormat="1" ht="31" customHeight="1" spans="1:19">
      <c r="A37" s="84">
        <v>5</v>
      </c>
      <c r="B37" s="258" t="s">
        <v>39</v>
      </c>
      <c r="C37" s="255">
        <f t="shared" ref="C37:G37" si="6">SUM(C33:C36)</f>
        <v>266.32179</v>
      </c>
      <c r="D37" s="255">
        <f t="shared" si="6"/>
        <v>0</v>
      </c>
      <c r="E37" s="255">
        <f t="shared" si="6"/>
        <v>39.511043</v>
      </c>
      <c r="F37" s="255">
        <f t="shared" si="6"/>
        <v>0</v>
      </c>
      <c r="G37" s="47">
        <f t="shared" si="6"/>
        <v>305.832833</v>
      </c>
      <c r="H37" s="255"/>
      <c r="I37" s="270"/>
      <c r="J37" s="255"/>
      <c r="K37" s="268"/>
      <c r="L37" s="269"/>
      <c r="M37" s="278"/>
      <c r="N37" s="281"/>
      <c r="O37" s="280"/>
      <c r="P37" s="280"/>
      <c r="Q37" s="280"/>
      <c r="R37" s="280"/>
      <c r="S37" s="280"/>
    </row>
    <row r="38" s="235" customFormat="1" ht="31" customHeight="1" spans="1:19">
      <c r="A38" s="21" t="s">
        <v>45</v>
      </c>
      <c r="B38" s="83" t="s">
        <v>46</v>
      </c>
      <c r="C38" s="252">
        <f>C46</f>
        <v>323.206762</v>
      </c>
      <c r="D38" s="252">
        <f>D46</f>
        <v>0</v>
      </c>
      <c r="E38" s="252">
        <f>E46</f>
        <v>0</v>
      </c>
      <c r="F38" s="252">
        <f>F46</f>
        <v>0</v>
      </c>
      <c r="G38" s="18">
        <f>G46</f>
        <v>323.206762</v>
      </c>
      <c r="H38" s="252" t="s">
        <v>17</v>
      </c>
      <c r="I38" s="265">
        <f>710.25*5</f>
        <v>3551.25</v>
      </c>
      <c r="J38" s="255"/>
      <c r="K38" s="266"/>
      <c r="L38" s="267"/>
      <c r="M38" s="267"/>
      <c r="N38" s="234"/>
      <c r="O38" s="234"/>
      <c r="P38" s="234"/>
      <c r="Q38" s="234"/>
      <c r="R38" s="234"/>
      <c r="S38" s="234"/>
    </row>
    <row r="39" s="235" customFormat="1" ht="31" customHeight="1" spans="1:19">
      <c r="A39" s="21">
        <v>1</v>
      </c>
      <c r="B39" s="83" t="s">
        <v>20</v>
      </c>
      <c r="C39" s="252">
        <f>SUM(C40:C45)</f>
        <v>323.206762</v>
      </c>
      <c r="D39" s="252">
        <f>SUM(D40:D45)</f>
        <v>0</v>
      </c>
      <c r="E39" s="252">
        <f>SUM(E40:E45)</f>
        <v>0</v>
      </c>
      <c r="F39" s="252">
        <f>SUM(F40:F45)</f>
        <v>0</v>
      </c>
      <c r="G39" s="18">
        <f>SUM(G40:G45)</f>
        <v>323.206762</v>
      </c>
      <c r="H39" s="252" t="s">
        <v>17</v>
      </c>
      <c r="I39" s="265">
        <f>I38</f>
        <v>3551.25</v>
      </c>
      <c r="J39" s="252">
        <f>G39/I39*10000</f>
        <v>910.121117916227</v>
      </c>
      <c r="K39" s="266"/>
      <c r="L39" s="267"/>
      <c r="M39" s="282"/>
      <c r="N39" s="283"/>
      <c r="O39" s="234"/>
      <c r="P39" s="234"/>
      <c r="Q39" s="234"/>
      <c r="R39" s="234"/>
      <c r="S39" s="234"/>
    </row>
    <row r="40" s="236" customFormat="1" ht="31" customHeight="1" spans="1:19">
      <c r="A40" s="253">
        <v>1.1</v>
      </c>
      <c r="B40" s="254" t="s">
        <v>21</v>
      </c>
      <c r="C40" s="255">
        <f>771381.74/10000</f>
        <v>77.138174</v>
      </c>
      <c r="D40" s="255"/>
      <c r="E40" s="255"/>
      <c r="F40" s="255"/>
      <c r="G40" s="47">
        <f t="shared" ref="G40:G48" si="7">SUM(C40:F40)</f>
        <v>77.138174</v>
      </c>
      <c r="H40" s="255" t="s">
        <v>17</v>
      </c>
      <c r="I40" s="270">
        <f>(646.38+220.29)</f>
        <v>866.67</v>
      </c>
      <c r="J40" s="255">
        <f t="shared" ref="J40:J45" si="8">G40/I40*10000</f>
        <v>890.052430567575</v>
      </c>
      <c r="K40" s="268"/>
      <c r="L40" s="269"/>
      <c r="M40" s="278"/>
      <c r="N40" s="281"/>
      <c r="O40" s="280"/>
      <c r="P40" s="280"/>
      <c r="Q40" s="280"/>
      <c r="R40" s="280"/>
      <c r="S40" s="280"/>
    </row>
    <row r="41" s="236" customFormat="1" ht="31" customHeight="1" spans="1:19">
      <c r="A41" s="253">
        <v>1.2</v>
      </c>
      <c r="B41" s="254" t="s">
        <v>22</v>
      </c>
      <c r="C41" s="255">
        <f>225995.75/10000</f>
        <v>22.599575</v>
      </c>
      <c r="D41" s="255"/>
      <c r="E41" s="255"/>
      <c r="F41" s="255"/>
      <c r="G41" s="47">
        <f t="shared" si="7"/>
        <v>22.599575</v>
      </c>
      <c r="H41" s="255" t="s">
        <v>17</v>
      </c>
      <c r="I41" s="270">
        <v>439</v>
      </c>
      <c r="J41" s="255">
        <f t="shared" si="8"/>
        <v>514.796697038724</v>
      </c>
      <c r="K41" s="268"/>
      <c r="L41" s="269"/>
      <c r="M41" s="278"/>
      <c r="N41" s="281"/>
      <c r="O41" s="280"/>
      <c r="P41" s="280"/>
      <c r="Q41" s="280"/>
      <c r="R41" s="280"/>
      <c r="S41" s="280"/>
    </row>
    <row r="42" s="236" customFormat="1" ht="31" customHeight="1" spans="1:19">
      <c r="A42" s="253">
        <v>1.3</v>
      </c>
      <c r="B42" s="254" t="s">
        <v>23</v>
      </c>
      <c r="C42" s="255">
        <f>122107.49/10000</f>
        <v>12.210749</v>
      </c>
      <c r="D42" s="255"/>
      <c r="E42" s="255"/>
      <c r="F42" s="255"/>
      <c r="G42" s="47">
        <f t="shared" si="7"/>
        <v>12.210749</v>
      </c>
      <c r="H42" s="255" t="s">
        <v>17</v>
      </c>
      <c r="I42" s="270">
        <v>462.3</v>
      </c>
      <c r="J42" s="255">
        <f t="shared" si="8"/>
        <v>264.130413151633</v>
      </c>
      <c r="K42" s="268"/>
      <c r="L42" s="269"/>
      <c r="M42" s="278"/>
      <c r="N42" s="281"/>
      <c r="O42" s="280"/>
      <c r="P42" s="280"/>
      <c r="Q42" s="280"/>
      <c r="R42" s="280"/>
      <c r="S42" s="280"/>
    </row>
    <row r="43" s="236" customFormat="1" ht="31" customHeight="1" spans="1:19">
      <c r="A43" s="253">
        <v>1.4</v>
      </c>
      <c r="B43" s="254" t="s">
        <v>47</v>
      </c>
      <c r="C43" s="255">
        <f>71748.38/10000</f>
        <v>7.174838</v>
      </c>
      <c r="D43" s="255"/>
      <c r="E43" s="255"/>
      <c r="F43" s="255"/>
      <c r="G43" s="47">
        <f t="shared" si="7"/>
        <v>7.174838</v>
      </c>
      <c r="H43" s="255" t="s">
        <v>17</v>
      </c>
      <c r="I43" s="270">
        <v>319.2</v>
      </c>
      <c r="J43" s="255">
        <f t="shared" si="8"/>
        <v>224.775626566416</v>
      </c>
      <c r="K43" s="268"/>
      <c r="L43" s="269"/>
      <c r="M43" s="278"/>
      <c r="N43" s="281"/>
      <c r="O43" s="280"/>
      <c r="P43" s="280"/>
      <c r="Q43" s="280"/>
      <c r="R43" s="280"/>
      <c r="S43" s="280"/>
    </row>
    <row r="44" s="236" customFormat="1" ht="31" customHeight="1" spans="1:19">
      <c r="A44" s="253">
        <v>1.5</v>
      </c>
      <c r="B44" s="254" t="s">
        <v>25</v>
      </c>
      <c r="C44" s="255">
        <f>1936745.31/10000</f>
        <v>193.674531</v>
      </c>
      <c r="D44" s="255"/>
      <c r="E44" s="255"/>
      <c r="F44" s="255"/>
      <c r="G44" s="47">
        <f t="shared" si="7"/>
        <v>193.674531</v>
      </c>
      <c r="H44" s="255" t="s">
        <v>17</v>
      </c>
      <c r="I44" s="270">
        <v>4808.5</v>
      </c>
      <c r="J44" s="255">
        <f t="shared" si="8"/>
        <v>402.775358219819</v>
      </c>
      <c r="K44" s="268"/>
      <c r="L44" s="269"/>
      <c r="M44" s="278"/>
      <c r="N44" s="281"/>
      <c r="O44" s="280"/>
      <c r="P44" s="280"/>
      <c r="Q44" s="280"/>
      <c r="R44" s="280"/>
      <c r="S44" s="280"/>
    </row>
    <row r="45" s="236" customFormat="1" ht="31" customHeight="1" spans="1:19">
      <c r="A45" s="253">
        <v>1.6</v>
      </c>
      <c r="B45" s="254" t="s">
        <v>26</v>
      </c>
      <c r="C45" s="255">
        <f>104088.95/10000</f>
        <v>10.408895</v>
      </c>
      <c r="D45" s="255"/>
      <c r="E45" s="255"/>
      <c r="F45" s="255"/>
      <c r="G45" s="47">
        <f t="shared" si="7"/>
        <v>10.408895</v>
      </c>
      <c r="H45" s="255" t="s">
        <v>17</v>
      </c>
      <c r="I45" s="270">
        <v>414</v>
      </c>
      <c r="J45" s="255">
        <f t="shared" si="8"/>
        <v>251.422584541063</v>
      </c>
      <c r="K45" s="268"/>
      <c r="L45" s="269"/>
      <c r="M45" s="278"/>
      <c r="N45" s="281"/>
      <c r="O45" s="280"/>
      <c r="P45" s="280"/>
      <c r="Q45" s="280"/>
      <c r="R45" s="280"/>
      <c r="S45" s="280"/>
    </row>
    <row r="46" s="236" customFormat="1" ht="31" customHeight="1" spans="1:19">
      <c r="A46" s="84">
        <v>2</v>
      </c>
      <c r="B46" s="258" t="s">
        <v>39</v>
      </c>
      <c r="C46" s="255">
        <f>C39</f>
        <v>323.206762</v>
      </c>
      <c r="D46" s="255">
        <f>D39</f>
        <v>0</v>
      </c>
      <c r="E46" s="255">
        <f>E39</f>
        <v>0</v>
      </c>
      <c r="F46" s="255">
        <f>F39</f>
        <v>0</v>
      </c>
      <c r="G46" s="47">
        <f>G39</f>
        <v>323.206762</v>
      </c>
      <c r="H46" s="255"/>
      <c r="I46" s="270"/>
      <c r="J46" s="255"/>
      <c r="K46" s="268"/>
      <c r="L46" s="269"/>
      <c r="M46" s="278"/>
      <c r="N46" s="281"/>
      <c r="O46" s="280"/>
      <c r="P46" s="280"/>
      <c r="Q46" s="280"/>
      <c r="R46" s="280"/>
      <c r="S46" s="280"/>
    </row>
    <row r="47" s="235" customFormat="1" ht="31" customHeight="1" spans="1:19">
      <c r="A47" s="21" t="s">
        <v>48</v>
      </c>
      <c r="B47" s="83" t="s">
        <v>49</v>
      </c>
      <c r="C47" s="252">
        <f>C49</f>
        <v>323.206762</v>
      </c>
      <c r="D47" s="252">
        <f>D49</f>
        <v>0</v>
      </c>
      <c r="E47" s="252">
        <f>E49</f>
        <v>0</v>
      </c>
      <c r="F47" s="252">
        <f>F49</f>
        <v>0</v>
      </c>
      <c r="G47" s="18">
        <f>G49</f>
        <v>323.206762</v>
      </c>
      <c r="H47" s="252" t="s">
        <v>17</v>
      </c>
      <c r="I47" s="265">
        <f>710.25*5</f>
        <v>3551.25</v>
      </c>
      <c r="J47" s="255"/>
      <c r="K47" s="266"/>
      <c r="L47" s="267"/>
      <c r="M47" s="267"/>
      <c r="N47" s="234"/>
      <c r="O47" s="234"/>
      <c r="P47" s="234"/>
      <c r="Q47" s="234"/>
      <c r="R47" s="234"/>
      <c r="S47" s="234"/>
    </row>
    <row r="48" s="236" customFormat="1" ht="31" customHeight="1" spans="1:19">
      <c r="A48" s="84">
        <v>1</v>
      </c>
      <c r="B48" s="254" t="s">
        <v>20</v>
      </c>
      <c r="C48" s="255">
        <f>C39</f>
        <v>323.206762</v>
      </c>
      <c r="D48" s="255"/>
      <c r="E48" s="255"/>
      <c r="F48" s="255"/>
      <c r="G48" s="47">
        <f>SUM(C48:F48)</f>
        <v>323.206762</v>
      </c>
      <c r="H48" s="255" t="s">
        <v>17</v>
      </c>
      <c r="I48" s="270">
        <f>I47</f>
        <v>3551.25</v>
      </c>
      <c r="J48" s="255">
        <f>G48/I48*10000</f>
        <v>910.121117916227</v>
      </c>
      <c r="K48" s="268"/>
      <c r="L48" s="269"/>
      <c r="M48" s="278"/>
      <c r="N48" s="279"/>
      <c r="O48" s="280"/>
      <c r="P48" s="280"/>
      <c r="Q48" s="280"/>
      <c r="R48" s="280"/>
      <c r="S48" s="280"/>
    </row>
    <row r="49" s="236" customFormat="1" ht="31" customHeight="1" spans="1:19">
      <c r="A49" s="84">
        <v>2</v>
      </c>
      <c r="B49" s="258" t="s">
        <v>39</v>
      </c>
      <c r="C49" s="255">
        <f>C48</f>
        <v>323.206762</v>
      </c>
      <c r="D49" s="255">
        <f>D48</f>
        <v>0</v>
      </c>
      <c r="E49" s="255">
        <f>E48</f>
        <v>0</v>
      </c>
      <c r="F49" s="255">
        <f>F48</f>
        <v>0</v>
      </c>
      <c r="G49" s="47">
        <f>G48</f>
        <v>323.206762</v>
      </c>
      <c r="H49" s="255"/>
      <c r="I49" s="270"/>
      <c r="J49" s="255"/>
      <c r="K49" s="268"/>
      <c r="L49" s="269"/>
      <c r="M49" s="278"/>
      <c r="N49" s="281"/>
      <c r="O49" s="280"/>
      <c r="P49" s="280"/>
      <c r="Q49" s="280"/>
      <c r="R49" s="280"/>
      <c r="S49" s="280"/>
    </row>
    <row r="50" s="235" customFormat="1" ht="31" customHeight="1" spans="1:19">
      <c r="A50" s="21" t="s">
        <v>50</v>
      </c>
      <c r="B50" s="83" t="s">
        <v>51</v>
      </c>
      <c r="C50" s="252">
        <f t="shared" ref="C50:G50" si="9">C52</f>
        <v>323.206762</v>
      </c>
      <c r="D50" s="252">
        <f t="shared" si="9"/>
        <v>0</v>
      </c>
      <c r="E50" s="252">
        <f t="shared" si="9"/>
        <v>0</v>
      </c>
      <c r="F50" s="252">
        <f t="shared" si="9"/>
        <v>0</v>
      </c>
      <c r="G50" s="18">
        <f t="shared" si="9"/>
        <v>323.206762</v>
      </c>
      <c r="H50" s="252" t="s">
        <v>17</v>
      </c>
      <c r="I50" s="265">
        <f>710.25*5</f>
        <v>3551.25</v>
      </c>
      <c r="J50" s="255"/>
      <c r="K50" s="266"/>
      <c r="L50" s="267"/>
      <c r="M50" s="267"/>
      <c r="N50" s="234"/>
      <c r="O50" s="234"/>
      <c r="P50" s="234"/>
      <c r="Q50" s="234"/>
      <c r="R50" s="234"/>
      <c r="S50" s="234"/>
    </row>
    <row r="51" s="236" customFormat="1" ht="31" customHeight="1" spans="1:19">
      <c r="A51" s="84">
        <v>1</v>
      </c>
      <c r="B51" s="254" t="s">
        <v>20</v>
      </c>
      <c r="C51" s="255">
        <f>C39</f>
        <v>323.206762</v>
      </c>
      <c r="D51" s="255"/>
      <c r="E51" s="255"/>
      <c r="F51" s="255"/>
      <c r="G51" s="47">
        <f>SUM(C51:F51)</f>
        <v>323.206762</v>
      </c>
      <c r="H51" s="255" t="s">
        <v>17</v>
      </c>
      <c r="I51" s="270">
        <f>I50</f>
        <v>3551.25</v>
      </c>
      <c r="J51" s="255">
        <f t="shared" ref="J51:J57" si="10">G51/I51*10000</f>
        <v>910.121117916227</v>
      </c>
      <c r="K51" s="268"/>
      <c r="L51" s="269"/>
      <c r="M51" s="278"/>
      <c r="N51" s="279"/>
      <c r="O51" s="280"/>
      <c r="P51" s="280"/>
      <c r="Q51" s="280"/>
      <c r="R51" s="280"/>
      <c r="S51" s="280"/>
    </row>
    <row r="52" s="236" customFormat="1" ht="31" customHeight="1" spans="1:19">
      <c r="A52" s="84">
        <v>2</v>
      </c>
      <c r="B52" s="258" t="s">
        <v>39</v>
      </c>
      <c r="C52" s="255">
        <f t="shared" ref="C52:G52" si="11">C51</f>
        <v>323.206762</v>
      </c>
      <c r="D52" s="255">
        <f t="shared" si="11"/>
        <v>0</v>
      </c>
      <c r="E52" s="255">
        <f t="shared" si="11"/>
        <v>0</v>
      </c>
      <c r="F52" s="255">
        <f t="shared" si="11"/>
        <v>0</v>
      </c>
      <c r="G52" s="47">
        <f t="shared" si="11"/>
        <v>323.206762</v>
      </c>
      <c r="H52" s="255"/>
      <c r="I52" s="270"/>
      <c r="J52" s="255"/>
      <c r="K52" s="268"/>
      <c r="L52" s="269"/>
      <c r="M52" s="278"/>
      <c r="N52" s="281"/>
      <c r="O52" s="280"/>
      <c r="P52" s="280"/>
      <c r="Q52" s="280"/>
      <c r="R52" s="280"/>
      <c r="S52" s="280"/>
    </row>
    <row r="53" s="235" customFormat="1" ht="31" customHeight="1" spans="1:19">
      <c r="A53" s="21" t="s">
        <v>52</v>
      </c>
      <c r="B53" s="83" t="s">
        <v>53</v>
      </c>
      <c r="C53" s="252">
        <f>C108</f>
        <v>129.702173</v>
      </c>
      <c r="D53" s="252">
        <f>D108</f>
        <v>0</v>
      </c>
      <c r="E53" s="252">
        <f>E108</f>
        <v>406.427477</v>
      </c>
      <c r="F53" s="252">
        <f>F108</f>
        <v>0</v>
      </c>
      <c r="G53" s="18">
        <f>G108</f>
        <v>536.12965</v>
      </c>
      <c r="H53" s="252"/>
      <c r="I53" s="265"/>
      <c r="J53" s="255"/>
      <c r="K53" s="266"/>
      <c r="L53" s="267"/>
      <c r="M53" s="267"/>
      <c r="N53" s="234"/>
      <c r="O53" s="234"/>
      <c r="P53" s="234"/>
      <c r="Q53" s="234"/>
      <c r="R53" s="234"/>
      <c r="S53" s="234"/>
    </row>
    <row r="54" s="236" customFormat="1" ht="31" customHeight="1" spans="1:19">
      <c r="A54" s="84">
        <v>1</v>
      </c>
      <c r="B54" s="254" t="s">
        <v>54</v>
      </c>
      <c r="C54" s="255">
        <f>SUM(C55:C57)</f>
        <v>3.92328</v>
      </c>
      <c r="D54" s="255">
        <f>SUM(D55:D57)</f>
        <v>0</v>
      </c>
      <c r="E54" s="255">
        <f>SUM(E55:E57)</f>
        <v>40.74996</v>
      </c>
      <c r="F54" s="255">
        <f>SUM(F55:F57)</f>
        <v>0</v>
      </c>
      <c r="G54" s="47">
        <f>SUM(G55:G57)</f>
        <v>44.67324</v>
      </c>
      <c r="H54" s="255"/>
      <c r="I54" s="270"/>
      <c r="J54" s="255"/>
      <c r="K54" s="268"/>
      <c r="L54" s="269"/>
      <c r="M54" s="278"/>
      <c r="N54" s="279"/>
      <c r="O54" s="280"/>
      <c r="P54" s="280"/>
      <c r="Q54" s="280"/>
      <c r="R54" s="280"/>
      <c r="S54" s="280"/>
    </row>
    <row r="55" s="236" customFormat="1" ht="31" customHeight="1" spans="1:19">
      <c r="A55" s="253">
        <v>1.1</v>
      </c>
      <c r="B55" s="85" t="s">
        <v>55</v>
      </c>
      <c r="C55" s="255">
        <f>39232.8/10000</f>
        <v>3.92328</v>
      </c>
      <c r="D55" s="255"/>
      <c r="E55" s="255"/>
      <c r="F55" s="255"/>
      <c r="G55" s="47">
        <f t="shared" ref="G55:G61" si="12">SUM(C55:F55)</f>
        <v>3.92328</v>
      </c>
      <c r="H55" s="255" t="s">
        <v>17</v>
      </c>
      <c r="I55" s="270">
        <v>150</v>
      </c>
      <c r="J55" s="255">
        <f t="shared" si="10"/>
        <v>261.552</v>
      </c>
      <c r="K55" s="268"/>
      <c r="L55" s="269"/>
      <c r="M55" s="278"/>
      <c r="N55" s="281"/>
      <c r="O55" s="280"/>
      <c r="P55" s="280"/>
      <c r="Q55" s="280"/>
      <c r="R55" s="280"/>
      <c r="S55" s="280"/>
    </row>
    <row r="56" s="237" customFormat="1" ht="31" customHeight="1" spans="1:19">
      <c r="A56" s="253">
        <v>1.2</v>
      </c>
      <c r="B56" s="254" t="s">
        <v>56</v>
      </c>
      <c r="C56" s="255"/>
      <c r="D56" s="255"/>
      <c r="E56" s="255">
        <f>356816.19/10000</f>
        <v>35.681619</v>
      </c>
      <c r="F56" s="255"/>
      <c r="G56" s="47">
        <f t="shared" si="12"/>
        <v>35.681619</v>
      </c>
      <c r="H56" s="255" t="s">
        <v>32</v>
      </c>
      <c r="I56" s="270">
        <v>1360.98</v>
      </c>
      <c r="J56" s="255">
        <f t="shared" si="10"/>
        <v>262.175924701318</v>
      </c>
      <c r="K56" s="268"/>
      <c r="L56" s="271"/>
      <c r="M56" s="284"/>
      <c r="N56" s="285"/>
      <c r="O56" s="286"/>
      <c r="P56" s="286"/>
      <c r="Q56" s="286"/>
      <c r="R56" s="286"/>
      <c r="S56" s="286"/>
    </row>
    <row r="57" s="238" customFormat="1" ht="31" customHeight="1" spans="1:19">
      <c r="A57" s="253">
        <v>1.3</v>
      </c>
      <c r="B57" s="254" t="s">
        <v>57</v>
      </c>
      <c r="C57" s="255"/>
      <c r="D57" s="255"/>
      <c r="E57" s="255">
        <f>50683.41/10000</f>
        <v>5.068341</v>
      </c>
      <c r="F57" s="255"/>
      <c r="G57" s="47">
        <f t="shared" si="12"/>
        <v>5.068341</v>
      </c>
      <c r="H57" s="255" t="s">
        <v>32</v>
      </c>
      <c r="I57" s="270">
        <v>145</v>
      </c>
      <c r="J57" s="255">
        <f t="shared" si="10"/>
        <v>349.54075862069</v>
      </c>
      <c r="K57" s="268"/>
      <c r="L57" s="272"/>
      <c r="M57" s="287"/>
      <c r="N57" s="288"/>
      <c r="O57" s="289"/>
      <c r="P57" s="289"/>
      <c r="Q57" s="289"/>
      <c r="R57" s="289"/>
      <c r="S57" s="289"/>
    </row>
    <row r="58" s="236" customFormat="1" ht="31" customHeight="1" spans="1:19">
      <c r="A58" s="84">
        <v>2</v>
      </c>
      <c r="B58" s="254" t="s">
        <v>58</v>
      </c>
      <c r="C58" s="255">
        <f t="shared" ref="C58:G58" si="13">SUM(C59:C61)</f>
        <v>5.054095</v>
      </c>
      <c r="D58" s="255">
        <f t="shared" si="13"/>
        <v>0</v>
      </c>
      <c r="E58" s="255">
        <f t="shared" si="13"/>
        <v>42.993652</v>
      </c>
      <c r="F58" s="255">
        <f t="shared" si="13"/>
        <v>0</v>
      </c>
      <c r="G58" s="47">
        <f t="shared" si="13"/>
        <v>48.047747</v>
      </c>
      <c r="H58" s="255"/>
      <c r="I58" s="270"/>
      <c r="J58" s="255"/>
      <c r="K58" s="268"/>
      <c r="L58" s="269"/>
      <c r="M58" s="278"/>
      <c r="N58" s="279"/>
      <c r="O58" s="280"/>
      <c r="P58" s="280"/>
      <c r="Q58" s="280"/>
      <c r="R58" s="280"/>
      <c r="S58" s="280"/>
    </row>
    <row r="59" s="236" customFormat="1" ht="31" customHeight="1" spans="1:19">
      <c r="A59" s="253">
        <v>2.1</v>
      </c>
      <c r="B59" s="85" t="s">
        <v>55</v>
      </c>
      <c r="C59" s="255">
        <f>50540.95/10000</f>
        <v>5.054095</v>
      </c>
      <c r="D59" s="255"/>
      <c r="E59" s="255"/>
      <c r="F59" s="255"/>
      <c r="G59" s="47">
        <f t="shared" si="12"/>
        <v>5.054095</v>
      </c>
      <c r="H59" s="255" t="s">
        <v>17</v>
      </c>
      <c r="I59" s="270">
        <v>193</v>
      </c>
      <c r="J59" s="255">
        <f t="shared" ref="J59:J65" si="14">G59/I59*10000</f>
        <v>261.870207253886</v>
      </c>
      <c r="K59" s="268"/>
      <c r="L59" s="269"/>
      <c r="M59" s="278"/>
      <c r="N59" s="281"/>
      <c r="O59" s="280"/>
      <c r="P59" s="280"/>
      <c r="Q59" s="280"/>
      <c r="R59" s="280"/>
      <c r="S59" s="280"/>
    </row>
    <row r="60" s="237" customFormat="1" ht="31" customHeight="1" spans="1:19">
      <c r="A60" s="253">
        <v>2.2</v>
      </c>
      <c r="B60" s="254" t="s">
        <v>56</v>
      </c>
      <c r="C60" s="255"/>
      <c r="D60" s="255"/>
      <c r="E60" s="255">
        <f>360614.17/10000</f>
        <v>36.061417</v>
      </c>
      <c r="F60" s="255"/>
      <c r="G60" s="47">
        <f t="shared" si="12"/>
        <v>36.061417</v>
      </c>
      <c r="H60" s="255" t="s">
        <v>32</v>
      </c>
      <c r="I60" s="270">
        <v>1175.15</v>
      </c>
      <c r="J60" s="255">
        <f t="shared" si="14"/>
        <v>306.866502148662</v>
      </c>
      <c r="K60" s="268"/>
      <c r="L60" s="271"/>
      <c r="M60" s="284"/>
      <c r="N60" s="285"/>
      <c r="O60" s="286"/>
      <c r="P60" s="286"/>
      <c r="Q60" s="286"/>
      <c r="R60" s="286"/>
      <c r="S60" s="286"/>
    </row>
    <row r="61" s="238" customFormat="1" ht="31" customHeight="1" spans="1:19">
      <c r="A61" s="253">
        <v>2.3</v>
      </c>
      <c r="B61" s="254" t="s">
        <v>57</v>
      </c>
      <c r="C61" s="255"/>
      <c r="D61" s="255"/>
      <c r="E61" s="255">
        <f>69322.35/10000</f>
        <v>6.932235</v>
      </c>
      <c r="F61" s="255"/>
      <c r="G61" s="47">
        <f t="shared" si="12"/>
        <v>6.932235</v>
      </c>
      <c r="H61" s="255" t="s">
        <v>32</v>
      </c>
      <c r="I61" s="270">
        <v>200</v>
      </c>
      <c r="J61" s="255">
        <f t="shared" si="14"/>
        <v>346.61175</v>
      </c>
      <c r="K61" s="268"/>
      <c r="L61" s="272"/>
      <c r="M61" s="287"/>
      <c r="N61" s="288"/>
      <c r="O61" s="289"/>
      <c r="P61" s="289"/>
      <c r="Q61" s="289"/>
      <c r="R61" s="289"/>
      <c r="S61" s="289"/>
    </row>
    <row r="62" s="236" customFormat="1" ht="31" customHeight="1" spans="1:19">
      <c r="A62" s="84">
        <v>3</v>
      </c>
      <c r="B62" s="254" t="s">
        <v>59</v>
      </c>
      <c r="C62" s="255">
        <f t="shared" ref="C62:G62" si="15">SUM(C63:C65)</f>
        <v>5.054095</v>
      </c>
      <c r="D62" s="255">
        <f t="shared" si="15"/>
        <v>0</v>
      </c>
      <c r="E62" s="255">
        <f t="shared" si="15"/>
        <v>43.065373</v>
      </c>
      <c r="F62" s="255">
        <f t="shared" si="15"/>
        <v>0</v>
      </c>
      <c r="G62" s="47">
        <f t="shared" si="15"/>
        <v>48.119468</v>
      </c>
      <c r="H62" s="255"/>
      <c r="I62" s="270"/>
      <c r="J62" s="255"/>
      <c r="K62" s="268"/>
      <c r="L62" s="269"/>
      <c r="M62" s="278"/>
      <c r="N62" s="279"/>
      <c r="O62" s="280"/>
      <c r="P62" s="280"/>
      <c r="Q62" s="280"/>
      <c r="R62" s="280"/>
      <c r="S62" s="280"/>
    </row>
    <row r="63" s="236" customFormat="1" ht="31" customHeight="1" spans="1:19">
      <c r="A63" s="253">
        <v>3.1</v>
      </c>
      <c r="B63" s="85" t="s">
        <v>55</v>
      </c>
      <c r="C63" s="259">
        <f>50540.95/10000</f>
        <v>5.054095</v>
      </c>
      <c r="D63" s="255"/>
      <c r="E63" s="255"/>
      <c r="F63" s="255"/>
      <c r="G63" s="47">
        <f t="shared" ref="G63:G65" si="16">SUM(C63:F63)</f>
        <v>5.054095</v>
      </c>
      <c r="H63" s="255" t="s">
        <v>17</v>
      </c>
      <c r="I63" s="270">
        <v>193</v>
      </c>
      <c r="J63" s="255">
        <f t="shared" si="14"/>
        <v>261.870207253886</v>
      </c>
      <c r="K63" s="268"/>
      <c r="L63" s="269"/>
      <c r="M63" s="278"/>
      <c r="N63" s="281"/>
      <c r="O63" s="280"/>
      <c r="P63" s="280"/>
      <c r="Q63" s="280"/>
      <c r="R63" s="280"/>
      <c r="S63" s="280"/>
    </row>
    <row r="64" s="237" customFormat="1" ht="31" customHeight="1" spans="1:19">
      <c r="A64" s="253">
        <v>3.2</v>
      </c>
      <c r="B64" s="254" t="s">
        <v>56</v>
      </c>
      <c r="C64" s="255"/>
      <c r="D64" s="255"/>
      <c r="E64" s="255">
        <f>361331.38/10000</f>
        <v>36.133138</v>
      </c>
      <c r="F64" s="255"/>
      <c r="G64" s="47">
        <f t="shared" si="16"/>
        <v>36.133138</v>
      </c>
      <c r="H64" s="255" t="s">
        <v>32</v>
      </c>
      <c r="I64" s="270">
        <v>1175.16</v>
      </c>
      <c r="J64" s="255">
        <f t="shared" si="14"/>
        <v>307.474199257973</v>
      </c>
      <c r="K64" s="268"/>
      <c r="L64" s="271"/>
      <c r="M64" s="284"/>
      <c r="N64" s="285"/>
      <c r="O64" s="286"/>
      <c r="P64" s="286"/>
      <c r="Q64" s="286"/>
      <c r="R64" s="286"/>
      <c r="S64" s="286"/>
    </row>
    <row r="65" s="238" customFormat="1" ht="31" customHeight="1" spans="1:19">
      <c r="A65" s="253">
        <v>3.3</v>
      </c>
      <c r="B65" s="254" t="s">
        <v>57</v>
      </c>
      <c r="C65" s="255"/>
      <c r="D65" s="255"/>
      <c r="E65" s="255">
        <f>69322.35/10000</f>
        <v>6.932235</v>
      </c>
      <c r="F65" s="255"/>
      <c r="G65" s="47">
        <f t="shared" si="16"/>
        <v>6.932235</v>
      </c>
      <c r="H65" s="255" t="s">
        <v>32</v>
      </c>
      <c r="I65" s="270">
        <v>200</v>
      </c>
      <c r="J65" s="255">
        <f t="shared" si="14"/>
        <v>346.61175</v>
      </c>
      <c r="K65" s="268"/>
      <c r="L65" s="272"/>
      <c r="M65" s="287"/>
      <c r="N65" s="288"/>
      <c r="O65" s="289"/>
      <c r="P65" s="289"/>
      <c r="Q65" s="289"/>
      <c r="R65" s="289"/>
      <c r="S65" s="289"/>
    </row>
    <row r="66" s="236" customFormat="1" ht="31" customHeight="1" spans="1:19">
      <c r="A66" s="84">
        <v>4</v>
      </c>
      <c r="B66" s="254" t="s">
        <v>60</v>
      </c>
      <c r="C66" s="255">
        <f t="shared" ref="C66:G66" si="17">SUM(C67:C69)</f>
        <v>3.729292</v>
      </c>
      <c r="D66" s="255">
        <f t="shared" si="17"/>
        <v>0</v>
      </c>
      <c r="E66" s="255">
        <f t="shared" si="17"/>
        <v>48.408642</v>
      </c>
      <c r="F66" s="255">
        <f t="shared" si="17"/>
        <v>0</v>
      </c>
      <c r="G66" s="47">
        <f t="shared" si="17"/>
        <v>52.137934</v>
      </c>
      <c r="H66" s="255"/>
      <c r="I66" s="270"/>
      <c r="J66" s="255"/>
      <c r="K66" s="268"/>
      <c r="L66" s="269"/>
      <c r="M66" s="278"/>
      <c r="N66" s="279"/>
      <c r="O66" s="280"/>
      <c r="P66" s="280"/>
      <c r="Q66" s="280"/>
      <c r="R66" s="280"/>
      <c r="S66" s="280"/>
    </row>
    <row r="67" s="236" customFormat="1" ht="31" customHeight="1" spans="1:19">
      <c r="A67" s="253">
        <v>4.1</v>
      </c>
      <c r="B67" s="85" t="s">
        <v>55</v>
      </c>
      <c r="C67" s="255">
        <f>37292.92/10000</f>
        <v>3.729292</v>
      </c>
      <c r="D67" s="255"/>
      <c r="E67" s="255"/>
      <c r="F67" s="255"/>
      <c r="G67" s="47">
        <f t="shared" ref="G67:G69" si="18">SUM(C67:F67)</f>
        <v>3.729292</v>
      </c>
      <c r="H67" s="255" t="s">
        <v>17</v>
      </c>
      <c r="I67" s="270">
        <v>142</v>
      </c>
      <c r="J67" s="255">
        <f t="shared" ref="J67:J69" si="19">G67/I67*10000</f>
        <v>262.626197183099</v>
      </c>
      <c r="K67" s="268"/>
      <c r="L67" s="269"/>
      <c r="M67" s="278"/>
      <c r="N67" s="281"/>
      <c r="O67" s="280"/>
      <c r="P67" s="280"/>
      <c r="Q67" s="280"/>
      <c r="R67" s="280"/>
      <c r="S67" s="280"/>
    </row>
    <row r="68" s="237" customFormat="1" ht="31" customHeight="1" spans="1:19">
      <c r="A68" s="253">
        <v>4.2</v>
      </c>
      <c r="B68" s="254" t="s">
        <v>56</v>
      </c>
      <c r="C68" s="255"/>
      <c r="D68" s="255"/>
      <c r="E68" s="255">
        <f>406352.8/10000</f>
        <v>40.63528</v>
      </c>
      <c r="F68" s="255"/>
      <c r="G68" s="47">
        <f t="shared" si="18"/>
        <v>40.63528</v>
      </c>
      <c r="H68" s="255" t="s">
        <v>32</v>
      </c>
      <c r="I68" s="270">
        <v>1550.55</v>
      </c>
      <c r="J68" s="255">
        <f t="shared" si="19"/>
        <v>262.07010415659</v>
      </c>
      <c r="K68" s="268"/>
      <c r="L68" s="271"/>
      <c r="M68" s="284"/>
      <c r="N68" s="285"/>
      <c r="O68" s="286"/>
      <c r="P68" s="286"/>
      <c r="Q68" s="286"/>
      <c r="R68" s="286"/>
      <c r="S68" s="286"/>
    </row>
    <row r="69" s="238" customFormat="1" ht="31" customHeight="1" spans="1:19">
      <c r="A69" s="253">
        <v>4.3</v>
      </c>
      <c r="B69" s="254" t="s">
        <v>57</v>
      </c>
      <c r="C69" s="255"/>
      <c r="D69" s="255"/>
      <c r="E69" s="255">
        <f>77733.62/10000</f>
        <v>7.773362</v>
      </c>
      <c r="F69" s="255"/>
      <c r="G69" s="47">
        <f t="shared" si="18"/>
        <v>7.773362</v>
      </c>
      <c r="H69" s="255" t="s">
        <v>32</v>
      </c>
      <c r="I69" s="270">
        <v>230</v>
      </c>
      <c r="J69" s="255">
        <f t="shared" si="19"/>
        <v>337.972260869565</v>
      </c>
      <c r="K69" s="268"/>
      <c r="L69" s="272"/>
      <c r="M69" s="287"/>
      <c r="N69" s="288"/>
      <c r="O69" s="289"/>
      <c r="P69" s="289"/>
      <c r="Q69" s="289"/>
      <c r="R69" s="289"/>
      <c r="S69" s="289"/>
    </row>
    <row r="70" s="236" customFormat="1" ht="31" customHeight="1" spans="1:19">
      <c r="A70" s="84">
        <v>5</v>
      </c>
      <c r="B70" s="85" t="s">
        <v>61</v>
      </c>
      <c r="C70" s="255">
        <f>SUM(C71:C72)</f>
        <v>0.442786</v>
      </c>
      <c r="D70" s="255">
        <f>SUM(D71:D72)</f>
        <v>0</v>
      </c>
      <c r="E70" s="255">
        <f>SUM(E71:E72)</f>
        <v>4.750085</v>
      </c>
      <c r="F70" s="255">
        <f>SUM(F71:F72)</f>
        <v>0</v>
      </c>
      <c r="G70" s="47">
        <f>SUM(G71:G72)</f>
        <v>5.192871</v>
      </c>
      <c r="H70" s="255"/>
      <c r="I70" s="270"/>
      <c r="J70" s="255"/>
      <c r="K70" s="268"/>
      <c r="L70" s="269"/>
      <c r="M70" s="278"/>
      <c r="N70" s="279"/>
      <c r="O70" s="280"/>
      <c r="P70" s="280"/>
      <c r="Q70" s="280"/>
      <c r="R70" s="280"/>
      <c r="S70" s="280"/>
    </row>
    <row r="71" s="236" customFormat="1" ht="31" customHeight="1" spans="1:19">
      <c r="A71" s="253">
        <v>5.1</v>
      </c>
      <c r="B71" s="85" t="s">
        <v>55</v>
      </c>
      <c r="C71" s="255">
        <f>4427.86/10000</f>
        <v>0.442786</v>
      </c>
      <c r="D71" s="255"/>
      <c r="E71" s="255"/>
      <c r="F71" s="255"/>
      <c r="G71" s="47">
        <f>SUM(C71:F71)</f>
        <v>0.442786</v>
      </c>
      <c r="H71" s="255" t="s">
        <v>17</v>
      </c>
      <c r="I71" s="270">
        <v>17</v>
      </c>
      <c r="J71" s="255">
        <f>G71/I71*10000</f>
        <v>260.462352941176</v>
      </c>
      <c r="K71" s="268"/>
      <c r="L71" s="269"/>
      <c r="M71" s="278"/>
      <c r="N71" s="281"/>
      <c r="O71" s="280"/>
      <c r="P71" s="280"/>
      <c r="Q71" s="280"/>
      <c r="R71" s="280"/>
      <c r="S71" s="280"/>
    </row>
    <row r="72" s="238" customFormat="1" ht="31" customHeight="1" spans="1:19">
      <c r="A72" s="253">
        <v>5.2</v>
      </c>
      <c r="B72" s="254" t="s">
        <v>57</v>
      </c>
      <c r="C72" s="255"/>
      <c r="D72" s="255"/>
      <c r="E72" s="255">
        <f>47500.85/10000</f>
        <v>4.750085</v>
      </c>
      <c r="F72" s="255"/>
      <c r="G72" s="47">
        <f>SUM(C72:F72)</f>
        <v>4.750085</v>
      </c>
      <c r="H72" s="255" t="s">
        <v>32</v>
      </c>
      <c r="I72" s="270">
        <v>135</v>
      </c>
      <c r="J72" s="255">
        <f>G72/I72*10000</f>
        <v>351.858148148148</v>
      </c>
      <c r="K72" s="268"/>
      <c r="L72" s="272"/>
      <c r="M72" s="287"/>
      <c r="N72" s="288"/>
      <c r="O72" s="289"/>
      <c r="P72" s="289"/>
      <c r="Q72" s="289"/>
      <c r="R72" s="289"/>
      <c r="S72" s="289"/>
    </row>
    <row r="73" s="236" customFormat="1" ht="31" customHeight="1" spans="1:19">
      <c r="A73" s="84">
        <v>6</v>
      </c>
      <c r="B73" s="85" t="s">
        <v>62</v>
      </c>
      <c r="C73" s="255">
        <f>SUM(C74:C75)</f>
        <v>0.442786</v>
      </c>
      <c r="D73" s="255">
        <f>SUM(D74:D75)</f>
        <v>0</v>
      </c>
      <c r="E73" s="255">
        <f>SUM(E74:E75)</f>
        <v>4.770788</v>
      </c>
      <c r="F73" s="255">
        <f>SUM(F74:F75)</f>
        <v>0</v>
      </c>
      <c r="G73" s="47">
        <f>SUM(G74:G75)</f>
        <v>5.213574</v>
      </c>
      <c r="H73" s="255"/>
      <c r="I73" s="270"/>
      <c r="J73" s="255"/>
      <c r="K73" s="268"/>
      <c r="L73" s="269"/>
      <c r="M73" s="278"/>
      <c r="N73" s="279"/>
      <c r="O73" s="280"/>
      <c r="P73" s="280"/>
      <c r="Q73" s="280"/>
      <c r="R73" s="280"/>
      <c r="S73" s="280"/>
    </row>
    <row r="74" s="236" customFormat="1" ht="31" customHeight="1" spans="1:19">
      <c r="A74" s="253">
        <v>6.1</v>
      </c>
      <c r="B74" s="85" t="s">
        <v>55</v>
      </c>
      <c r="C74" s="255">
        <f>4427.86/10000</f>
        <v>0.442786</v>
      </c>
      <c r="D74" s="255"/>
      <c r="E74" s="255"/>
      <c r="F74" s="255"/>
      <c r="G74" s="47">
        <f>SUM(C74:F74)</f>
        <v>0.442786</v>
      </c>
      <c r="H74" s="255" t="s">
        <v>17</v>
      </c>
      <c r="I74" s="270">
        <v>17</v>
      </c>
      <c r="J74" s="255">
        <f>G74/I74*10000</f>
        <v>260.462352941176</v>
      </c>
      <c r="K74" s="268"/>
      <c r="L74" s="269"/>
      <c r="M74" s="278"/>
      <c r="N74" s="281"/>
      <c r="O74" s="280"/>
      <c r="P74" s="280"/>
      <c r="Q74" s="280"/>
      <c r="R74" s="280"/>
      <c r="S74" s="280"/>
    </row>
    <row r="75" s="238" customFormat="1" ht="31" customHeight="1" spans="1:19">
      <c r="A75" s="253">
        <v>6.2</v>
      </c>
      <c r="B75" s="254" t="s">
        <v>57</v>
      </c>
      <c r="C75" s="255"/>
      <c r="D75" s="255"/>
      <c r="E75" s="255">
        <f>47707.88/10000</f>
        <v>4.770788</v>
      </c>
      <c r="F75" s="255"/>
      <c r="G75" s="47">
        <f>SUM(C75:F75)</f>
        <v>4.770788</v>
      </c>
      <c r="H75" s="255" t="s">
        <v>32</v>
      </c>
      <c r="I75" s="270">
        <v>135</v>
      </c>
      <c r="J75" s="255">
        <f>G75/I75*10000</f>
        <v>353.391703703704</v>
      </c>
      <c r="K75" s="268"/>
      <c r="L75" s="272"/>
      <c r="M75" s="287"/>
      <c r="N75" s="288"/>
      <c r="O75" s="289"/>
      <c r="P75" s="289"/>
      <c r="Q75" s="289"/>
      <c r="R75" s="289"/>
      <c r="S75" s="289"/>
    </row>
    <row r="76" s="236" customFormat="1" ht="31" customHeight="1" spans="1:19">
      <c r="A76" s="84">
        <v>7</v>
      </c>
      <c r="B76" s="85" t="s">
        <v>63</v>
      </c>
      <c r="C76" s="255">
        <f>SUM(C77:C78)</f>
        <v>0.442786</v>
      </c>
      <c r="D76" s="255">
        <f>SUM(D77:D78)</f>
        <v>0</v>
      </c>
      <c r="E76" s="255">
        <f>SUM(E77:E78)</f>
        <v>4.770787</v>
      </c>
      <c r="F76" s="255">
        <f>SUM(F77:F78)</f>
        <v>0</v>
      </c>
      <c r="G76" s="47">
        <f>SUM(G77:G78)</f>
        <v>5.213573</v>
      </c>
      <c r="H76" s="255"/>
      <c r="I76" s="270"/>
      <c r="J76" s="255"/>
      <c r="K76" s="268"/>
      <c r="L76" s="269"/>
      <c r="M76" s="278"/>
      <c r="N76" s="279"/>
      <c r="O76" s="280"/>
      <c r="P76" s="280"/>
      <c r="Q76" s="280"/>
      <c r="R76" s="280"/>
      <c r="S76" s="280"/>
    </row>
    <row r="77" s="236" customFormat="1" ht="31" customHeight="1" spans="1:19">
      <c r="A77" s="253">
        <v>7.1</v>
      </c>
      <c r="B77" s="85" t="s">
        <v>55</v>
      </c>
      <c r="C77" s="255">
        <f>4427.86/10000</f>
        <v>0.442786</v>
      </c>
      <c r="D77" s="255"/>
      <c r="E77" s="255"/>
      <c r="F77" s="255"/>
      <c r="G77" s="47">
        <f>SUM(C77:F77)</f>
        <v>0.442786</v>
      </c>
      <c r="H77" s="255" t="s">
        <v>17</v>
      </c>
      <c r="I77" s="270">
        <v>17</v>
      </c>
      <c r="J77" s="255">
        <f>G77/I77*10000</f>
        <v>260.462352941176</v>
      </c>
      <c r="K77" s="268"/>
      <c r="L77" s="269"/>
      <c r="M77" s="278"/>
      <c r="N77" s="281"/>
      <c r="O77" s="280"/>
      <c r="P77" s="280"/>
      <c r="Q77" s="280"/>
      <c r="R77" s="280"/>
      <c r="S77" s="280"/>
    </row>
    <row r="78" s="238" customFormat="1" ht="31" customHeight="1" spans="1:19">
      <c r="A78" s="253">
        <v>7.2</v>
      </c>
      <c r="B78" s="254" t="s">
        <v>57</v>
      </c>
      <c r="C78" s="255"/>
      <c r="D78" s="255"/>
      <c r="E78" s="255">
        <f>47707.87/10000</f>
        <v>4.770787</v>
      </c>
      <c r="F78" s="255"/>
      <c r="G78" s="47">
        <f>SUM(C78:F78)</f>
        <v>4.770787</v>
      </c>
      <c r="H78" s="255" t="s">
        <v>32</v>
      </c>
      <c r="I78" s="270">
        <v>135</v>
      </c>
      <c r="J78" s="255">
        <f>G78/I78*10000</f>
        <v>353.39162962963</v>
      </c>
      <c r="K78" s="268"/>
      <c r="L78" s="272"/>
      <c r="M78" s="287"/>
      <c r="N78" s="288"/>
      <c r="O78" s="289"/>
      <c r="P78" s="289"/>
      <c r="Q78" s="289"/>
      <c r="R78" s="289"/>
      <c r="S78" s="289"/>
    </row>
    <row r="79" s="236" customFormat="1" ht="31" customHeight="1" spans="1:19">
      <c r="A79" s="84">
        <v>8</v>
      </c>
      <c r="B79" s="254" t="s">
        <v>64</v>
      </c>
      <c r="C79" s="255">
        <f t="shared" ref="C79:G79" si="20">SUM(C80:C82)</f>
        <v>1.578114</v>
      </c>
      <c r="D79" s="255">
        <f t="shared" si="20"/>
        <v>0</v>
      </c>
      <c r="E79" s="255">
        <f t="shared" si="20"/>
        <v>17.493412</v>
      </c>
      <c r="F79" s="255">
        <f t="shared" si="20"/>
        <v>0</v>
      </c>
      <c r="G79" s="47">
        <f t="shared" si="20"/>
        <v>19.071526</v>
      </c>
      <c r="H79" s="255"/>
      <c r="I79" s="270"/>
      <c r="J79" s="255"/>
      <c r="K79" s="268"/>
      <c r="L79" s="269"/>
      <c r="M79" s="278"/>
      <c r="N79" s="279"/>
      <c r="O79" s="280"/>
      <c r="P79" s="280"/>
      <c r="Q79" s="280"/>
      <c r="R79" s="280"/>
      <c r="S79" s="280"/>
    </row>
    <row r="80" s="236" customFormat="1" ht="31" customHeight="1" spans="1:19">
      <c r="A80" s="253">
        <v>8.1</v>
      </c>
      <c r="B80" s="85" t="s">
        <v>55</v>
      </c>
      <c r="C80" s="255">
        <f>15781.14/10000</f>
        <v>1.578114</v>
      </c>
      <c r="D80" s="255"/>
      <c r="E80" s="255"/>
      <c r="F80" s="255"/>
      <c r="G80" s="47">
        <f t="shared" ref="G80:G82" si="21">SUM(C80:F80)</f>
        <v>1.578114</v>
      </c>
      <c r="H80" s="255" t="s">
        <v>17</v>
      </c>
      <c r="I80" s="270">
        <v>60</v>
      </c>
      <c r="J80" s="255">
        <f>G80/I80*10000</f>
        <v>263.019</v>
      </c>
      <c r="K80" s="268"/>
      <c r="L80" s="269"/>
      <c r="M80" s="278"/>
      <c r="N80" s="281"/>
      <c r="O80" s="280"/>
      <c r="P80" s="280"/>
      <c r="Q80" s="280"/>
      <c r="R80" s="280"/>
      <c r="S80" s="280"/>
    </row>
    <row r="81" s="237" customFormat="1" ht="31" customHeight="1" spans="1:19">
      <c r="A81" s="253">
        <v>8.2</v>
      </c>
      <c r="B81" s="254" t="s">
        <v>56</v>
      </c>
      <c r="C81" s="255"/>
      <c r="D81" s="255"/>
      <c r="E81" s="255">
        <f>149821.57/10000</f>
        <v>14.982157</v>
      </c>
      <c r="F81" s="255"/>
      <c r="G81" s="47">
        <f t="shared" si="21"/>
        <v>14.982157</v>
      </c>
      <c r="H81" s="255" t="s">
        <v>32</v>
      </c>
      <c r="I81" s="270">
        <v>405.95</v>
      </c>
      <c r="J81" s="255">
        <f>G81/I81*10000</f>
        <v>369.064096563616</v>
      </c>
      <c r="K81" s="268"/>
      <c r="L81" s="271"/>
      <c r="M81" s="284"/>
      <c r="N81" s="285"/>
      <c r="O81" s="286"/>
      <c r="P81" s="286"/>
      <c r="Q81" s="286"/>
      <c r="R81" s="286"/>
      <c r="S81" s="286"/>
    </row>
    <row r="82" s="238" customFormat="1" ht="31" customHeight="1" spans="1:19">
      <c r="A82" s="253">
        <v>8.3</v>
      </c>
      <c r="B82" s="254" t="s">
        <v>57</v>
      </c>
      <c r="C82" s="255"/>
      <c r="D82" s="255"/>
      <c r="E82" s="255">
        <f>25112.55/10000</f>
        <v>2.511255</v>
      </c>
      <c r="F82" s="255"/>
      <c r="G82" s="47">
        <f t="shared" si="21"/>
        <v>2.511255</v>
      </c>
      <c r="H82" s="255" t="s">
        <v>32</v>
      </c>
      <c r="I82" s="270">
        <v>70</v>
      </c>
      <c r="J82" s="255">
        <f>G82/I82*10000</f>
        <v>358.750714285714</v>
      </c>
      <c r="K82" s="268"/>
      <c r="L82" s="272"/>
      <c r="M82" s="287"/>
      <c r="N82" s="288"/>
      <c r="O82" s="289"/>
      <c r="P82" s="289"/>
      <c r="Q82" s="289"/>
      <c r="R82" s="289"/>
      <c r="S82" s="289"/>
    </row>
    <row r="83" s="236" customFormat="1" ht="31" customHeight="1" spans="1:19">
      <c r="A83" s="84">
        <v>9</v>
      </c>
      <c r="B83" s="254" t="s">
        <v>65</v>
      </c>
      <c r="C83" s="255">
        <f>SUM(C84:C86)</f>
        <v>1.763148</v>
      </c>
      <c r="D83" s="255">
        <f t="shared" ref="C83:G83" si="22">SUM(D84:D86)</f>
        <v>0</v>
      </c>
      <c r="E83" s="255">
        <f t="shared" si="22"/>
        <v>21.357908</v>
      </c>
      <c r="F83" s="255">
        <f t="shared" si="22"/>
        <v>0</v>
      </c>
      <c r="G83" s="47">
        <f t="shared" si="22"/>
        <v>23.121056</v>
      </c>
      <c r="H83" s="255"/>
      <c r="I83" s="270"/>
      <c r="J83" s="255"/>
      <c r="K83" s="268"/>
      <c r="L83" s="269"/>
      <c r="M83" s="278"/>
      <c r="N83" s="279"/>
      <c r="O83" s="280"/>
      <c r="P83" s="280"/>
      <c r="Q83" s="280"/>
      <c r="R83" s="280"/>
      <c r="S83" s="280"/>
    </row>
    <row r="84" s="236" customFormat="1" ht="31" customHeight="1" spans="1:19">
      <c r="A84" s="253">
        <v>9.1</v>
      </c>
      <c r="B84" s="85" t="s">
        <v>55</v>
      </c>
      <c r="C84" s="255">
        <f>17631.48/10000</f>
        <v>1.763148</v>
      </c>
      <c r="D84" s="255"/>
      <c r="E84" s="255"/>
      <c r="F84" s="255"/>
      <c r="G84" s="47">
        <f t="shared" ref="G84:G86" si="23">SUM(C84:F84)</f>
        <v>1.763148</v>
      </c>
      <c r="H84" s="255" t="s">
        <v>17</v>
      </c>
      <c r="I84" s="270">
        <v>67</v>
      </c>
      <c r="J84" s="255">
        <f t="shared" ref="J84:J89" si="24">G84/I84*10000</f>
        <v>263.156417910448</v>
      </c>
      <c r="K84" s="268"/>
      <c r="L84" s="269"/>
      <c r="M84" s="278"/>
      <c r="N84" s="281"/>
      <c r="O84" s="280"/>
      <c r="P84" s="280"/>
      <c r="Q84" s="280"/>
      <c r="R84" s="280"/>
      <c r="S84" s="280"/>
    </row>
    <row r="85" s="237" customFormat="1" ht="31" customHeight="1" spans="1:19">
      <c r="A85" s="253">
        <v>9.2</v>
      </c>
      <c r="B85" s="254" t="s">
        <v>56</v>
      </c>
      <c r="C85" s="255"/>
      <c r="D85" s="255"/>
      <c r="E85" s="255">
        <f>188466.53/10000</f>
        <v>18.846653</v>
      </c>
      <c r="F85" s="255"/>
      <c r="G85" s="47">
        <f t="shared" si="23"/>
        <v>18.846653</v>
      </c>
      <c r="H85" s="255" t="s">
        <v>32</v>
      </c>
      <c r="I85" s="270">
        <v>523.47</v>
      </c>
      <c r="J85" s="255">
        <f t="shared" si="24"/>
        <v>360.033106004164</v>
      </c>
      <c r="K85" s="268"/>
      <c r="L85" s="271"/>
      <c r="M85" s="284"/>
      <c r="N85" s="285"/>
      <c r="O85" s="286"/>
      <c r="P85" s="286"/>
      <c r="Q85" s="286"/>
      <c r="R85" s="286"/>
      <c r="S85" s="286"/>
    </row>
    <row r="86" s="238" customFormat="1" ht="31" customHeight="1" spans="1:19">
      <c r="A86" s="253">
        <v>9.3</v>
      </c>
      <c r="B86" s="254" t="s">
        <v>57</v>
      </c>
      <c r="C86" s="255"/>
      <c r="D86" s="255"/>
      <c r="E86" s="255">
        <f>25112.55/10000</f>
        <v>2.511255</v>
      </c>
      <c r="F86" s="255"/>
      <c r="G86" s="47">
        <f t="shared" si="23"/>
        <v>2.511255</v>
      </c>
      <c r="H86" s="255" t="s">
        <v>32</v>
      </c>
      <c r="I86" s="270">
        <v>70</v>
      </c>
      <c r="J86" s="255">
        <f t="shared" si="24"/>
        <v>358.750714285714</v>
      </c>
      <c r="K86" s="268"/>
      <c r="L86" s="272"/>
      <c r="M86" s="287"/>
      <c r="N86" s="288"/>
      <c r="O86" s="289"/>
      <c r="P86" s="289"/>
      <c r="Q86" s="289"/>
      <c r="R86" s="289"/>
      <c r="S86" s="289"/>
    </row>
    <row r="87" s="236" customFormat="1" ht="31" customHeight="1" spans="1:19">
      <c r="A87" s="84">
        <v>10</v>
      </c>
      <c r="B87" s="254" t="s">
        <v>66</v>
      </c>
      <c r="C87" s="255">
        <f>SUM(C88:C89)</f>
        <v>3.07301</v>
      </c>
      <c r="D87" s="255">
        <f>SUM(D88:D89)</f>
        <v>0</v>
      </c>
      <c r="E87" s="255">
        <f>SUM(E88:E89)</f>
        <v>39.705028</v>
      </c>
      <c r="F87" s="255">
        <f>SUM(F88:F89)</f>
        <v>0</v>
      </c>
      <c r="G87" s="47">
        <f>SUM(G88:G89)</f>
        <v>42.778038</v>
      </c>
      <c r="H87" s="255"/>
      <c r="I87" s="270"/>
      <c r="J87" s="255"/>
      <c r="K87" s="268"/>
      <c r="L87" s="269"/>
      <c r="M87" s="278"/>
      <c r="N87" s="279"/>
      <c r="O87" s="280"/>
      <c r="P87" s="280"/>
      <c r="Q87" s="280"/>
      <c r="R87" s="280"/>
      <c r="S87" s="280"/>
    </row>
    <row r="88" s="236" customFormat="1" ht="31" customHeight="1" spans="1:19">
      <c r="A88" s="253">
        <v>10.1</v>
      </c>
      <c r="B88" s="85" t="s">
        <v>55</v>
      </c>
      <c r="C88" s="255">
        <f>30730.1/10000</f>
        <v>3.07301</v>
      </c>
      <c r="D88" s="255"/>
      <c r="E88" s="255"/>
      <c r="F88" s="255"/>
      <c r="G88" s="47">
        <f>SUM(C88:F88)</f>
        <v>3.07301</v>
      </c>
      <c r="H88" s="255" t="s">
        <v>17</v>
      </c>
      <c r="I88" s="270">
        <v>117</v>
      </c>
      <c r="J88" s="255">
        <f t="shared" si="24"/>
        <v>262.650427350427</v>
      </c>
      <c r="K88" s="268"/>
      <c r="L88" s="269"/>
      <c r="M88" s="278"/>
      <c r="N88" s="281"/>
      <c r="O88" s="280"/>
      <c r="P88" s="280"/>
      <c r="Q88" s="280"/>
      <c r="R88" s="280"/>
      <c r="S88" s="280"/>
    </row>
    <row r="89" s="237" customFormat="1" ht="31" customHeight="1" spans="1:19">
      <c r="A89" s="253">
        <v>10.2</v>
      </c>
      <c r="B89" s="254" t="s">
        <v>56</v>
      </c>
      <c r="C89" s="255"/>
      <c r="D89" s="255"/>
      <c r="E89" s="255">
        <f>397050.28/10000</f>
        <v>39.705028</v>
      </c>
      <c r="F89" s="255"/>
      <c r="G89" s="47">
        <f>SUM(C89:F89)</f>
        <v>39.705028</v>
      </c>
      <c r="H89" s="255" t="s">
        <v>32</v>
      </c>
      <c r="I89" s="270">
        <v>1080.03</v>
      </c>
      <c r="J89" s="255">
        <f t="shared" si="24"/>
        <v>367.628936233253</v>
      </c>
      <c r="K89" s="268"/>
      <c r="L89" s="271"/>
      <c r="M89" s="284"/>
      <c r="N89" s="285"/>
      <c r="O89" s="286"/>
      <c r="P89" s="286"/>
      <c r="Q89" s="286"/>
      <c r="R89" s="286"/>
      <c r="S89" s="286"/>
    </row>
    <row r="90" s="236" customFormat="1" ht="31" customHeight="1" spans="1:19">
      <c r="A90" s="84">
        <v>11</v>
      </c>
      <c r="B90" s="254" t="s">
        <v>67</v>
      </c>
      <c r="C90" s="255">
        <f>SUM(C91:C92)</f>
        <v>2.668578</v>
      </c>
      <c r="D90" s="255">
        <f>SUM(D91:D92)</f>
        <v>0</v>
      </c>
      <c r="E90" s="255">
        <f>SUM(E91:E92)</f>
        <v>23.220749</v>
      </c>
      <c r="F90" s="255">
        <f>SUM(F91:F92)</f>
        <v>0</v>
      </c>
      <c r="G90" s="47">
        <f>SUM(G91:G92)</f>
        <v>25.889327</v>
      </c>
      <c r="H90" s="255"/>
      <c r="I90" s="270"/>
      <c r="J90" s="255"/>
      <c r="K90" s="268"/>
      <c r="L90" s="269"/>
      <c r="M90" s="278"/>
      <c r="N90" s="279"/>
      <c r="O90" s="280"/>
      <c r="P90" s="280"/>
      <c r="Q90" s="280"/>
      <c r="R90" s="280"/>
      <c r="S90" s="280"/>
    </row>
    <row r="91" s="236" customFormat="1" ht="31" customHeight="1" spans="1:19">
      <c r="A91" s="253">
        <v>11.1</v>
      </c>
      <c r="B91" s="85" t="s">
        <v>55</v>
      </c>
      <c r="C91" s="255">
        <f>26685.78/10000</f>
        <v>2.668578</v>
      </c>
      <c r="D91" s="255"/>
      <c r="E91" s="255"/>
      <c r="F91" s="255"/>
      <c r="G91" s="47">
        <f>SUM(C91:F91)</f>
        <v>2.668578</v>
      </c>
      <c r="H91" s="255" t="s">
        <v>17</v>
      </c>
      <c r="I91" s="270">
        <v>101</v>
      </c>
      <c r="J91" s="255">
        <f>G91/I91*10000</f>
        <v>264.215643564356</v>
      </c>
      <c r="K91" s="268"/>
      <c r="L91" s="269"/>
      <c r="M91" s="278"/>
      <c r="N91" s="281"/>
      <c r="O91" s="280"/>
      <c r="P91" s="280"/>
      <c r="Q91" s="280"/>
      <c r="R91" s="280"/>
      <c r="S91" s="280"/>
    </row>
    <row r="92" s="237" customFormat="1" ht="31" customHeight="1" spans="1:19">
      <c r="A92" s="253">
        <v>11.2</v>
      </c>
      <c r="B92" s="254" t="s">
        <v>56</v>
      </c>
      <c r="C92" s="255"/>
      <c r="D92" s="255"/>
      <c r="E92" s="255">
        <f>232207.49/10000</f>
        <v>23.220749</v>
      </c>
      <c r="F92" s="255"/>
      <c r="G92" s="47">
        <f>SUM(C92:F92)</f>
        <v>23.220749</v>
      </c>
      <c r="H92" s="255" t="s">
        <v>32</v>
      </c>
      <c r="I92" s="270">
        <v>690.75</v>
      </c>
      <c r="J92" s="255">
        <f>G92/I92*10000</f>
        <v>336.167195077814</v>
      </c>
      <c r="K92" s="268"/>
      <c r="L92" s="271"/>
      <c r="M92" s="284"/>
      <c r="N92" s="285"/>
      <c r="O92" s="286"/>
      <c r="P92" s="286"/>
      <c r="Q92" s="286"/>
      <c r="R92" s="286"/>
      <c r="S92" s="286"/>
    </row>
    <row r="93" s="236" customFormat="1" ht="31" customHeight="1" spans="1:19">
      <c r="A93" s="84">
        <v>12</v>
      </c>
      <c r="B93" s="254" t="s">
        <v>68</v>
      </c>
      <c r="C93" s="255">
        <f>SUM(C94:C95)</f>
        <v>0.373992</v>
      </c>
      <c r="D93" s="255">
        <f>SUM(D94:D95)</f>
        <v>0</v>
      </c>
      <c r="E93" s="255">
        <f>SUM(E94:E95)</f>
        <v>37.886074</v>
      </c>
      <c r="F93" s="255">
        <f>SUM(F94:F95)</f>
        <v>0</v>
      </c>
      <c r="G93" s="47">
        <f>SUM(G94:G95)</f>
        <v>38.260066</v>
      </c>
      <c r="H93" s="255"/>
      <c r="I93" s="270"/>
      <c r="J93" s="255"/>
      <c r="K93" s="268"/>
      <c r="L93" s="269"/>
      <c r="M93" s="278"/>
      <c r="N93" s="279"/>
      <c r="O93" s="280"/>
      <c r="P93" s="280"/>
      <c r="Q93" s="280"/>
      <c r="R93" s="280"/>
      <c r="S93" s="280"/>
    </row>
    <row r="94" s="236" customFormat="1" ht="31" customHeight="1" spans="1:19">
      <c r="A94" s="253">
        <v>12.1</v>
      </c>
      <c r="B94" s="85" t="s">
        <v>55</v>
      </c>
      <c r="C94" s="255">
        <f>3739.92/10000</f>
        <v>0.373992</v>
      </c>
      <c r="D94" s="255"/>
      <c r="E94" s="255"/>
      <c r="F94" s="255"/>
      <c r="G94" s="47">
        <f>SUM(C94:F94)</f>
        <v>0.373992</v>
      </c>
      <c r="H94" s="255" t="s">
        <v>17</v>
      </c>
      <c r="I94" s="270">
        <v>14.4</v>
      </c>
      <c r="J94" s="255">
        <f>G94/I94*10000</f>
        <v>259.716666666667</v>
      </c>
      <c r="K94" s="268"/>
      <c r="L94" s="269"/>
      <c r="M94" s="278"/>
      <c r="N94" s="281"/>
      <c r="O94" s="280"/>
      <c r="P94" s="280"/>
      <c r="Q94" s="280"/>
      <c r="R94" s="280"/>
      <c r="S94" s="280"/>
    </row>
    <row r="95" s="237" customFormat="1" ht="31" customHeight="1" spans="1:19">
      <c r="A95" s="253">
        <v>12.2</v>
      </c>
      <c r="B95" s="254" t="s">
        <v>56</v>
      </c>
      <c r="C95" s="255"/>
      <c r="D95" s="255"/>
      <c r="E95" s="255">
        <f>378860.74/10000</f>
        <v>37.886074</v>
      </c>
      <c r="F95" s="255"/>
      <c r="G95" s="47">
        <f>SUM(C95:F95)</f>
        <v>37.886074</v>
      </c>
      <c r="H95" s="255" t="s">
        <v>32</v>
      </c>
      <c r="I95" s="270">
        <v>1933.79</v>
      </c>
      <c r="J95" s="255">
        <f>G95/I95*10000</f>
        <v>195.916174972463</v>
      </c>
      <c r="K95" s="268"/>
      <c r="L95" s="271"/>
      <c r="M95" s="284"/>
      <c r="N95" s="285"/>
      <c r="O95" s="286"/>
      <c r="P95" s="286"/>
      <c r="Q95" s="286"/>
      <c r="R95" s="286"/>
      <c r="S95" s="286"/>
    </row>
    <row r="96" s="236" customFormat="1" ht="31" customHeight="1" spans="1:19">
      <c r="A96" s="84">
        <v>13</v>
      </c>
      <c r="B96" s="254" t="s">
        <v>69</v>
      </c>
      <c r="C96" s="255">
        <f t="shared" ref="C96:G96" si="25">SUM(C97:C99)</f>
        <v>26.462861</v>
      </c>
      <c r="D96" s="255">
        <f t="shared" si="25"/>
        <v>0</v>
      </c>
      <c r="E96" s="255">
        <f t="shared" si="25"/>
        <v>23.208922</v>
      </c>
      <c r="F96" s="255">
        <f t="shared" si="25"/>
        <v>0</v>
      </c>
      <c r="G96" s="47">
        <f t="shared" si="25"/>
        <v>49.671783</v>
      </c>
      <c r="H96" s="255"/>
      <c r="I96" s="270"/>
      <c r="J96" s="255"/>
      <c r="K96" s="268"/>
      <c r="L96" s="269"/>
      <c r="M96" s="278"/>
      <c r="N96" s="279"/>
      <c r="O96" s="280"/>
      <c r="P96" s="280"/>
      <c r="Q96" s="280"/>
      <c r="R96" s="280"/>
      <c r="S96" s="280"/>
    </row>
    <row r="97" s="236" customFormat="1" ht="31" customHeight="1" spans="1:19">
      <c r="A97" s="253">
        <v>13.1</v>
      </c>
      <c r="B97" s="85" t="s">
        <v>70</v>
      </c>
      <c r="C97" s="255">
        <f>264628.61/10000</f>
        <v>26.462861</v>
      </c>
      <c r="D97" s="255"/>
      <c r="E97" s="255"/>
      <c r="F97" s="255"/>
      <c r="G97" s="47">
        <f t="shared" ref="G97:G99" si="26">SUM(C97:F97)</f>
        <v>26.462861</v>
      </c>
      <c r="H97" s="255" t="s">
        <v>17</v>
      </c>
      <c r="I97" s="270">
        <f>436+62</f>
        <v>498</v>
      </c>
      <c r="J97" s="255">
        <f t="shared" ref="J97:J103" si="27">G97/I97*10000</f>
        <v>531.382751004016</v>
      </c>
      <c r="K97" s="268"/>
      <c r="L97" s="269"/>
      <c r="M97" s="278"/>
      <c r="N97" s="281"/>
      <c r="O97" s="280"/>
      <c r="P97" s="280"/>
      <c r="Q97" s="280"/>
      <c r="R97" s="280"/>
      <c r="S97" s="280"/>
    </row>
    <row r="98" s="237" customFormat="1" ht="31" customHeight="1" spans="1:19">
      <c r="A98" s="253">
        <v>13.2</v>
      </c>
      <c r="B98" s="254" t="s">
        <v>56</v>
      </c>
      <c r="C98" s="255"/>
      <c r="D98" s="255"/>
      <c r="E98" s="255">
        <f>91699.16/10000</f>
        <v>9.169916</v>
      </c>
      <c r="F98" s="255"/>
      <c r="G98" s="47">
        <f t="shared" si="26"/>
        <v>9.169916</v>
      </c>
      <c r="H98" s="255" t="s">
        <v>32</v>
      </c>
      <c r="I98" s="270">
        <v>330.83</v>
      </c>
      <c r="J98" s="255">
        <f t="shared" si="27"/>
        <v>277.179095003476</v>
      </c>
      <c r="K98" s="268"/>
      <c r="L98" s="271"/>
      <c r="M98" s="284"/>
      <c r="N98" s="285"/>
      <c r="O98" s="286"/>
      <c r="P98" s="286"/>
      <c r="Q98" s="286"/>
      <c r="R98" s="286"/>
      <c r="S98" s="286"/>
    </row>
    <row r="99" s="238" customFormat="1" ht="31" customHeight="1" spans="1:19">
      <c r="A99" s="253">
        <v>13.3</v>
      </c>
      <c r="B99" s="254" t="s">
        <v>57</v>
      </c>
      <c r="C99" s="255"/>
      <c r="D99" s="255"/>
      <c r="E99" s="255">
        <f>140390.06/10000</f>
        <v>14.039006</v>
      </c>
      <c r="F99" s="255"/>
      <c r="G99" s="47">
        <f t="shared" si="26"/>
        <v>14.039006</v>
      </c>
      <c r="H99" s="255" t="s">
        <v>32</v>
      </c>
      <c r="I99" s="270">
        <v>420</v>
      </c>
      <c r="J99" s="255">
        <f t="shared" si="27"/>
        <v>334.262047619048</v>
      </c>
      <c r="K99" s="268"/>
      <c r="L99" s="272"/>
      <c r="M99" s="287"/>
      <c r="N99" s="288"/>
      <c r="O99" s="289"/>
      <c r="P99" s="289"/>
      <c r="Q99" s="289"/>
      <c r="R99" s="289"/>
      <c r="S99" s="289"/>
    </row>
    <row r="100" s="236" customFormat="1" ht="31" customHeight="1" spans="1:19">
      <c r="A100" s="84">
        <v>14</v>
      </c>
      <c r="B100" s="254" t="s">
        <v>71</v>
      </c>
      <c r="C100" s="255">
        <f t="shared" ref="C100:G100" si="28">SUM(C101:C103)</f>
        <v>73.685218</v>
      </c>
      <c r="D100" s="255">
        <f t="shared" si="28"/>
        <v>0</v>
      </c>
      <c r="E100" s="255">
        <f t="shared" si="28"/>
        <v>29.570037</v>
      </c>
      <c r="F100" s="255">
        <f t="shared" si="28"/>
        <v>0</v>
      </c>
      <c r="G100" s="47">
        <f t="shared" si="28"/>
        <v>103.255255</v>
      </c>
      <c r="H100" s="255"/>
      <c r="I100" s="270"/>
      <c r="J100" s="255"/>
      <c r="K100" s="268"/>
      <c r="L100" s="269"/>
      <c r="M100" s="278"/>
      <c r="N100" s="279"/>
      <c r="O100" s="280"/>
      <c r="P100" s="280"/>
      <c r="Q100" s="280"/>
      <c r="R100" s="280"/>
      <c r="S100" s="280"/>
    </row>
    <row r="101" s="236" customFormat="1" ht="31" customHeight="1" spans="1:19">
      <c r="A101" s="253">
        <v>14.1</v>
      </c>
      <c r="B101" s="85" t="s">
        <v>70</v>
      </c>
      <c r="C101" s="255">
        <f>736852.18/10000</f>
        <v>73.685218</v>
      </c>
      <c r="D101" s="255"/>
      <c r="E101" s="255"/>
      <c r="F101" s="255"/>
      <c r="G101" s="47">
        <f t="shared" ref="G101:G103" si="29">SUM(C101:F101)</f>
        <v>73.685218</v>
      </c>
      <c r="H101" s="255" t="s">
        <v>17</v>
      </c>
      <c r="I101" s="270">
        <f>1275+62</f>
        <v>1337</v>
      </c>
      <c r="J101" s="255">
        <f t="shared" si="27"/>
        <v>551.123545250561</v>
      </c>
      <c r="K101" s="268"/>
      <c r="L101" s="269"/>
      <c r="M101" s="278"/>
      <c r="N101" s="281"/>
      <c r="O101" s="280"/>
      <c r="P101" s="280"/>
      <c r="Q101" s="280"/>
      <c r="R101" s="280"/>
      <c r="S101" s="280"/>
    </row>
    <row r="102" s="237" customFormat="1" ht="31" customHeight="1" spans="1:19">
      <c r="A102" s="253">
        <v>14.2</v>
      </c>
      <c r="B102" s="254" t="s">
        <v>56</v>
      </c>
      <c r="C102" s="255"/>
      <c r="D102" s="255"/>
      <c r="E102" s="255">
        <f>247992.49/10000</f>
        <v>24.799249</v>
      </c>
      <c r="F102" s="255"/>
      <c r="G102" s="47">
        <f t="shared" si="29"/>
        <v>24.799249</v>
      </c>
      <c r="H102" s="255" t="s">
        <v>32</v>
      </c>
      <c r="I102" s="270">
        <v>694.45</v>
      </c>
      <c r="J102" s="255">
        <f t="shared" si="27"/>
        <v>357.10632874937</v>
      </c>
      <c r="K102" s="268"/>
      <c r="L102" s="271"/>
      <c r="M102" s="284"/>
      <c r="N102" s="285"/>
      <c r="O102" s="286"/>
      <c r="P102" s="286"/>
      <c r="Q102" s="286"/>
      <c r="R102" s="286"/>
      <c r="S102" s="286"/>
    </row>
    <row r="103" s="238" customFormat="1" ht="31" customHeight="1" spans="1:19">
      <c r="A103" s="253">
        <v>14.3</v>
      </c>
      <c r="B103" s="254" t="s">
        <v>57</v>
      </c>
      <c r="C103" s="255"/>
      <c r="D103" s="255"/>
      <c r="E103" s="255">
        <f>47707.88/10000</f>
        <v>4.770788</v>
      </c>
      <c r="F103" s="255"/>
      <c r="G103" s="47">
        <f t="shared" si="29"/>
        <v>4.770788</v>
      </c>
      <c r="H103" s="255" t="s">
        <v>32</v>
      </c>
      <c r="I103" s="270">
        <v>135</v>
      </c>
      <c r="J103" s="255">
        <f t="shared" si="27"/>
        <v>353.391703703704</v>
      </c>
      <c r="K103" s="268"/>
      <c r="L103" s="272"/>
      <c r="M103" s="287"/>
      <c r="N103" s="288"/>
      <c r="O103" s="289"/>
      <c r="P103" s="289"/>
      <c r="Q103" s="289"/>
      <c r="R103" s="289"/>
      <c r="S103" s="289"/>
    </row>
    <row r="104" s="236" customFormat="1" ht="31" customHeight="1" spans="1:19">
      <c r="A104" s="84">
        <v>15</v>
      </c>
      <c r="B104" s="254" t="s">
        <v>72</v>
      </c>
      <c r="C104" s="255">
        <f t="shared" ref="C104:G104" si="30">SUM(C105:C107)</f>
        <v>1.008132</v>
      </c>
      <c r="D104" s="255">
        <f t="shared" si="30"/>
        <v>0</v>
      </c>
      <c r="E104" s="255">
        <f t="shared" si="30"/>
        <v>24.47606</v>
      </c>
      <c r="F104" s="255">
        <f t="shared" si="30"/>
        <v>0</v>
      </c>
      <c r="G104" s="47">
        <f t="shared" si="30"/>
        <v>25.484192</v>
      </c>
      <c r="H104" s="255"/>
      <c r="I104" s="270"/>
      <c r="J104" s="255"/>
      <c r="K104" s="268"/>
      <c r="L104" s="269"/>
      <c r="M104" s="278"/>
      <c r="N104" s="279"/>
      <c r="O104" s="280"/>
      <c r="P104" s="280"/>
      <c r="Q104" s="280"/>
      <c r="R104" s="280"/>
      <c r="S104" s="280"/>
    </row>
    <row r="105" s="236" customFormat="1" ht="31" customHeight="1" spans="1:19">
      <c r="A105" s="253">
        <v>15.1</v>
      </c>
      <c r="B105" s="85" t="s">
        <v>55</v>
      </c>
      <c r="C105" s="255">
        <f>10081.32/10000</f>
        <v>1.008132</v>
      </c>
      <c r="D105" s="255"/>
      <c r="E105" s="255"/>
      <c r="F105" s="255"/>
      <c r="G105" s="47">
        <f t="shared" ref="G105:G107" si="31">SUM(C105:F105)</f>
        <v>1.008132</v>
      </c>
      <c r="H105" s="255" t="s">
        <v>17</v>
      </c>
      <c r="I105" s="270">
        <v>38.4</v>
      </c>
      <c r="J105" s="255">
        <f t="shared" ref="J105:J107" si="32">G105/I105*10000</f>
        <v>262.534375</v>
      </c>
      <c r="K105" s="268"/>
      <c r="L105" s="269"/>
      <c r="M105" s="278"/>
      <c r="N105" s="281"/>
      <c r="O105" s="280"/>
      <c r="P105" s="280"/>
      <c r="Q105" s="280"/>
      <c r="R105" s="280"/>
      <c r="S105" s="280"/>
    </row>
    <row r="106" s="237" customFormat="1" ht="31" customHeight="1" spans="1:19">
      <c r="A106" s="253">
        <v>15.2</v>
      </c>
      <c r="B106" s="254" t="s">
        <v>56</v>
      </c>
      <c r="C106" s="255"/>
      <c r="D106" s="255"/>
      <c r="E106" s="255">
        <f>153804.11/10000</f>
        <v>15.380411</v>
      </c>
      <c r="F106" s="255"/>
      <c r="G106" s="47">
        <f t="shared" si="31"/>
        <v>15.380411</v>
      </c>
      <c r="H106" s="255" t="s">
        <v>32</v>
      </c>
      <c r="I106" s="270">
        <v>419.63</v>
      </c>
      <c r="J106" s="255">
        <f t="shared" si="32"/>
        <v>366.523151347616</v>
      </c>
      <c r="K106" s="268"/>
      <c r="L106" s="271"/>
      <c r="M106" s="284"/>
      <c r="N106" s="285"/>
      <c r="O106" s="286"/>
      <c r="P106" s="286"/>
      <c r="Q106" s="286"/>
      <c r="R106" s="286"/>
      <c r="S106" s="286"/>
    </row>
    <row r="107" s="238" customFormat="1" ht="31" customHeight="1" spans="1:19">
      <c r="A107" s="253">
        <v>15.3</v>
      </c>
      <c r="B107" s="254" t="s">
        <v>57</v>
      </c>
      <c r="C107" s="255"/>
      <c r="D107" s="255"/>
      <c r="E107" s="255">
        <f>90956.49/10000</f>
        <v>9.095649</v>
      </c>
      <c r="F107" s="255"/>
      <c r="G107" s="47">
        <f t="shared" si="31"/>
        <v>9.095649</v>
      </c>
      <c r="H107" s="255" t="s">
        <v>32</v>
      </c>
      <c r="I107" s="270">
        <v>268</v>
      </c>
      <c r="J107" s="255">
        <f t="shared" si="32"/>
        <v>339.389888059701</v>
      </c>
      <c r="K107" s="268"/>
      <c r="L107" s="272"/>
      <c r="M107" s="287"/>
      <c r="N107" s="288"/>
      <c r="O107" s="289"/>
      <c r="P107" s="289"/>
      <c r="Q107" s="289"/>
      <c r="R107" s="289"/>
      <c r="S107" s="289"/>
    </row>
    <row r="108" s="236" customFormat="1" ht="31" customHeight="1" spans="1:19">
      <c r="A108" s="84">
        <v>16</v>
      </c>
      <c r="B108" s="258" t="s">
        <v>39</v>
      </c>
      <c r="C108" s="255">
        <f>C54+C58+C62+C66+C70+C73+C76+C79+C83+C87+C90+C93+C96+C100+C104</f>
        <v>129.702173</v>
      </c>
      <c r="D108" s="255">
        <f>D54+D58+D62+D66+D70+D73+D76+D79+D83+D87+D90+D93+D96+D100+D104</f>
        <v>0</v>
      </c>
      <c r="E108" s="255">
        <f>E54+E58+E62+E66+E70+E73+E76+E79+E83+E87+E90+E93+E96+E100+E104</f>
        <v>406.427477</v>
      </c>
      <c r="F108" s="255">
        <f>F54+F58+F62+F66+F70+F73+F76+F79+F83+F87+F90+F93+F96+F100+F104</f>
        <v>0</v>
      </c>
      <c r="G108" s="47">
        <f>G54+G58+G62+G66+G70+G73+G76+G79+G83+G87+G90+G93+G96+G100+G104</f>
        <v>536.12965</v>
      </c>
      <c r="H108" s="255"/>
      <c r="I108" s="270"/>
      <c r="J108" s="255"/>
      <c r="K108" s="268"/>
      <c r="L108" s="269"/>
      <c r="M108" s="278"/>
      <c r="N108" s="281"/>
      <c r="O108" s="280"/>
      <c r="P108" s="280"/>
      <c r="Q108" s="280"/>
      <c r="R108" s="280"/>
      <c r="S108" s="280"/>
    </row>
    <row r="109" s="239" customFormat="1" ht="31" customHeight="1" spans="1:19">
      <c r="A109" s="21" t="s">
        <v>73</v>
      </c>
      <c r="B109" s="83" t="s">
        <v>74</v>
      </c>
      <c r="C109" s="252">
        <f>C115</f>
        <v>90.619329</v>
      </c>
      <c r="D109" s="252">
        <f>D115</f>
        <v>0</v>
      </c>
      <c r="E109" s="252">
        <f>E115</f>
        <v>100.248884</v>
      </c>
      <c r="F109" s="252">
        <f>F115</f>
        <v>0</v>
      </c>
      <c r="G109" s="18">
        <f>G115</f>
        <v>190.868213</v>
      </c>
      <c r="H109" s="252" t="s">
        <v>17</v>
      </c>
      <c r="I109" s="265">
        <v>183.08</v>
      </c>
      <c r="J109" s="255"/>
      <c r="K109" s="266"/>
      <c r="L109" s="297"/>
      <c r="M109" s="306"/>
      <c r="N109" s="189"/>
      <c r="O109" s="189"/>
      <c r="P109" s="189"/>
      <c r="Q109" s="189"/>
      <c r="R109" s="189"/>
      <c r="S109" s="189"/>
    </row>
    <row r="110" s="236" customFormat="1" ht="31" customHeight="1" spans="1:19">
      <c r="A110" s="84">
        <v>1</v>
      </c>
      <c r="B110" s="254" t="s">
        <v>75</v>
      </c>
      <c r="C110" s="255">
        <f>906193.29/10000</f>
        <v>90.619329</v>
      </c>
      <c r="D110" s="255"/>
      <c r="E110" s="255"/>
      <c r="F110" s="255"/>
      <c r="G110" s="47">
        <f>SUM(C110:F110)</f>
        <v>90.619329</v>
      </c>
      <c r="H110" s="255" t="s">
        <v>17</v>
      </c>
      <c r="I110" s="270">
        <f t="shared" ref="I110:I114" si="33">I109</f>
        <v>183.08</v>
      </c>
      <c r="J110" s="255">
        <f t="shared" ref="J110:J114" si="34">G110/I110*10000</f>
        <v>4949.71209307407</v>
      </c>
      <c r="K110" s="268"/>
      <c r="L110" s="269"/>
      <c r="M110" s="278"/>
      <c r="N110" s="281"/>
      <c r="O110" s="280"/>
      <c r="P110" s="280"/>
      <c r="Q110" s="280"/>
      <c r="R110" s="280"/>
      <c r="S110" s="280"/>
    </row>
    <row r="111" s="236" customFormat="1" ht="31" customHeight="1" spans="1:19">
      <c r="A111" s="84">
        <v>2</v>
      </c>
      <c r="B111" s="254" t="s">
        <v>30</v>
      </c>
      <c r="C111" s="255"/>
      <c r="D111" s="255"/>
      <c r="E111" s="255">
        <f>12066.37/10000</f>
        <v>1.206637</v>
      </c>
      <c r="F111" s="255"/>
      <c r="G111" s="47">
        <f>SUM(C111:F111)</f>
        <v>1.206637</v>
      </c>
      <c r="H111" s="255" t="s">
        <v>17</v>
      </c>
      <c r="I111" s="270">
        <f>I109</f>
        <v>183.08</v>
      </c>
      <c r="J111" s="255">
        <f t="shared" si="34"/>
        <v>65.9076360061176</v>
      </c>
      <c r="K111" s="268"/>
      <c r="L111" s="269"/>
      <c r="M111" s="307"/>
      <c r="N111" s="281"/>
      <c r="O111" s="280"/>
      <c r="P111" s="280"/>
      <c r="Q111" s="280"/>
      <c r="R111" s="280"/>
      <c r="S111" s="280"/>
    </row>
    <row r="112" s="236" customFormat="1" ht="31" customHeight="1" spans="1:19">
      <c r="A112" s="84">
        <v>3</v>
      </c>
      <c r="B112" s="254" t="s">
        <v>76</v>
      </c>
      <c r="C112" s="255"/>
      <c r="D112" s="255"/>
      <c r="E112" s="255">
        <f>622946.21/10000</f>
        <v>62.294621</v>
      </c>
      <c r="F112" s="255"/>
      <c r="G112" s="47">
        <f>SUM(C112:F112)</f>
        <v>62.294621</v>
      </c>
      <c r="H112" s="255" t="s">
        <v>17</v>
      </c>
      <c r="I112" s="270">
        <f t="shared" si="33"/>
        <v>183.08</v>
      </c>
      <c r="J112" s="255">
        <f t="shared" si="34"/>
        <v>3402.59017915665</v>
      </c>
      <c r="K112" s="268"/>
      <c r="L112" s="269"/>
      <c r="M112" s="307"/>
      <c r="N112" s="281"/>
      <c r="O112" s="280"/>
      <c r="P112" s="280"/>
      <c r="Q112" s="280"/>
      <c r="R112" s="280"/>
      <c r="S112" s="280"/>
    </row>
    <row r="113" s="236" customFormat="1" ht="31" customHeight="1" spans="1:19">
      <c r="A113" s="84">
        <v>4</v>
      </c>
      <c r="B113" s="290" t="s">
        <v>77</v>
      </c>
      <c r="C113" s="255"/>
      <c r="D113" s="255"/>
      <c r="E113" s="255">
        <f>144677.22/10000</f>
        <v>14.467722</v>
      </c>
      <c r="F113" s="255"/>
      <c r="G113" s="47">
        <f>SUM(C113:F113)</f>
        <v>14.467722</v>
      </c>
      <c r="H113" s="255" t="s">
        <v>17</v>
      </c>
      <c r="I113" s="270">
        <f t="shared" si="33"/>
        <v>183.08</v>
      </c>
      <c r="J113" s="255">
        <f t="shared" si="34"/>
        <v>790.24044133712</v>
      </c>
      <c r="K113" s="268"/>
      <c r="L113" s="269"/>
      <c r="M113" s="307"/>
      <c r="N113" s="281"/>
      <c r="O113" s="280"/>
      <c r="P113" s="280"/>
      <c r="Q113" s="280"/>
      <c r="R113" s="280"/>
      <c r="S113" s="280"/>
    </row>
    <row r="114" s="236" customFormat="1" ht="31" customHeight="1" spans="1:19">
      <c r="A114" s="84">
        <v>5</v>
      </c>
      <c r="B114" s="290" t="s">
        <v>78</v>
      </c>
      <c r="C114" s="255"/>
      <c r="D114" s="255"/>
      <c r="E114" s="255">
        <f>222799.04/10000</f>
        <v>22.279904</v>
      </c>
      <c r="F114" s="255"/>
      <c r="G114" s="47">
        <f>SUM(C114:F114)</f>
        <v>22.279904</v>
      </c>
      <c r="H114" s="255" t="s">
        <v>17</v>
      </c>
      <c r="I114" s="270">
        <f t="shared" si="33"/>
        <v>183.08</v>
      </c>
      <c r="J114" s="255">
        <f t="shared" si="34"/>
        <v>1216.94909329255</v>
      </c>
      <c r="K114" s="268"/>
      <c r="L114" s="269"/>
      <c r="M114" s="307"/>
      <c r="N114" s="281"/>
      <c r="O114" s="280"/>
      <c r="P114" s="280"/>
      <c r="Q114" s="280"/>
      <c r="R114" s="280"/>
      <c r="S114" s="280"/>
    </row>
    <row r="115" s="236" customFormat="1" ht="31" customHeight="1" spans="1:19">
      <c r="A115" s="84">
        <v>6</v>
      </c>
      <c r="B115" s="258" t="s">
        <v>39</v>
      </c>
      <c r="C115" s="255">
        <f>SUM(C110:C114)</f>
        <v>90.619329</v>
      </c>
      <c r="D115" s="255">
        <f>SUM(D110:D114)</f>
        <v>0</v>
      </c>
      <c r="E115" s="255">
        <f>SUM(E110:E114)</f>
        <v>100.248884</v>
      </c>
      <c r="F115" s="255">
        <f>SUM(F110:F114)</f>
        <v>0</v>
      </c>
      <c r="G115" s="47">
        <f>SUM(G110:G114)</f>
        <v>190.868213</v>
      </c>
      <c r="H115" s="255"/>
      <c r="I115" s="270"/>
      <c r="J115" s="255"/>
      <c r="K115" s="268"/>
      <c r="L115" s="269"/>
      <c r="M115" s="278"/>
      <c r="N115" s="281"/>
      <c r="O115" s="280"/>
      <c r="P115" s="280"/>
      <c r="Q115" s="280"/>
      <c r="R115" s="280"/>
      <c r="S115" s="280"/>
    </row>
    <row r="116" s="235" customFormat="1" ht="31" customHeight="1" spans="1:19">
      <c r="A116" s="21" t="s">
        <v>79</v>
      </c>
      <c r="B116" s="83" t="s">
        <v>80</v>
      </c>
      <c r="C116" s="252">
        <f>C127</f>
        <v>625.898656</v>
      </c>
      <c r="D116" s="252">
        <f>D127</f>
        <v>0</v>
      </c>
      <c r="E116" s="252">
        <f>E127</f>
        <v>630.049439</v>
      </c>
      <c r="F116" s="252">
        <f>F127</f>
        <v>0</v>
      </c>
      <c r="G116" s="18">
        <f>G127</f>
        <v>1255.948095</v>
      </c>
      <c r="H116" s="252"/>
      <c r="I116" s="265"/>
      <c r="J116" s="252"/>
      <c r="K116" s="266"/>
      <c r="L116" s="267"/>
      <c r="M116" s="282"/>
      <c r="N116" s="234"/>
      <c r="O116" s="234"/>
      <c r="P116" s="234"/>
      <c r="Q116" s="234"/>
      <c r="R116" s="234"/>
      <c r="S116" s="234"/>
    </row>
    <row r="117" s="236" customFormat="1" ht="31" customHeight="1" spans="1:19">
      <c r="A117" s="84">
        <v>1</v>
      </c>
      <c r="B117" s="254" t="s">
        <v>81</v>
      </c>
      <c r="C117" s="255">
        <f>2382574.51/10000</f>
        <v>238.257451</v>
      </c>
      <c r="D117" s="255"/>
      <c r="E117" s="255"/>
      <c r="F117" s="255"/>
      <c r="G117" s="47">
        <f t="shared" ref="G117:G126" si="35">SUM(C117:F117)</f>
        <v>238.257451</v>
      </c>
      <c r="H117" s="255" t="s">
        <v>17</v>
      </c>
      <c r="I117" s="270">
        <v>13789.65</v>
      </c>
      <c r="J117" s="255">
        <f>G117/I117*10000</f>
        <v>172.779911745403</v>
      </c>
      <c r="K117" s="268"/>
      <c r="L117" s="269"/>
      <c r="M117" s="278"/>
      <c r="N117" s="281"/>
      <c r="O117" s="280"/>
      <c r="P117" s="280"/>
      <c r="Q117" s="280"/>
      <c r="R117" s="280"/>
      <c r="S117" s="280"/>
    </row>
    <row r="118" s="236" customFormat="1" ht="31" customHeight="1" spans="1:19">
      <c r="A118" s="84">
        <v>2</v>
      </c>
      <c r="B118" s="254" t="s">
        <v>82</v>
      </c>
      <c r="C118" s="255">
        <f>220346.41/10000</f>
        <v>22.034641</v>
      </c>
      <c r="D118" s="255"/>
      <c r="E118" s="255"/>
      <c r="F118" s="255"/>
      <c r="G118" s="47">
        <f t="shared" si="35"/>
        <v>22.034641</v>
      </c>
      <c r="H118" s="255" t="s">
        <v>17</v>
      </c>
      <c r="I118" s="270">
        <v>699.34</v>
      </c>
      <c r="J118" s="255">
        <f>G118/I118*10000</f>
        <v>315.077658935568</v>
      </c>
      <c r="K118" s="268"/>
      <c r="L118" s="269"/>
      <c r="M118" s="278"/>
      <c r="N118" s="281"/>
      <c r="O118" s="280"/>
      <c r="P118" s="280"/>
      <c r="Q118" s="280"/>
      <c r="R118" s="280"/>
      <c r="S118" s="280"/>
    </row>
    <row r="119" s="236" customFormat="1" ht="31" customHeight="1" spans="1:19">
      <c r="A119" s="84">
        <v>3</v>
      </c>
      <c r="B119" s="254" t="s">
        <v>83</v>
      </c>
      <c r="C119" s="255">
        <f>625363.98/10000</f>
        <v>62.536398</v>
      </c>
      <c r="D119" s="255"/>
      <c r="E119" s="255"/>
      <c r="F119" s="255"/>
      <c r="G119" s="47">
        <f t="shared" si="35"/>
        <v>62.536398</v>
      </c>
      <c r="H119" s="255" t="s">
        <v>17</v>
      </c>
      <c r="I119" s="270">
        <v>2913.61</v>
      </c>
      <c r="J119" s="255">
        <f t="shared" ref="J119:J126" si="36">G119/I119*10000</f>
        <v>214.635445375325</v>
      </c>
      <c r="K119" s="268"/>
      <c r="L119" s="269"/>
      <c r="M119" s="278"/>
      <c r="N119" s="281"/>
      <c r="O119" s="280"/>
      <c r="P119" s="280"/>
      <c r="Q119" s="280"/>
      <c r="R119" s="280"/>
      <c r="S119" s="280"/>
    </row>
    <row r="120" s="236" customFormat="1" ht="31" customHeight="1" spans="1:19">
      <c r="A120" s="84">
        <v>4</v>
      </c>
      <c r="B120" s="254" t="s">
        <v>84</v>
      </c>
      <c r="C120" s="255">
        <f>200824.1/10000</f>
        <v>20.08241</v>
      </c>
      <c r="D120" s="255"/>
      <c r="E120" s="255"/>
      <c r="F120" s="255"/>
      <c r="G120" s="47">
        <f t="shared" si="35"/>
        <v>20.08241</v>
      </c>
      <c r="H120" s="255" t="s">
        <v>32</v>
      </c>
      <c r="I120" s="270">
        <v>3425</v>
      </c>
      <c r="J120" s="255">
        <f t="shared" si="36"/>
        <v>58.6347737226277</v>
      </c>
      <c r="K120" s="268"/>
      <c r="L120" s="269"/>
      <c r="M120" s="278"/>
      <c r="N120" s="281"/>
      <c r="O120" s="280"/>
      <c r="P120" s="280"/>
      <c r="Q120" s="280"/>
      <c r="R120" s="280"/>
      <c r="S120" s="280"/>
    </row>
    <row r="121" s="240" customFormat="1" ht="31" customHeight="1" spans="1:19">
      <c r="A121" s="84">
        <v>5</v>
      </c>
      <c r="B121" s="254" t="s">
        <v>85</v>
      </c>
      <c r="C121" s="255">
        <f>666884.86/10000</f>
        <v>66.688486</v>
      </c>
      <c r="D121" s="255"/>
      <c r="E121" s="255"/>
      <c r="F121" s="255"/>
      <c r="G121" s="47">
        <f t="shared" si="35"/>
        <v>66.688486</v>
      </c>
      <c r="H121" s="259" t="s">
        <v>32</v>
      </c>
      <c r="I121" s="298">
        <v>2841.67</v>
      </c>
      <c r="J121" s="299">
        <f t="shared" si="36"/>
        <v>234.680613864383</v>
      </c>
      <c r="K121" s="268"/>
      <c r="L121" s="300"/>
      <c r="M121" s="308"/>
      <c r="N121" s="309"/>
      <c r="O121" s="310"/>
      <c r="P121" s="310"/>
      <c r="Q121" s="310"/>
      <c r="R121" s="310"/>
      <c r="S121" s="310"/>
    </row>
    <row r="122" s="240" customFormat="1" ht="31" customHeight="1" spans="1:19">
      <c r="A122" s="84">
        <v>6</v>
      </c>
      <c r="B122" s="254" t="s">
        <v>86</v>
      </c>
      <c r="C122" s="255"/>
      <c r="D122" s="255"/>
      <c r="E122" s="255">
        <f>311511.39/10000</f>
        <v>31.151139</v>
      </c>
      <c r="F122" s="255"/>
      <c r="G122" s="47">
        <f t="shared" si="35"/>
        <v>31.151139</v>
      </c>
      <c r="H122" s="259" t="s">
        <v>32</v>
      </c>
      <c r="I122" s="298">
        <v>2841.67</v>
      </c>
      <c r="J122" s="299">
        <f t="shared" si="36"/>
        <v>109.622647949973</v>
      </c>
      <c r="K122" s="268"/>
      <c r="L122" s="300"/>
      <c r="M122" s="308"/>
      <c r="N122" s="309"/>
      <c r="O122" s="310"/>
      <c r="P122" s="310"/>
      <c r="Q122" s="310"/>
      <c r="R122" s="310"/>
      <c r="S122" s="310"/>
    </row>
    <row r="123" s="240" customFormat="1" ht="31" customHeight="1" spans="1:19">
      <c r="A123" s="84">
        <v>7</v>
      </c>
      <c r="B123" s="254" t="s">
        <v>87</v>
      </c>
      <c r="C123" s="255">
        <f>827682.4/10000</f>
        <v>82.76824</v>
      </c>
      <c r="D123" s="255"/>
      <c r="E123" s="255"/>
      <c r="F123" s="255"/>
      <c r="G123" s="47">
        <f t="shared" si="35"/>
        <v>82.76824</v>
      </c>
      <c r="H123" s="259" t="s">
        <v>32</v>
      </c>
      <c r="I123" s="298">
        <v>3440.46</v>
      </c>
      <c r="J123" s="299">
        <f t="shared" si="36"/>
        <v>240.573179167902</v>
      </c>
      <c r="K123" s="268"/>
      <c r="L123" s="300"/>
      <c r="M123" s="308"/>
      <c r="N123" s="309"/>
      <c r="O123" s="310"/>
      <c r="P123" s="310"/>
      <c r="Q123" s="310"/>
      <c r="R123" s="310"/>
      <c r="S123" s="310"/>
    </row>
    <row r="124" s="240" customFormat="1" ht="31" customHeight="1" spans="1:19">
      <c r="A124" s="84">
        <v>8</v>
      </c>
      <c r="B124" s="254" t="s">
        <v>88</v>
      </c>
      <c r="C124" s="255"/>
      <c r="D124" s="255"/>
      <c r="E124" s="255">
        <f>826860.04/10000</f>
        <v>82.686004</v>
      </c>
      <c r="F124" s="255"/>
      <c r="G124" s="47">
        <f t="shared" si="35"/>
        <v>82.686004</v>
      </c>
      <c r="H124" s="259" t="s">
        <v>32</v>
      </c>
      <c r="I124" s="298">
        <v>3440.46</v>
      </c>
      <c r="J124" s="299">
        <f t="shared" si="36"/>
        <v>240.33415299117</v>
      </c>
      <c r="K124" s="268"/>
      <c r="L124" s="300"/>
      <c r="M124" s="308"/>
      <c r="N124" s="309"/>
      <c r="O124" s="310"/>
      <c r="P124" s="310"/>
      <c r="Q124" s="310"/>
      <c r="R124" s="310"/>
      <c r="S124" s="310"/>
    </row>
    <row r="125" s="240" customFormat="1" ht="31" customHeight="1" spans="1:19">
      <c r="A125" s="84">
        <v>9</v>
      </c>
      <c r="B125" s="254" t="s">
        <v>89</v>
      </c>
      <c r="C125" s="255">
        <f>1335310.3/10000</f>
        <v>133.53103</v>
      </c>
      <c r="D125" s="255"/>
      <c r="E125" s="255"/>
      <c r="F125" s="255"/>
      <c r="G125" s="47">
        <f t="shared" si="35"/>
        <v>133.53103</v>
      </c>
      <c r="H125" s="259" t="s">
        <v>32</v>
      </c>
      <c r="I125" s="301">
        <f>8680+140+1300</f>
        <v>10120</v>
      </c>
      <c r="J125" s="299">
        <f t="shared" si="36"/>
        <v>131.947658102767</v>
      </c>
      <c r="K125" s="268"/>
      <c r="L125" s="300"/>
      <c r="M125" s="308"/>
      <c r="N125" s="309"/>
      <c r="O125" s="310"/>
      <c r="P125" s="310"/>
      <c r="Q125" s="310"/>
      <c r="R125" s="310"/>
      <c r="S125" s="310"/>
    </row>
    <row r="126" s="240" customFormat="1" ht="31" customHeight="1" spans="1:19">
      <c r="A126" s="84">
        <v>10</v>
      </c>
      <c r="B126" s="254" t="s">
        <v>90</v>
      </c>
      <c r="C126" s="255"/>
      <c r="D126" s="255"/>
      <c r="E126" s="255">
        <f>5162122.96/10000</f>
        <v>516.212296</v>
      </c>
      <c r="F126" s="255"/>
      <c r="G126" s="47">
        <f t="shared" si="35"/>
        <v>516.212296</v>
      </c>
      <c r="H126" s="259" t="s">
        <v>32</v>
      </c>
      <c r="I126" s="301">
        <f>8680+140+1300</f>
        <v>10120</v>
      </c>
      <c r="J126" s="299">
        <f t="shared" si="36"/>
        <v>510.091201581028</v>
      </c>
      <c r="K126" s="268"/>
      <c r="L126" s="300"/>
      <c r="M126" s="308"/>
      <c r="N126" s="309"/>
      <c r="O126" s="310"/>
      <c r="P126" s="310"/>
      <c r="Q126" s="310"/>
      <c r="R126" s="310"/>
      <c r="S126" s="310"/>
    </row>
    <row r="127" s="236" customFormat="1" ht="31" customHeight="1" spans="1:19">
      <c r="A127" s="207">
        <v>11</v>
      </c>
      <c r="B127" s="291" t="s">
        <v>39</v>
      </c>
      <c r="C127" s="50">
        <f>SUM(C117:C126)</f>
        <v>625.898656</v>
      </c>
      <c r="D127" s="50">
        <f>SUM(D117:D126)</f>
        <v>0</v>
      </c>
      <c r="E127" s="50">
        <f>SUM(E117:E126)</f>
        <v>630.049439</v>
      </c>
      <c r="F127" s="50">
        <f>SUM(F117:F126)</f>
        <v>0</v>
      </c>
      <c r="G127" s="295">
        <f>SUM(G117:G126)</f>
        <v>1255.948095</v>
      </c>
      <c r="H127" s="50"/>
      <c r="I127" s="302"/>
      <c r="J127" s="50"/>
      <c r="K127" s="303"/>
      <c r="L127" s="269"/>
      <c r="M127" s="278"/>
      <c r="N127" s="281"/>
      <c r="O127" s="280"/>
      <c r="P127" s="280"/>
      <c r="Q127" s="280"/>
      <c r="R127" s="280"/>
      <c r="S127" s="280"/>
    </row>
    <row r="128" s="195" customFormat="1" ht="31" customHeight="1" spans="1:19">
      <c r="A128" s="292" t="s">
        <v>91</v>
      </c>
      <c r="B128" s="293" t="s">
        <v>92</v>
      </c>
      <c r="C128" s="294"/>
      <c r="D128" s="294"/>
      <c r="E128" s="294"/>
      <c r="F128" s="294">
        <f>SUM(F129:F144)</f>
        <v>250.87870825956</v>
      </c>
      <c r="G128" s="294">
        <f>SUM(G129:G144)</f>
        <v>250.87870825956</v>
      </c>
      <c r="H128" s="296" t="s">
        <v>93</v>
      </c>
      <c r="I128" s="304"/>
      <c r="J128" s="304"/>
      <c r="K128" s="305">
        <f>G128/G146</f>
        <v>0.0591057762131148</v>
      </c>
      <c r="L128" s="261"/>
      <c r="M128" s="261"/>
      <c r="N128" s="277"/>
      <c r="O128" s="232"/>
      <c r="P128" s="224"/>
      <c r="Q128" s="224"/>
      <c r="R128" s="224"/>
      <c r="S128" s="224"/>
    </row>
    <row r="129" s="196" customFormat="1" ht="31" customHeight="1" spans="1:19">
      <c r="A129" s="311">
        <v>1</v>
      </c>
      <c r="B129" s="312" t="s">
        <v>94</v>
      </c>
      <c r="C129" s="313"/>
      <c r="D129" s="313"/>
      <c r="E129" s="313"/>
      <c r="F129" s="255">
        <f t="shared" ref="F129:F133" si="37">I129*J129</f>
        <v>19.350323715</v>
      </c>
      <c r="G129" s="47">
        <f t="shared" ref="G129:G133" si="38">F129</f>
        <v>19.350323715</v>
      </c>
      <c r="H129" s="255" t="s">
        <v>93</v>
      </c>
      <c r="I129" s="339">
        <f>G5</f>
        <v>3870.064743</v>
      </c>
      <c r="J129" s="340">
        <v>0.005</v>
      </c>
      <c r="K129" s="341"/>
      <c r="L129" s="342"/>
      <c r="M129" s="348"/>
      <c r="N129" s="281"/>
      <c r="O129" s="225"/>
      <c r="P129" s="225"/>
      <c r="Q129" s="225"/>
      <c r="R129" s="225"/>
      <c r="S129" s="225"/>
    </row>
    <row r="130" s="196" customFormat="1" ht="31" customHeight="1" spans="1:19">
      <c r="A130" s="311">
        <v>2</v>
      </c>
      <c r="B130" s="312" t="s">
        <v>95</v>
      </c>
      <c r="C130" s="313"/>
      <c r="D130" s="313"/>
      <c r="E130" s="313"/>
      <c r="F130" s="255">
        <f t="shared" si="37"/>
        <v>30.960517944</v>
      </c>
      <c r="G130" s="47">
        <f t="shared" si="38"/>
        <v>30.960517944</v>
      </c>
      <c r="H130" s="255" t="s">
        <v>93</v>
      </c>
      <c r="I130" s="255">
        <f>I129</f>
        <v>3870.064743</v>
      </c>
      <c r="J130" s="340">
        <v>0.008</v>
      </c>
      <c r="K130" s="341"/>
      <c r="L130" s="342"/>
      <c r="M130" s="348"/>
      <c r="N130" s="281"/>
      <c r="O130" s="225"/>
      <c r="P130" s="225"/>
      <c r="Q130" s="225"/>
      <c r="R130" s="225"/>
      <c r="S130" s="225"/>
    </row>
    <row r="131" s="196" customFormat="1" ht="31" customHeight="1" spans="1:19">
      <c r="A131" s="311">
        <v>3</v>
      </c>
      <c r="B131" s="312" t="s">
        <v>96</v>
      </c>
      <c r="C131" s="313"/>
      <c r="D131" s="313"/>
      <c r="E131" s="313"/>
      <c r="F131" s="255">
        <v>2</v>
      </c>
      <c r="G131" s="47">
        <f t="shared" si="38"/>
        <v>2</v>
      </c>
      <c r="H131" s="255" t="s">
        <v>93</v>
      </c>
      <c r="I131" s="255">
        <f>I130</f>
        <v>3870.064743</v>
      </c>
      <c r="J131" s="340">
        <f>G131/I131</f>
        <v>0.00051678722006331</v>
      </c>
      <c r="K131" s="341"/>
      <c r="L131" s="343"/>
      <c r="M131" s="348"/>
      <c r="N131" s="281"/>
      <c r="O131" s="225"/>
      <c r="P131" s="225"/>
      <c r="Q131" s="225"/>
      <c r="R131" s="225"/>
      <c r="S131" s="225"/>
    </row>
    <row r="132" s="196" customFormat="1" ht="31" customHeight="1" spans="1:19">
      <c r="A132" s="311">
        <v>4</v>
      </c>
      <c r="B132" s="312" t="s">
        <v>97</v>
      </c>
      <c r="C132" s="313"/>
      <c r="D132" s="313"/>
      <c r="E132" s="313"/>
      <c r="F132" s="255">
        <f t="shared" si="37"/>
        <v>77.40129486</v>
      </c>
      <c r="G132" s="47">
        <f t="shared" si="38"/>
        <v>77.40129486</v>
      </c>
      <c r="H132" s="255" t="s">
        <v>93</v>
      </c>
      <c r="I132" s="255">
        <f>I131</f>
        <v>3870.064743</v>
      </c>
      <c r="J132" s="340">
        <v>0.02</v>
      </c>
      <c r="K132" s="341"/>
      <c r="L132" s="342"/>
      <c r="M132" s="348"/>
      <c r="N132" s="281"/>
      <c r="O132" s="225"/>
      <c r="P132" s="225"/>
      <c r="Q132" s="225"/>
      <c r="R132" s="225"/>
      <c r="S132" s="225"/>
    </row>
    <row r="133" s="196" customFormat="1" ht="31" customHeight="1" spans="1:19">
      <c r="A133" s="311">
        <v>5</v>
      </c>
      <c r="B133" s="314" t="s">
        <v>98</v>
      </c>
      <c r="C133" s="313"/>
      <c r="D133" s="313"/>
      <c r="E133" s="313"/>
      <c r="F133" s="255">
        <v>10</v>
      </c>
      <c r="G133" s="47">
        <f t="shared" si="38"/>
        <v>10</v>
      </c>
      <c r="H133" s="255" t="s">
        <v>93</v>
      </c>
      <c r="I133" s="255">
        <f>I132</f>
        <v>3870.064743</v>
      </c>
      <c r="J133" s="340">
        <f>G133/I133</f>
        <v>0.00258393610031655</v>
      </c>
      <c r="K133" s="341"/>
      <c r="L133" s="342"/>
      <c r="M133" s="348"/>
      <c r="N133" s="281"/>
      <c r="O133" s="225"/>
      <c r="P133" s="225"/>
      <c r="Q133" s="225"/>
      <c r="R133" s="225"/>
      <c r="S133" s="225"/>
    </row>
    <row r="134" s="196" customFormat="1" ht="31" customHeight="1" spans="1:19">
      <c r="A134" s="311">
        <v>6</v>
      </c>
      <c r="B134" s="312" t="s">
        <v>99</v>
      </c>
      <c r="C134" s="313"/>
      <c r="D134" s="313"/>
      <c r="E134" s="313"/>
      <c r="F134" s="255">
        <v>17.12119918896</v>
      </c>
      <c r="G134" s="47">
        <v>17.12119918896</v>
      </c>
      <c r="H134" s="255" t="s">
        <v>93</v>
      </c>
      <c r="I134" s="255">
        <f>I133</f>
        <v>3870.064743</v>
      </c>
      <c r="J134" s="340">
        <f>0.54%*0.8</f>
        <v>0.00432</v>
      </c>
      <c r="K134" s="341"/>
      <c r="L134" s="342"/>
      <c r="M134" s="348"/>
      <c r="N134" s="281"/>
      <c r="O134" s="225"/>
      <c r="P134" s="225"/>
      <c r="Q134" s="225"/>
      <c r="R134" s="225"/>
      <c r="S134" s="225"/>
    </row>
    <row r="135" s="196" customFormat="1" ht="31" customHeight="1" spans="1:19">
      <c r="A135" s="311">
        <v>7</v>
      </c>
      <c r="B135" s="312" t="s">
        <v>100</v>
      </c>
      <c r="C135" s="313"/>
      <c r="D135" s="313"/>
      <c r="E135" s="313"/>
      <c r="F135" s="255">
        <f t="shared" ref="F135:F141" si="39">I135*J135</f>
        <v>23.220388458</v>
      </c>
      <c r="G135" s="47">
        <f t="shared" ref="G135:G146" si="40">F135</f>
        <v>23.220388458</v>
      </c>
      <c r="H135" s="255" t="s">
        <v>93</v>
      </c>
      <c r="I135" s="255">
        <f>I133</f>
        <v>3870.064743</v>
      </c>
      <c r="J135" s="340">
        <f>0.6%</f>
        <v>0.006</v>
      </c>
      <c r="K135" s="341"/>
      <c r="L135" s="342"/>
      <c r="M135" s="348"/>
      <c r="N135" s="281"/>
      <c r="O135" s="225"/>
      <c r="P135" s="225"/>
      <c r="Q135" s="225"/>
      <c r="R135" s="225"/>
      <c r="S135" s="225"/>
    </row>
    <row r="136" s="196" customFormat="1" ht="31" customHeight="1" spans="1:19">
      <c r="A136" s="311">
        <v>8</v>
      </c>
      <c r="B136" s="314" t="s">
        <v>101</v>
      </c>
      <c r="C136" s="313"/>
      <c r="D136" s="313"/>
      <c r="E136" s="313"/>
      <c r="F136" s="255">
        <f t="shared" si="39"/>
        <v>7.740129486</v>
      </c>
      <c r="G136" s="47">
        <f t="shared" si="40"/>
        <v>7.740129486</v>
      </c>
      <c r="H136" s="255" t="s">
        <v>93</v>
      </c>
      <c r="I136" s="255">
        <f>I135</f>
        <v>3870.064743</v>
      </c>
      <c r="J136" s="340">
        <v>0.002</v>
      </c>
      <c r="K136" s="341"/>
      <c r="L136" s="342"/>
      <c r="M136" s="348"/>
      <c r="N136" s="281"/>
      <c r="O136" s="225"/>
      <c r="P136" s="225"/>
      <c r="Q136" s="225"/>
      <c r="R136" s="225"/>
      <c r="S136" s="225"/>
    </row>
    <row r="137" s="196" customFormat="1" ht="31" customHeight="1" spans="1:19">
      <c r="A137" s="311">
        <v>9</v>
      </c>
      <c r="B137" s="312" t="s">
        <v>102</v>
      </c>
      <c r="C137" s="313"/>
      <c r="D137" s="313"/>
      <c r="E137" s="313"/>
      <c r="F137" s="255">
        <f t="shared" si="39"/>
        <v>16.2542719206</v>
      </c>
      <c r="G137" s="47">
        <f t="shared" si="40"/>
        <v>16.2542719206</v>
      </c>
      <c r="H137" s="255" t="s">
        <v>93</v>
      </c>
      <c r="I137" s="255">
        <f>I136</f>
        <v>3870.064743</v>
      </c>
      <c r="J137" s="340">
        <v>0.0042</v>
      </c>
      <c r="K137" s="341"/>
      <c r="L137" s="342"/>
      <c r="M137" s="348"/>
      <c r="N137" s="281"/>
      <c r="O137" s="225"/>
      <c r="P137" s="225"/>
      <c r="Q137" s="225"/>
      <c r="R137" s="225"/>
      <c r="S137" s="225"/>
    </row>
    <row r="138" s="196" customFormat="1" ht="31" customHeight="1" spans="1:19">
      <c r="A138" s="311">
        <v>10</v>
      </c>
      <c r="B138" s="85" t="s">
        <v>103</v>
      </c>
      <c r="C138" s="313"/>
      <c r="D138" s="313"/>
      <c r="E138" s="313"/>
      <c r="F138" s="255">
        <f t="shared" si="39"/>
        <v>13.5452266005</v>
      </c>
      <c r="G138" s="47">
        <f t="shared" si="40"/>
        <v>13.5452266005</v>
      </c>
      <c r="H138" s="255" t="s">
        <v>93</v>
      </c>
      <c r="I138" s="255">
        <f>I137</f>
        <v>3870.064743</v>
      </c>
      <c r="J138" s="340">
        <v>0.0035</v>
      </c>
      <c r="K138" s="341"/>
      <c r="L138" s="342"/>
      <c r="M138" s="348"/>
      <c r="N138" s="281"/>
      <c r="O138" s="225"/>
      <c r="P138" s="225"/>
      <c r="Q138" s="225"/>
      <c r="R138" s="225"/>
      <c r="S138" s="225"/>
    </row>
    <row r="139" s="196" customFormat="1" ht="31" customHeight="1" spans="1:19">
      <c r="A139" s="311">
        <v>11</v>
      </c>
      <c r="B139" s="254" t="s">
        <v>104</v>
      </c>
      <c r="C139" s="315"/>
      <c r="D139" s="313"/>
      <c r="E139" s="313"/>
      <c r="F139" s="255">
        <f t="shared" si="39"/>
        <v>7.740129486</v>
      </c>
      <c r="G139" s="47">
        <f t="shared" si="40"/>
        <v>7.740129486</v>
      </c>
      <c r="H139" s="255" t="s">
        <v>93</v>
      </c>
      <c r="I139" s="255">
        <f>I138</f>
        <v>3870.064743</v>
      </c>
      <c r="J139" s="340">
        <v>0.002</v>
      </c>
      <c r="K139" s="341"/>
      <c r="L139" s="342"/>
      <c r="M139" s="348"/>
      <c r="N139" s="281"/>
      <c r="O139" s="225"/>
      <c r="P139" s="225"/>
      <c r="Q139" s="225"/>
      <c r="R139" s="225"/>
      <c r="S139" s="225"/>
    </row>
    <row r="140" s="196" customFormat="1" ht="31" customHeight="1" spans="1:19">
      <c r="A140" s="311">
        <v>12</v>
      </c>
      <c r="B140" s="312" t="s">
        <v>105</v>
      </c>
      <c r="C140" s="313"/>
      <c r="D140" s="313"/>
      <c r="E140" s="313"/>
      <c r="F140" s="255">
        <f t="shared" si="39"/>
        <v>5.8050971145</v>
      </c>
      <c r="G140" s="47">
        <f t="shared" si="40"/>
        <v>5.8050971145</v>
      </c>
      <c r="H140" s="255" t="s">
        <v>93</v>
      </c>
      <c r="I140" s="255">
        <f>I132</f>
        <v>3870.064743</v>
      </c>
      <c r="J140" s="340">
        <v>0.0015</v>
      </c>
      <c r="K140" s="341"/>
      <c r="L140" s="342"/>
      <c r="M140" s="348"/>
      <c r="N140" s="281"/>
      <c r="O140" s="225"/>
      <c r="P140" s="225"/>
      <c r="Q140" s="225"/>
      <c r="R140" s="225"/>
      <c r="S140" s="225"/>
    </row>
    <row r="141" s="196" customFormat="1" ht="31" customHeight="1" spans="1:19">
      <c r="A141" s="311">
        <v>13</v>
      </c>
      <c r="B141" s="312" t="s">
        <v>106</v>
      </c>
      <c r="C141" s="313"/>
      <c r="D141" s="313"/>
      <c r="E141" s="313"/>
      <c r="F141" s="255">
        <f t="shared" si="39"/>
        <v>7.740129486</v>
      </c>
      <c r="G141" s="47">
        <f t="shared" si="40"/>
        <v>7.740129486</v>
      </c>
      <c r="H141" s="255" t="s">
        <v>93</v>
      </c>
      <c r="I141" s="255">
        <f>I140</f>
        <v>3870.064743</v>
      </c>
      <c r="J141" s="340">
        <v>0.002</v>
      </c>
      <c r="K141" s="341"/>
      <c r="L141" s="342"/>
      <c r="M141" s="348"/>
      <c r="N141" s="281"/>
      <c r="O141" s="225"/>
      <c r="P141" s="225"/>
      <c r="Q141" s="225"/>
      <c r="R141" s="225"/>
      <c r="S141" s="225"/>
    </row>
    <row r="142" s="196" customFormat="1" ht="31" customHeight="1" spans="1:19">
      <c r="A142" s="311">
        <v>14</v>
      </c>
      <c r="B142" s="314" t="s">
        <v>107</v>
      </c>
      <c r="C142" s="313"/>
      <c r="D142" s="313"/>
      <c r="E142" s="313"/>
      <c r="F142" s="255">
        <v>3</v>
      </c>
      <c r="G142" s="47">
        <f t="shared" si="40"/>
        <v>3</v>
      </c>
      <c r="H142" s="255" t="s">
        <v>37</v>
      </c>
      <c r="I142" s="255">
        <v>1</v>
      </c>
      <c r="J142" s="344">
        <f>G142</f>
        <v>3</v>
      </c>
      <c r="K142" s="341"/>
      <c r="L142" s="342"/>
      <c r="M142" s="348"/>
      <c r="N142" s="281"/>
      <c r="O142" s="225"/>
      <c r="P142" s="225"/>
      <c r="Q142" s="225"/>
      <c r="R142" s="225"/>
      <c r="S142" s="225"/>
    </row>
    <row r="143" s="196" customFormat="1" ht="31" customHeight="1" spans="1:19">
      <c r="A143" s="311">
        <v>15</v>
      </c>
      <c r="B143" s="312" t="s">
        <v>108</v>
      </c>
      <c r="C143" s="313"/>
      <c r="D143" s="313"/>
      <c r="E143" s="313"/>
      <c r="F143" s="255">
        <v>6</v>
      </c>
      <c r="G143" s="47">
        <f t="shared" si="40"/>
        <v>6</v>
      </c>
      <c r="H143" s="255" t="s">
        <v>37</v>
      </c>
      <c r="I143" s="255">
        <v>1</v>
      </c>
      <c r="J143" s="344">
        <f>G143</f>
        <v>6</v>
      </c>
      <c r="K143" s="341"/>
      <c r="L143" s="342"/>
      <c r="M143" s="348"/>
      <c r="N143" s="281"/>
      <c r="O143" s="225"/>
      <c r="P143" s="225"/>
      <c r="Q143" s="225"/>
      <c r="R143" s="225"/>
      <c r="S143" s="225"/>
    </row>
    <row r="144" s="196" customFormat="1" ht="31" customHeight="1" spans="1:19">
      <c r="A144" s="311">
        <v>16</v>
      </c>
      <c r="B144" s="254" t="s">
        <v>109</v>
      </c>
      <c r="C144" s="313"/>
      <c r="D144" s="313"/>
      <c r="E144" s="313"/>
      <c r="F144" s="255">
        <v>3</v>
      </c>
      <c r="G144" s="47">
        <f t="shared" si="40"/>
        <v>3</v>
      </c>
      <c r="H144" s="255" t="s">
        <v>37</v>
      </c>
      <c r="I144" s="255">
        <v>1</v>
      </c>
      <c r="J144" s="344">
        <f>G144</f>
        <v>3</v>
      </c>
      <c r="K144" s="341"/>
      <c r="L144" s="342"/>
      <c r="M144" s="348"/>
      <c r="N144" s="281"/>
      <c r="O144" s="225"/>
      <c r="P144" s="225"/>
      <c r="Q144" s="225"/>
      <c r="R144" s="225"/>
      <c r="S144" s="225"/>
    </row>
    <row r="145" s="195" customFormat="1" ht="31" customHeight="1" spans="1:19">
      <c r="A145" s="316" t="s">
        <v>110</v>
      </c>
      <c r="B145" s="317" t="s">
        <v>111</v>
      </c>
      <c r="C145" s="318"/>
      <c r="D145" s="318"/>
      <c r="E145" s="318"/>
      <c r="F145" s="318">
        <f>I145*J145</f>
        <v>123.628303537787</v>
      </c>
      <c r="G145" s="318">
        <f t="shared" si="40"/>
        <v>123.628303537787</v>
      </c>
      <c r="H145" s="333" t="s">
        <v>93</v>
      </c>
      <c r="I145" s="318">
        <f>G128+G5</f>
        <v>4120.94345125956</v>
      </c>
      <c r="J145" s="345">
        <v>0.03</v>
      </c>
      <c r="K145" s="346">
        <f>G145/G146</f>
        <v>0.0291262135922331</v>
      </c>
      <c r="L145" s="261"/>
      <c r="M145" s="261"/>
      <c r="N145" s="277"/>
      <c r="O145" s="224"/>
      <c r="P145" s="224"/>
      <c r="Q145" s="224"/>
      <c r="R145" s="224"/>
      <c r="S145" s="224"/>
    </row>
    <row r="146" s="195" customFormat="1" ht="31" customHeight="1" spans="1:19">
      <c r="A146" s="319" t="s">
        <v>112</v>
      </c>
      <c r="B146" s="320" t="s">
        <v>113</v>
      </c>
      <c r="C146" s="321">
        <f>C5+C128+C145</f>
        <v>2614.805814</v>
      </c>
      <c r="D146" s="321">
        <f>D5+D128+D145</f>
        <v>0</v>
      </c>
      <c r="E146" s="321">
        <f>E5+E128+E145</f>
        <v>1255.258929</v>
      </c>
      <c r="F146" s="321">
        <f>F5+F128+F145</f>
        <v>374.507011797347</v>
      </c>
      <c r="G146" s="321">
        <f>G5+G128+G145</f>
        <v>4244.57175479735</v>
      </c>
      <c r="H146" s="321"/>
      <c r="I146" s="321"/>
      <c r="J146" s="321"/>
      <c r="K146" s="347">
        <f>K5+K128+K145</f>
        <v>1</v>
      </c>
      <c r="L146" s="261"/>
      <c r="M146" s="261"/>
      <c r="N146" s="277"/>
      <c r="O146" s="224"/>
      <c r="P146" s="224"/>
      <c r="Q146" s="224"/>
      <c r="R146" s="224"/>
      <c r="S146" s="224"/>
    </row>
    <row r="148" ht="43" customHeight="1" spans="2:8">
      <c r="B148" s="322"/>
      <c r="G148" s="334"/>
      <c r="H148" s="335"/>
    </row>
    <row r="149" customHeight="1" spans="7:11">
      <c r="G149" s="336"/>
      <c r="H149" s="243"/>
      <c r="I149" s="338"/>
      <c r="J149" s="338"/>
      <c r="K149" s="243"/>
    </row>
    <row r="150" customHeight="1" spans="2:11">
      <c r="B150" s="323"/>
      <c r="G150" s="337"/>
      <c r="H150" s="243"/>
      <c r="I150" s="338"/>
      <c r="J150" s="338"/>
      <c r="K150" s="243"/>
    </row>
    <row r="151" customHeight="1" spans="1:11">
      <c r="A151" s="324"/>
      <c r="B151" s="325"/>
      <c r="C151" s="326"/>
      <c r="D151" s="326"/>
      <c r="E151" s="326"/>
      <c r="H151" s="243"/>
      <c r="I151" s="338"/>
      <c r="J151" s="338"/>
      <c r="K151" s="243"/>
    </row>
    <row r="152" customHeight="1" spans="1:11">
      <c r="A152" s="324"/>
      <c r="B152" s="325"/>
      <c r="C152" s="307"/>
      <c r="H152" s="243"/>
      <c r="I152" s="338"/>
      <c r="J152" s="338"/>
      <c r="K152" s="243"/>
    </row>
    <row r="153" customHeight="1" spans="1:4">
      <c r="A153" s="324"/>
      <c r="B153" s="327"/>
      <c r="C153" s="328"/>
      <c r="D153" s="329"/>
    </row>
    <row r="154" ht="32" customHeight="1" spans="1:9">
      <c r="A154" s="324"/>
      <c r="B154" s="327"/>
      <c r="G154" s="334"/>
      <c r="H154" s="335"/>
      <c r="I154" s="338"/>
    </row>
    <row r="155" customHeight="1" spans="1:8">
      <c r="A155" s="324"/>
      <c r="B155" s="327"/>
      <c r="H155" s="338"/>
    </row>
    <row r="156" customHeight="1" spans="1:8">
      <c r="A156" s="324"/>
      <c r="B156" s="327"/>
      <c r="C156" s="326"/>
      <c r="D156" s="326"/>
      <c r="H156" s="338"/>
    </row>
    <row r="157" customHeight="1" spans="1:8">
      <c r="A157" s="324"/>
      <c r="B157" s="325"/>
      <c r="H157" s="338"/>
    </row>
    <row r="158" customHeight="1" spans="2:8">
      <c r="B158" s="330"/>
      <c r="H158" s="338"/>
    </row>
    <row r="159" customHeight="1" spans="2:8">
      <c r="B159" s="330"/>
      <c r="C159" s="307"/>
      <c r="H159" s="338"/>
    </row>
    <row r="160" customHeight="1" spans="2:8">
      <c r="B160" s="330"/>
      <c r="D160" s="331"/>
      <c r="H160" s="338"/>
    </row>
    <row r="161" customHeight="1" spans="2:8">
      <c r="B161" s="332"/>
      <c r="C161" s="326"/>
      <c r="D161" s="326"/>
      <c r="H161" s="338"/>
    </row>
    <row r="162" customHeight="1" spans="8:8">
      <c r="H162" s="338"/>
    </row>
    <row r="163" customHeight="1" spans="8:8">
      <c r="H163" s="338"/>
    </row>
    <row r="166" customHeight="1" spans="5:5">
      <c r="E166" s="32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K166" etc:filterBottomFollowUsedRange="0">
    <extLst/>
  </autoFilter>
  <mergeCells count="6">
    <mergeCell ref="A1:K1"/>
    <mergeCell ref="A2:K2"/>
    <mergeCell ref="C3:G3"/>
    <mergeCell ref="H3:J3"/>
    <mergeCell ref="A3:A4"/>
    <mergeCell ref="B3:B4"/>
  </mergeCells>
  <printOptions horizontalCentered="1"/>
  <pageMargins left="0.590277777777778" right="0.590277777777778" top="0.590277777777778" bottom="0.550694444444444" header="0.5" footer="0.5"/>
  <pageSetup paperSize="9" scale="55" orientation="landscape" horizontalDpi="600"/>
  <headerFooter/>
  <rowBreaks count="1" manualBreakCount="1">
    <brk id="146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zoomScale="70" zoomScaleNormal="70" zoomScaleSheetLayoutView="85" workbookViewId="0">
      <selection activeCell="I37" sqref="I37"/>
    </sheetView>
  </sheetViews>
  <sheetFormatPr defaultColWidth="10.2666666666667" defaultRowHeight="28" customHeight="1"/>
  <cols>
    <col min="1" max="1" width="11.4583333333333" style="7"/>
    <col min="2" max="2" width="52.2666666666667" style="8" customWidth="1"/>
    <col min="3" max="3" width="20.1833333333333" style="78"/>
    <col min="4" max="4" width="17.4916666666667" style="8" customWidth="1"/>
    <col min="5" max="5" width="20.2666666666667" style="7"/>
    <col min="6" max="6" width="13.5416666666667" style="8" customWidth="1"/>
    <col min="7" max="7" width="17.725" style="9" customWidth="1"/>
    <col min="8" max="8" width="10.2666666666667" style="7"/>
    <col min="9" max="9" width="20.1833333333333" style="78"/>
    <col min="10" max="10" width="20.2666666666667" style="78"/>
    <col min="11" max="11" width="17.725" style="8" customWidth="1"/>
    <col min="12" max="12" width="10.2666666666667" style="8"/>
    <col min="13" max="13" width="18.425" style="8"/>
    <col min="14" max="14" width="16.2666666666667" style="8"/>
    <col min="15" max="15" width="42" style="8" customWidth="1"/>
    <col min="16" max="16" width="27.725" style="8" customWidth="1"/>
    <col min="17" max="17" width="10.4583333333333" style="8"/>
    <col min="18" max="18" width="24.625" style="8" customWidth="1"/>
    <col min="19" max="19" width="15.5416666666667" style="8" customWidth="1"/>
    <col min="20" max="16384" width="10.2666666666667" style="8"/>
  </cols>
  <sheetData>
    <row r="1" ht="42" customHeight="1" spans="1:11">
      <c r="A1" s="197" t="s">
        <v>114</v>
      </c>
      <c r="B1" s="197"/>
      <c r="C1" s="198"/>
      <c r="D1" s="197"/>
      <c r="E1" s="197"/>
      <c r="F1" s="197"/>
      <c r="G1" s="211"/>
      <c r="H1" s="197"/>
      <c r="I1" s="198"/>
      <c r="J1" s="198"/>
      <c r="K1" s="197"/>
    </row>
    <row r="2" customHeight="1" spans="1:11">
      <c r="A2" s="199" t="s">
        <v>115</v>
      </c>
      <c r="B2" s="199"/>
      <c r="C2" s="200"/>
      <c r="D2" s="199"/>
      <c r="E2" s="199"/>
      <c r="F2" s="199"/>
      <c r="G2" s="212"/>
      <c r="H2" s="199"/>
      <c r="I2" s="200"/>
      <c r="J2" s="200"/>
      <c r="K2" s="199"/>
    </row>
    <row r="3" s="188" customFormat="1" ht="35" customHeight="1" spans="1:11">
      <c r="A3" s="201" t="s">
        <v>2</v>
      </c>
      <c r="B3" s="202" t="s">
        <v>3</v>
      </c>
      <c r="C3" s="203" t="s">
        <v>116</v>
      </c>
      <c r="D3" s="203"/>
      <c r="E3" s="203"/>
      <c r="F3" s="203"/>
      <c r="G3" s="213"/>
      <c r="H3" s="203" t="s">
        <v>5</v>
      </c>
      <c r="I3" s="214"/>
      <c r="J3" s="214"/>
      <c r="K3" s="215" t="s">
        <v>6</v>
      </c>
    </row>
    <row r="4" s="188" customFormat="1" ht="35" customHeight="1" spans="1:11">
      <c r="A4" s="204"/>
      <c r="B4" s="205"/>
      <c r="C4" s="205" t="s">
        <v>7</v>
      </c>
      <c r="D4" s="205" t="s">
        <v>8</v>
      </c>
      <c r="E4" s="205" t="s">
        <v>9</v>
      </c>
      <c r="F4" s="205" t="s">
        <v>10</v>
      </c>
      <c r="G4" s="18" t="s">
        <v>11</v>
      </c>
      <c r="H4" s="52" t="s">
        <v>12</v>
      </c>
      <c r="I4" s="52" t="s">
        <v>13</v>
      </c>
      <c r="J4" s="205" t="s">
        <v>14</v>
      </c>
      <c r="K4" s="216"/>
    </row>
    <row r="5" s="189" customFormat="1" ht="35" customHeight="1" spans="1:11">
      <c r="A5" s="17" t="s">
        <v>15</v>
      </c>
      <c r="B5" s="18" t="s">
        <v>16</v>
      </c>
      <c r="C5" s="20">
        <f t="shared" ref="C5:G5" si="0">C6+C13</f>
        <v>6450</v>
      </c>
      <c r="D5" s="20">
        <f t="shared" si="0"/>
        <v>60</v>
      </c>
      <c r="E5" s="20">
        <f t="shared" si="0"/>
        <v>1852.5</v>
      </c>
      <c r="F5" s="20"/>
      <c r="G5" s="20">
        <f t="shared" si="0"/>
        <v>8362.5</v>
      </c>
      <c r="H5" s="48" t="s">
        <v>93</v>
      </c>
      <c r="I5" s="20"/>
      <c r="J5" s="20"/>
      <c r="K5" s="58">
        <f>G5/G40</f>
        <v>0.853944189369291</v>
      </c>
    </row>
    <row r="6" s="190" customFormat="1" ht="35" customHeight="1" spans="1:19">
      <c r="A6" s="160" t="s">
        <v>18</v>
      </c>
      <c r="B6" s="161" t="s">
        <v>117</v>
      </c>
      <c r="C6" s="206">
        <f>SUM(C7:C12)</f>
        <v>6450</v>
      </c>
      <c r="D6" s="206">
        <f>SUM(D7:D12)</f>
        <v>60</v>
      </c>
      <c r="E6" s="206">
        <f>SUM(E7:E12)</f>
        <v>1852.5</v>
      </c>
      <c r="F6" s="206"/>
      <c r="G6" s="206">
        <f>SUM(G7:G12)</f>
        <v>8362.5</v>
      </c>
      <c r="H6" s="52" t="s">
        <v>17</v>
      </c>
      <c r="I6" s="20">
        <v>15000</v>
      </c>
      <c r="J6" s="217">
        <f>G6/I6*10000</f>
        <v>5575</v>
      </c>
      <c r="K6" s="173"/>
      <c r="L6" s="218"/>
      <c r="M6" s="224"/>
      <c r="N6" s="224"/>
      <c r="O6" s="228"/>
      <c r="P6" s="228"/>
      <c r="Q6" s="228"/>
      <c r="R6" s="228"/>
      <c r="S6" s="228"/>
    </row>
    <row r="7" s="191" customFormat="1" ht="35" customHeight="1" spans="1:19">
      <c r="A7" s="207">
        <v>1</v>
      </c>
      <c r="B7" s="3" t="s">
        <v>118</v>
      </c>
      <c r="C7" s="208">
        <f>I7*J7/10000</f>
        <v>6450</v>
      </c>
      <c r="D7" s="25"/>
      <c r="E7" s="208"/>
      <c r="F7" s="126"/>
      <c r="G7" s="25">
        <f t="shared" ref="G7:G12" si="1">SUM(C7:F7)</f>
        <v>6450</v>
      </c>
      <c r="H7" s="48" t="s">
        <v>17</v>
      </c>
      <c r="I7" s="25">
        <f>I6</f>
        <v>15000</v>
      </c>
      <c r="J7" s="219">
        <v>4300</v>
      </c>
      <c r="K7" s="66"/>
      <c r="L7" s="220"/>
      <c r="M7" s="225"/>
      <c r="N7" s="225"/>
      <c r="O7" s="229"/>
      <c r="P7" s="229"/>
      <c r="Q7" s="229"/>
      <c r="R7" s="229"/>
      <c r="S7" s="229"/>
    </row>
    <row r="8" s="191" customFormat="1" ht="35" customHeight="1" spans="1:19">
      <c r="A8" s="207">
        <v>2</v>
      </c>
      <c r="B8" s="3" t="s">
        <v>119</v>
      </c>
      <c r="C8" s="208"/>
      <c r="D8" s="25"/>
      <c r="E8" s="208">
        <f>I8*J8/10000</f>
        <v>330</v>
      </c>
      <c r="F8" s="126"/>
      <c r="G8" s="25">
        <f t="shared" si="1"/>
        <v>330</v>
      </c>
      <c r="H8" s="48" t="s">
        <v>17</v>
      </c>
      <c r="I8" s="25">
        <f>I6</f>
        <v>15000</v>
      </c>
      <c r="J8" s="219">
        <v>220</v>
      </c>
      <c r="K8" s="66"/>
      <c r="L8" s="220"/>
      <c r="M8" s="225"/>
      <c r="N8" s="225"/>
      <c r="O8" s="229"/>
      <c r="P8" s="229"/>
      <c r="Q8" s="229"/>
      <c r="R8" s="229"/>
      <c r="S8" s="229"/>
    </row>
    <row r="9" s="191" customFormat="1" ht="35" customHeight="1" spans="1:19">
      <c r="A9" s="207">
        <v>3</v>
      </c>
      <c r="B9" s="3" t="s">
        <v>120</v>
      </c>
      <c r="C9" s="208"/>
      <c r="D9" s="25"/>
      <c r="E9" s="208">
        <f>I9*J9/10000</f>
        <v>397.5</v>
      </c>
      <c r="F9" s="126"/>
      <c r="G9" s="25">
        <f t="shared" si="1"/>
        <v>397.5</v>
      </c>
      <c r="H9" s="48" t="s">
        <v>17</v>
      </c>
      <c r="I9" s="25">
        <f>I6</f>
        <v>15000</v>
      </c>
      <c r="J9" s="219">
        <v>265</v>
      </c>
      <c r="K9" s="66"/>
      <c r="L9" s="220"/>
      <c r="M9" s="225"/>
      <c r="N9" s="225"/>
      <c r="O9" s="229"/>
      <c r="P9" s="229"/>
      <c r="Q9" s="229"/>
      <c r="R9" s="229"/>
      <c r="S9" s="229"/>
    </row>
    <row r="10" s="192" customFormat="1" ht="35" customHeight="1" spans="1:19">
      <c r="A10" s="207">
        <v>4</v>
      </c>
      <c r="B10" s="86" t="s">
        <v>121</v>
      </c>
      <c r="C10" s="25"/>
      <c r="D10" s="25">
        <f>I10*J10/10000</f>
        <v>60</v>
      </c>
      <c r="E10" s="25"/>
      <c r="F10" s="49"/>
      <c r="G10" s="25">
        <f t="shared" si="1"/>
        <v>60</v>
      </c>
      <c r="H10" s="48" t="s">
        <v>122</v>
      </c>
      <c r="I10" s="25">
        <v>2</v>
      </c>
      <c r="J10" s="219">
        <v>300000</v>
      </c>
      <c r="K10" s="59"/>
      <c r="L10" s="221"/>
      <c r="M10" s="230"/>
      <c r="N10" s="230"/>
      <c r="O10" s="231"/>
      <c r="P10" s="231"/>
      <c r="Q10" s="231"/>
      <c r="R10" s="231"/>
      <c r="S10" s="230"/>
    </row>
    <row r="11" s="191" customFormat="1" ht="35" customHeight="1" spans="1:19">
      <c r="A11" s="207">
        <v>5</v>
      </c>
      <c r="B11" s="3" t="s">
        <v>123</v>
      </c>
      <c r="C11" s="208"/>
      <c r="D11" s="25"/>
      <c r="E11" s="208">
        <f>I11*J11/10000</f>
        <v>1125</v>
      </c>
      <c r="F11" s="126"/>
      <c r="G11" s="25">
        <f t="shared" si="1"/>
        <v>1125</v>
      </c>
      <c r="H11" s="48" t="s">
        <v>17</v>
      </c>
      <c r="I11" s="25">
        <f>I6</f>
        <v>15000</v>
      </c>
      <c r="J11" s="219">
        <v>750</v>
      </c>
      <c r="K11" s="66"/>
      <c r="L11" s="220"/>
      <c r="M11" s="225"/>
      <c r="N11" s="225"/>
      <c r="O11" s="229"/>
      <c r="P11" s="229"/>
      <c r="Q11" s="229"/>
      <c r="R11" s="229"/>
      <c r="S11" s="229"/>
    </row>
    <row r="12" s="192" customFormat="1" ht="35" customHeight="1" spans="1:19">
      <c r="A12" s="207">
        <v>6</v>
      </c>
      <c r="B12" s="209" t="s">
        <v>124</v>
      </c>
      <c r="C12" s="25"/>
      <c r="D12" s="25"/>
      <c r="E12" s="25">
        <f>I12*J12/10000</f>
        <v>0</v>
      </c>
      <c r="F12" s="39"/>
      <c r="G12" s="25">
        <f t="shared" si="1"/>
        <v>0</v>
      </c>
      <c r="H12" s="48" t="s">
        <v>17</v>
      </c>
      <c r="I12" s="25">
        <f>I6*0</f>
        <v>0</v>
      </c>
      <c r="J12" s="219">
        <v>70</v>
      </c>
      <c r="K12" s="59"/>
      <c r="L12" s="221"/>
      <c r="M12" s="230"/>
      <c r="N12" s="230"/>
      <c r="O12" s="230"/>
      <c r="P12" s="230"/>
      <c r="Q12" s="230"/>
      <c r="R12" s="230"/>
      <c r="S12" s="230"/>
    </row>
    <row r="13" s="194" customFormat="1" ht="35" customHeight="1" spans="1:19">
      <c r="A13" s="21" t="s">
        <v>45</v>
      </c>
      <c r="B13" s="88" t="s">
        <v>125</v>
      </c>
      <c r="C13" s="20">
        <f t="shared" ref="C13:G13" si="2">SUM(C14:C20)</f>
        <v>0</v>
      </c>
      <c r="D13" s="20"/>
      <c r="E13" s="20">
        <f t="shared" si="2"/>
        <v>0</v>
      </c>
      <c r="F13" s="165"/>
      <c r="G13" s="165">
        <f t="shared" si="2"/>
        <v>0</v>
      </c>
      <c r="H13" s="52" t="s">
        <v>93</v>
      </c>
      <c r="I13" s="20"/>
      <c r="J13" s="217"/>
      <c r="K13" s="102"/>
      <c r="L13" s="188"/>
      <c r="M13" s="188"/>
      <c r="N13" s="188"/>
      <c r="O13" s="188"/>
      <c r="P13" s="188"/>
      <c r="Q13" s="188"/>
      <c r="R13" s="188"/>
      <c r="S13" s="188"/>
    </row>
    <row r="14" s="192" customFormat="1" ht="35" customHeight="1" spans="1:19">
      <c r="A14" s="84">
        <v>1</v>
      </c>
      <c r="B14" s="24" t="s">
        <v>126</v>
      </c>
      <c r="C14" s="210">
        <f t="shared" ref="C14:C17" si="3">I14*J14/10000</f>
        <v>0</v>
      </c>
      <c r="D14" s="87"/>
      <c r="E14" s="87"/>
      <c r="F14" s="24"/>
      <c r="G14" s="25">
        <f t="shared" ref="G14:G20" si="4">SUM(C14:F14)</f>
        <v>0</v>
      </c>
      <c r="H14" s="51" t="s">
        <v>17</v>
      </c>
      <c r="I14" s="30">
        <f>2800*0</f>
        <v>0</v>
      </c>
      <c r="J14" s="223">
        <v>300</v>
      </c>
      <c r="K14" s="59"/>
      <c r="L14" s="221"/>
      <c r="M14" s="230"/>
      <c r="N14" s="230"/>
      <c r="O14" s="230"/>
      <c r="P14" s="230"/>
      <c r="Q14" s="230"/>
      <c r="R14" s="230"/>
      <c r="S14" s="230"/>
    </row>
    <row r="15" s="191" customFormat="1" ht="35" customHeight="1" spans="1:19">
      <c r="A15" s="207">
        <v>2</v>
      </c>
      <c r="B15" s="3" t="s">
        <v>127</v>
      </c>
      <c r="C15" s="210">
        <f t="shared" si="3"/>
        <v>0</v>
      </c>
      <c r="D15" s="87"/>
      <c r="E15" s="87"/>
      <c r="F15" s="24"/>
      <c r="G15" s="25">
        <f t="shared" si="4"/>
        <v>0</v>
      </c>
      <c r="H15" s="51" t="s">
        <v>17</v>
      </c>
      <c r="I15" s="30">
        <f>6000*0</f>
        <v>0</v>
      </c>
      <c r="J15" s="223">
        <v>280</v>
      </c>
      <c r="K15" s="66"/>
      <c r="L15" s="220"/>
      <c r="M15" s="225"/>
      <c r="N15" s="225"/>
      <c r="O15" s="229"/>
      <c r="P15" s="229"/>
      <c r="Q15" s="229"/>
      <c r="R15" s="229"/>
      <c r="S15" s="229"/>
    </row>
    <row r="16" s="192" customFormat="1" ht="35" customHeight="1" spans="1:19">
      <c r="A16" s="84">
        <v>3</v>
      </c>
      <c r="B16" s="24" t="s">
        <v>128</v>
      </c>
      <c r="C16" s="210">
        <f t="shared" si="3"/>
        <v>0</v>
      </c>
      <c r="D16" s="25"/>
      <c r="E16" s="25"/>
      <c r="F16" s="49"/>
      <c r="G16" s="25">
        <f t="shared" si="4"/>
        <v>0</v>
      </c>
      <c r="H16" s="48" t="s">
        <v>17</v>
      </c>
      <c r="I16" s="30">
        <f>800*0</f>
        <v>0</v>
      </c>
      <c r="J16" s="223">
        <v>100</v>
      </c>
      <c r="K16" s="59"/>
      <c r="L16" s="221"/>
      <c r="M16" s="230"/>
      <c r="N16" s="230"/>
      <c r="O16" s="229"/>
      <c r="P16" s="231"/>
      <c r="Q16" s="231"/>
      <c r="R16" s="231"/>
      <c r="S16" s="231"/>
    </row>
    <row r="17" s="192" customFormat="1" ht="35" customHeight="1" spans="1:19">
      <c r="A17" s="207">
        <v>4</v>
      </c>
      <c r="B17" s="24" t="s">
        <v>129</v>
      </c>
      <c r="C17" s="208">
        <f t="shared" si="3"/>
        <v>0</v>
      </c>
      <c r="D17" s="25"/>
      <c r="E17" s="210"/>
      <c r="F17" s="126"/>
      <c r="G17" s="25">
        <f t="shared" si="4"/>
        <v>0</v>
      </c>
      <c r="H17" s="53" t="s">
        <v>130</v>
      </c>
      <c r="I17" s="29">
        <f>1*0</f>
        <v>0</v>
      </c>
      <c r="J17" s="175">
        <v>200000</v>
      </c>
      <c r="K17" s="59"/>
      <c r="L17" s="221"/>
      <c r="M17" s="230"/>
      <c r="N17" s="230"/>
      <c r="O17" s="229"/>
      <c r="P17" s="231"/>
      <c r="Q17" s="231"/>
      <c r="R17" s="231"/>
      <c r="S17" s="231"/>
    </row>
    <row r="18" s="191" customFormat="1" ht="35" customHeight="1" spans="1:19">
      <c r="A18" s="84">
        <v>5</v>
      </c>
      <c r="B18" s="24" t="s">
        <v>131</v>
      </c>
      <c r="C18" s="208"/>
      <c r="D18" s="25"/>
      <c r="E18" s="210">
        <f t="shared" ref="E18:E20" si="5">I18*J18/10000</f>
        <v>0</v>
      </c>
      <c r="F18" s="126"/>
      <c r="G18" s="39">
        <f t="shared" si="4"/>
        <v>0</v>
      </c>
      <c r="H18" s="53" t="s">
        <v>17</v>
      </c>
      <c r="I18" s="29">
        <f>I6*0</f>
        <v>0</v>
      </c>
      <c r="J18" s="175">
        <v>80</v>
      </c>
      <c r="K18" s="66"/>
      <c r="L18" s="220"/>
      <c r="M18" s="225"/>
      <c r="N18" s="225"/>
      <c r="O18" s="229"/>
      <c r="P18" s="229"/>
      <c r="Q18" s="229"/>
      <c r="R18" s="229"/>
      <c r="S18" s="229"/>
    </row>
    <row r="19" s="191" customFormat="1" ht="35" customHeight="1" spans="1:19">
      <c r="A19" s="207">
        <v>6</v>
      </c>
      <c r="B19" s="3" t="s">
        <v>132</v>
      </c>
      <c r="C19" s="208"/>
      <c r="D19" s="208"/>
      <c r="E19" s="210">
        <f t="shared" si="5"/>
        <v>0</v>
      </c>
      <c r="F19" s="29"/>
      <c r="G19" s="39">
        <f t="shared" si="4"/>
        <v>0</v>
      </c>
      <c r="H19" s="53" t="s">
        <v>17</v>
      </c>
      <c r="I19" s="29">
        <f>I18</f>
        <v>0</v>
      </c>
      <c r="J19" s="175">
        <v>50</v>
      </c>
      <c r="K19" s="66"/>
      <c r="L19" s="220"/>
      <c r="M19" s="225"/>
      <c r="N19" s="225"/>
      <c r="O19" s="229"/>
      <c r="P19" s="229"/>
      <c r="Q19" s="229"/>
      <c r="R19" s="229"/>
      <c r="S19" s="229"/>
    </row>
    <row r="20" s="191" customFormat="1" ht="35" customHeight="1" spans="1:19">
      <c r="A20" s="84">
        <v>7</v>
      </c>
      <c r="B20" s="3" t="s">
        <v>133</v>
      </c>
      <c r="C20" s="208"/>
      <c r="D20" s="25"/>
      <c r="E20" s="210">
        <f t="shared" si="5"/>
        <v>0</v>
      </c>
      <c r="F20" s="126"/>
      <c r="G20" s="39">
        <f t="shared" si="4"/>
        <v>0</v>
      </c>
      <c r="H20" s="53" t="s">
        <v>17</v>
      </c>
      <c r="I20" s="29">
        <f>I18</f>
        <v>0</v>
      </c>
      <c r="J20" s="175">
        <v>150</v>
      </c>
      <c r="K20" s="66"/>
      <c r="L20" s="220"/>
      <c r="M20" s="225"/>
      <c r="N20" s="225"/>
      <c r="O20" s="229"/>
      <c r="P20" s="229"/>
      <c r="Q20" s="229"/>
      <c r="R20" s="229"/>
      <c r="S20" s="229"/>
    </row>
    <row r="21" s="195" customFormat="1" ht="35" customHeight="1" spans="1:19">
      <c r="A21" s="163" t="s">
        <v>91</v>
      </c>
      <c r="B21" s="164" t="s">
        <v>92</v>
      </c>
      <c r="C21" s="40"/>
      <c r="D21" s="20"/>
      <c r="E21" s="20"/>
      <c r="F21" s="165">
        <f>SUM(F22:F38)</f>
        <v>704.902357142857</v>
      </c>
      <c r="G21" s="165">
        <f>SUM(G22:G38)</f>
        <v>704.902357142857</v>
      </c>
      <c r="H21" s="168" t="s">
        <v>93</v>
      </c>
      <c r="I21" s="105"/>
      <c r="J21" s="105"/>
      <c r="K21" s="108">
        <f>G21/G40</f>
        <v>0.0719817365566349</v>
      </c>
      <c r="L21" s="224"/>
      <c r="M21" s="224"/>
      <c r="N21" s="224"/>
      <c r="O21" s="232"/>
      <c r="P21" s="224"/>
      <c r="Q21" s="224"/>
      <c r="R21" s="224"/>
      <c r="S21" s="224"/>
    </row>
    <row r="22" s="196" customFormat="1" ht="35" customHeight="1" spans="1:19">
      <c r="A22" s="93">
        <v>1</v>
      </c>
      <c r="B22" s="37" t="s">
        <v>134</v>
      </c>
      <c r="C22" s="25"/>
      <c r="D22" s="25"/>
      <c r="E22" s="35"/>
      <c r="F22" s="39">
        <f t="shared" ref="F22:F24" si="6">I22*J22</f>
        <v>100.35</v>
      </c>
      <c r="G22" s="39">
        <f t="shared" ref="G22:G39" si="7">F22</f>
        <v>100.35</v>
      </c>
      <c r="H22" s="53" t="s">
        <v>93</v>
      </c>
      <c r="I22" s="175">
        <f>G5</f>
        <v>8362.5</v>
      </c>
      <c r="J22" s="65">
        <v>0.012</v>
      </c>
      <c r="K22" s="104"/>
      <c r="L22" s="225"/>
      <c r="M22" s="225"/>
      <c r="N22" s="225"/>
      <c r="O22" s="225"/>
      <c r="P22" s="225"/>
      <c r="Q22" s="225"/>
      <c r="R22" s="225"/>
      <c r="S22" s="225"/>
    </row>
    <row r="23" s="196" customFormat="1" ht="35" customHeight="1" spans="1:19">
      <c r="A23" s="93">
        <v>2</v>
      </c>
      <c r="B23" s="37" t="s">
        <v>95</v>
      </c>
      <c r="C23" s="25"/>
      <c r="D23" s="25"/>
      <c r="E23" s="25"/>
      <c r="F23" s="39">
        <f t="shared" si="6"/>
        <v>83.625</v>
      </c>
      <c r="G23" s="39">
        <f t="shared" si="7"/>
        <v>83.625</v>
      </c>
      <c r="H23" s="53" t="s">
        <v>93</v>
      </c>
      <c r="I23" s="175">
        <f>G5</f>
        <v>8362.5</v>
      </c>
      <c r="J23" s="65">
        <v>0.01</v>
      </c>
      <c r="K23" s="104"/>
      <c r="L23" s="225"/>
      <c r="M23" s="225"/>
      <c r="N23" s="225"/>
      <c r="O23" s="225"/>
      <c r="P23" s="225"/>
      <c r="Q23" s="225"/>
      <c r="R23" s="225"/>
      <c r="S23" s="225"/>
    </row>
    <row r="24" s="196" customFormat="1" ht="35" customHeight="1" spans="1:19">
      <c r="A24" s="93">
        <v>3</v>
      </c>
      <c r="B24" s="37" t="s">
        <v>97</v>
      </c>
      <c r="C24" s="25"/>
      <c r="D24" s="25"/>
      <c r="E24" s="25"/>
      <c r="F24" s="39">
        <f t="shared" si="6"/>
        <v>209.0625</v>
      </c>
      <c r="G24" s="39">
        <f t="shared" si="7"/>
        <v>209.0625</v>
      </c>
      <c r="H24" s="53" t="s">
        <v>93</v>
      </c>
      <c r="I24" s="175">
        <f>G5</f>
        <v>8362.5</v>
      </c>
      <c r="J24" s="65">
        <v>0.025</v>
      </c>
      <c r="K24" s="104"/>
      <c r="L24" s="225"/>
      <c r="M24" s="225"/>
      <c r="N24" s="225"/>
      <c r="O24" s="225"/>
      <c r="P24" s="225"/>
      <c r="Q24" s="225"/>
      <c r="R24" s="225"/>
      <c r="S24" s="225"/>
    </row>
    <row r="25" s="196" customFormat="1" ht="35" customHeight="1" spans="1:19">
      <c r="A25" s="93">
        <v>4</v>
      </c>
      <c r="B25" s="37" t="s">
        <v>106</v>
      </c>
      <c r="C25" s="25"/>
      <c r="D25" s="25"/>
      <c r="E25" s="25"/>
      <c r="F25" s="39">
        <f>I25*J25/10000</f>
        <v>25.5</v>
      </c>
      <c r="G25" s="39">
        <f t="shared" si="7"/>
        <v>25.5</v>
      </c>
      <c r="H25" s="53" t="s">
        <v>135</v>
      </c>
      <c r="I25" s="175">
        <f>I6</f>
        <v>15000</v>
      </c>
      <c r="J25" s="176">
        <v>17</v>
      </c>
      <c r="K25" s="104"/>
      <c r="L25" s="225"/>
      <c r="M25" s="225"/>
      <c r="N25" s="225"/>
      <c r="O25" s="225"/>
      <c r="P25" s="225"/>
      <c r="Q25" s="225"/>
      <c r="R25" s="225"/>
      <c r="S25" s="225"/>
    </row>
    <row r="26" s="196" customFormat="1" ht="35" customHeight="1" spans="1:19">
      <c r="A26" s="93">
        <v>5</v>
      </c>
      <c r="B26" s="37" t="s">
        <v>136</v>
      </c>
      <c r="C26" s="25"/>
      <c r="D26" s="25"/>
      <c r="E26" s="25"/>
      <c r="F26" s="39">
        <f t="shared" ref="F26:F30" si="8">I26*J26</f>
        <v>14.21625</v>
      </c>
      <c r="G26" s="39">
        <f t="shared" si="7"/>
        <v>14.21625</v>
      </c>
      <c r="H26" s="53" t="s">
        <v>93</v>
      </c>
      <c r="I26" s="175">
        <f>I24</f>
        <v>8362.5</v>
      </c>
      <c r="J26" s="226">
        <v>0.0017</v>
      </c>
      <c r="K26" s="104"/>
      <c r="L26" s="225"/>
      <c r="M26" s="225"/>
      <c r="N26" s="225"/>
      <c r="O26" s="225"/>
      <c r="P26" s="225"/>
      <c r="Q26" s="225"/>
      <c r="R26" s="225"/>
      <c r="S26" s="225"/>
    </row>
    <row r="27" s="196" customFormat="1" ht="35" customHeight="1" spans="1:19">
      <c r="A27" s="93">
        <v>6</v>
      </c>
      <c r="B27" s="37" t="s">
        <v>137</v>
      </c>
      <c r="C27" s="25"/>
      <c r="D27" s="25"/>
      <c r="E27" s="25"/>
      <c r="F27" s="39">
        <f>I27*J27*0.8</f>
        <v>25.422</v>
      </c>
      <c r="G27" s="39">
        <f t="shared" si="7"/>
        <v>25.422</v>
      </c>
      <c r="H27" s="53" t="s">
        <v>93</v>
      </c>
      <c r="I27" s="175">
        <f>G5</f>
        <v>8362.5</v>
      </c>
      <c r="J27" s="65">
        <v>0.0038</v>
      </c>
      <c r="K27" s="104"/>
      <c r="L27" s="225"/>
      <c r="M27" s="233"/>
      <c r="N27" s="225"/>
      <c r="O27" s="225"/>
      <c r="P27" s="225"/>
      <c r="Q27" s="225"/>
      <c r="R27" s="225"/>
      <c r="S27" s="225"/>
    </row>
    <row r="28" s="196" customFormat="1" ht="35" customHeight="1" spans="1:19">
      <c r="A28" s="93">
        <v>7</v>
      </c>
      <c r="B28" s="37" t="s">
        <v>138</v>
      </c>
      <c r="C28" s="25"/>
      <c r="D28" s="25"/>
      <c r="E28" s="25"/>
      <c r="F28" s="39">
        <f t="shared" si="8"/>
        <v>43.485</v>
      </c>
      <c r="G28" s="39">
        <f t="shared" si="7"/>
        <v>43.485</v>
      </c>
      <c r="H28" s="53" t="s">
        <v>93</v>
      </c>
      <c r="I28" s="175">
        <f>G5</f>
        <v>8362.5</v>
      </c>
      <c r="J28" s="65">
        <v>0.0052</v>
      </c>
      <c r="K28" s="104"/>
      <c r="L28" s="225"/>
      <c r="M28" s="225"/>
      <c r="N28" s="225"/>
      <c r="O28" s="225"/>
      <c r="P28" s="225"/>
      <c r="Q28" s="225"/>
      <c r="R28" s="225"/>
      <c r="S28" s="225"/>
    </row>
    <row r="29" s="196" customFormat="1" ht="35" customHeight="1" spans="1:19">
      <c r="A29" s="93">
        <v>8</v>
      </c>
      <c r="B29" s="37" t="s">
        <v>102</v>
      </c>
      <c r="C29" s="25"/>
      <c r="D29" s="25"/>
      <c r="E29" s="25"/>
      <c r="F29" s="39">
        <f>1+2.8+2.75+14+(I29-5000)*0.002*0.8</f>
        <v>25.93</v>
      </c>
      <c r="G29" s="39">
        <f t="shared" si="7"/>
        <v>25.93</v>
      </c>
      <c r="H29" s="53" t="s">
        <v>93</v>
      </c>
      <c r="I29" s="175">
        <f>G5</f>
        <v>8362.5</v>
      </c>
      <c r="J29" s="65">
        <f t="shared" ref="J29:J32" si="9">G29/I29</f>
        <v>0.00310074738415546</v>
      </c>
      <c r="K29" s="104"/>
      <c r="L29" s="225"/>
      <c r="M29" s="225"/>
      <c r="N29" s="225"/>
      <c r="O29" s="225"/>
      <c r="P29" s="225"/>
      <c r="Q29" s="225"/>
      <c r="R29" s="225"/>
      <c r="S29" s="225"/>
    </row>
    <row r="30" s="196" customFormat="1" ht="35" customHeight="1" spans="1:19">
      <c r="A30" s="93">
        <v>9</v>
      </c>
      <c r="B30" s="37" t="s">
        <v>139</v>
      </c>
      <c r="C30" s="25"/>
      <c r="D30" s="25"/>
      <c r="E30" s="25"/>
      <c r="F30" s="39">
        <f t="shared" si="8"/>
        <v>41.8125</v>
      </c>
      <c r="G30" s="39">
        <f t="shared" si="7"/>
        <v>41.8125</v>
      </c>
      <c r="H30" s="53" t="s">
        <v>93</v>
      </c>
      <c r="I30" s="175">
        <f>G5</f>
        <v>8362.5</v>
      </c>
      <c r="J30" s="65">
        <v>0.005</v>
      </c>
      <c r="K30" s="104"/>
      <c r="L30" s="225"/>
      <c r="M30" s="225"/>
      <c r="N30" s="225"/>
      <c r="O30" s="225"/>
      <c r="P30" s="225"/>
      <c r="Q30" s="225"/>
      <c r="R30" s="225"/>
      <c r="S30" s="225"/>
    </row>
    <row r="31" s="196" customFormat="1" ht="35" customHeight="1" spans="1:19">
      <c r="A31" s="93">
        <v>10</v>
      </c>
      <c r="B31" s="37" t="s">
        <v>140</v>
      </c>
      <c r="C31" s="39"/>
      <c r="D31" s="39"/>
      <c r="E31" s="39"/>
      <c r="F31" s="39">
        <f>(((I31-3000)*(28-12)/7000+12)+((I31-3000)*(10-5)/7000+5))</f>
        <v>33.0875</v>
      </c>
      <c r="G31" s="39">
        <f t="shared" si="7"/>
        <v>33.0875</v>
      </c>
      <c r="H31" s="53" t="s">
        <v>93</v>
      </c>
      <c r="I31" s="175">
        <f>I30</f>
        <v>8362.5</v>
      </c>
      <c r="J31" s="65">
        <f t="shared" si="9"/>
        <v>0.00395665171898356</v>
      </c>
      <c r="K31" s="104"/>
      <c r="L31" s="225"/>
      <c r="M31" s="225"/>
      <c r="N31" s="225"/>
      <c r="O31" s="225"/>
      <c r="P31" s="225"/>
      <c r="Q31" s="225"/>
      <c r="R31" s="225"/>
      <c r="S31" s="225"/>
    </row>
    <row r="32" s="196" customFormat="1" ht="35" customHeight="1" spans="1:19">
      <c r="A32" s="93">
        <v>11</v>
      </c>
      <c r="B32" s="37" t="s">
        <v>141</v>
      </c>
      <c r="C32" s="39"/>
      <c r="D32" s="39"/>
      <c r="E32" s="39"/>
      <c r="F32" s="39">
        <f>(((I32-3000)*(14-6)/7000+6)+((I32-3000)*(8-4)/7000+4))</f>
        <v>19.1928571428571</v>
      </c>
      <c r="G32" s="39">
        <f t="shared" si="7"/>
        <v>19.1928571428571</v>
      </c>
      <c r="H32" s="53" t="s">
        <v>93</v>
      </c>
      <c r="I32" s="175">
        <f>I31</f>
        <v>8362.5</v>
      </c>
      <c r="J32" s="65">
        <f t="shared" si="9"/>
        <v>0.00229510997224002</v>
      </c>
      <c r="K32" s="104"/>
      <c r="L32" s="225"/>
      <c r="M32" s="225"/>
      <c r="N32" s="225"/>
      <c r="O32" s="225"/>
      <c r="P32" s="225"/>
      <c r="Q32" s="225"/>
      <c r="R32" s="225"/>
      <c r="S32" s="225"/>
    </row>
    <row r="33" s="196" customFormat="1" ht="35" customHeight="1" spans="1:19">
      <c r="A33" s="93">
        <v>12</v>
      </c>
      <c r="B33" s="37" t="s">
        <v>142</v>
      </c>
      <c r="C33" s="25"/>
      <c r="D33" s="25"/>
      <c r="E33" s="25"/>
      <c r="F33" s="39">
        <f t="shared" ref="F33:F36" si="10">I33*J33</f>
        <v>20.90625</v>
      </c>
      <c r="G33" s="39">
        <f t="shared" si="7"/>
        <v>20.90625</v>
      </c>
      <c r="H33" s="53" t="s">
        <v>93</v>
      </c>
      <c r="I33" s="175">
        <f>G5</f>
        <v>8362.5</v>
      </c>
      <c r="J33" s="65">
        <v>0.0025</v>
      </c>
      <c r="K33" s="104"/>
      <c r="L33" s="225"/>
      <c r="M33" s="225"/>
      <c r="N33" s="225"/>
      <c r="O33" s="225"/>
      <c r="P33" s="225"/>
      <c r="Q33" s="225"/>
      <c r="R33" s="225"/>
      <c r="S33" s="225"/>
    </row>
    <row r="34" s="196" customFormat="1" ht="35" customHeight="1" spans="1:19">
      <c r="A34" s="93">
        <v>13</v>
      </c>
      <c r="B34" s="37" t="s">
        <v>143</v>
      </c>
      <c r="C34" s="25"/>
      <c r="D34" s="25"/>
      <c r="E34" s="25"/>
      <c r="F34" s="39">
        <f t="shared" si="10"/>
        <v>25.92375</v>
      </c>
      <c r="G34" s="39">
        <f t="shared" si="7"/>
        <v>25.92375</v>
      </c>
      <c r="H34" s="53" t="s">
        <v>93</v>
      </c>
      <c r="I34" s="175">
        <f>G5</f>
        <v>8362.5</v>
      </c>
      <c r="J34" s="65">
        <v>0.0031</v>
      </c>
      <c r="K34" s="104"/>
      <c r="L34" s="225"/>
      <c r="M34" s="225"/>
      <c r="N34" s="225"/>
      <c r="O34" s="225"/>
      <c r="P34" s="225"/>
      <c r="Q34" s="225"/>
      <c r="R34" s="225"/>
      <c r="S34" s="225"/>
    </row>
    <row r="35" s="196" customFormat="1" ht="35" customHeight="1" spans="1:19">
      <c r="A35" s="93">
        <v>14</v>
      </c>
      <c r="B35" s="37" t="s">
        <v>144</v>
      </c>
      <c r="C35" s="25"/>
      <c r="D35" s="25"/>
      <c r="E35" s="25"/>
      <c r="F35" s="39">
        <f>I35*2/10000</f>
        <v>3</v>
      </c>
      <c r="G35" s="39">
        <f t="shared" si="7"/>
        <v>3</v>
      </c>
      <c r="H35" s="53" t="s">
        <v>135</v>
      </c>
      <c r="I35" s="175">
        <f>I25</f>
        <v>15000</v>
      </c>
      <c r="J35" s="29">
        <v>2</v>
      </c>
      <c r="K35" s="104"/>
      <c r="L35" s="225"/>
      <c r="M35" s="225"/>
      <c r="N35" s="225"/>
      <c r="O35" s="225"/>
      <c r="P35" s="225"/>
      <c r="Q35" s="225"/>
      <c r="R35" s="225"/>
      <c r="S35" s="225"/>
    </row>
    <row r="36" s="196" customFormat="1" ht="35" customHeight="1" spans="1:19">
      <c r="A36" s="93">
        <v>15</v>
      </c>
      <c r="B36" s="37" t="s">
        <v>145</v>
      </c>
      <c r="C36" s="25"/>
      <c r="D36" s="25"/>
      <c r="E36" s="25"/>
      <c r="F36" s="39">
        <f t="shared" si="10"/>
        <v>15.88875</v>
      </c>
      <c r="G36" s="39">
        <f t="shared" si="7"/>
        <v>15.88875</v>
      </c>
      <c r="H36" s="53" t="s">
        <v>93</v>
      </c>
      <c r="I36" s="175">
        <f>G5</f>
        <v>8362.5</v>
      </c>
      <c r="J36" s="65">
        <v>0.0019</v>
      </c>
      <c r="K36" s="104"/>
      <c r="L36" s="225"/>
      <c r="M36" s="225"/>
      <c r="N36" s="225"/>
      <c r="O36" s="225"/>
      <c r="P36" s="225"/>
      <c r="Q36" s="225"/>
      <c r="R36" s="225"/>
      <c r="S36" s="225"/>
    </row>
    <row r="37" s="196" customFormat="1" ht="35" customHeight="1" spans="1:19">
      <c r="A37" s="93">
        <v>16</v>
      </c>
      <c r="B37" s="37" t="s">
        <v>146</v>
      </c>
      <c r="C37" s="25"/>
      <c r="D37" s="25"/>
      <c r="E37" s="25"/>
      <c r="F37" s="39">
        <f>I37*J37/10000</f>
        <v>10</v>
      </c>
      <c r="G37" s="39">
        <f t="shared" si="7"/>
        <v>10</v>
      </c>
      <c r="H37" s="53" t="s">
        <v>37</v>
      </c>
      <c r="I37" s="177">
        <v>1</v>
      </c>
      <c r="J37" s="176">
        <v>100000</v>
      </c>
      <c r="K37" s="104"/>
      <c r="L37" s="225"/>
      <c r="M37" s="225"/>
      <c r="N37" s="225"/>
      <c r="O37" s="225"/>
      <c r="P37" s="225"/>
      <c r="Q37" s="225"/>
      <c r="R37" s="225"/>
      <c r="S37" s="225"/>
    </row>
    <row r="38" s="196" customFormat="1" ht="35" customHeight="1" spans="1:19">
      <c r="A38" s="93">
        <v>17</v>
      </c>
      <c r="B38" s="37" t="s">
        <v>147</v>
      </c>
      <c r="C38" s="25"/>
      <c r="D38" s="25"/>
      <c r="E38" s="25"/>
      <c r="F38" s="39">
        <f>I38*J38/10000</f>
        <v>7.5</v>
      </c>
      <c r="G38" s="39">
        <f t="shared" si="7"/>
        <v>7.5</v>
      </c>
      <c r="H38" s="53" t="s">
        <v>135</v>
      </c>
      <c r="I38" s="175">
        <f>I35</f>
        <v>15000</v>
      </c>
      <c r="J38" s="227">
        <v>5</v>
      </c>
      <c r="K38" s="104"/>
      <c r="L38" s="225"/>
      <c r="M38" s="225"/>
      <c r="N38" s="225"/>
      <c r="O38" s="225"/>
      <c r="P38" s="225"/>
      <c r="Q38" s="225"/>
      <c r="R38" s="225"/>
      <c r="S38" s="225"/>
    </row>
    <row r="39" s="194" customFormat="1" ht="35" customHeight="1" spans="1:19">
      <c r="A39" s="31" t="s">
        <v>110</v>
      </c>
      <c r="B39" s="40" t="s">
        <v>111</v>
      </c>
      <c r="C39" s="20"/>
      <c r="D39" s="20"/>
      <c r="E39" s="20"/>
      <c r="F39" s="20">
        <f>I39*J39</f>
        <v>725.392188571429</v>
      </c>
      <c r="G39" s="20">
        <f t="shared" si="7"/>
        <v>725.392188571429</v>
      </c>
      <c r="H39" s="52" t="s">
        <v>93</v>
      </c>
      <c r="I39" s="20">
        <f>G21+G5</f>
        <v>9067.40235714286</v>
      </c>
      <c r="J39" s="68">
        <v>0.08</v>
      </c>
      <c r="K39" s="121">
        <f>G39/G40</f>
        <v>0.0740740740740741</v>
      </c>
      <c r="L39" s="188"/>
      <c r="M39" s="188"/>
      <c r="N39" s="188"/>
      <c r="O39" s="188"/>
      <c r="P39" s="188"/>
      <c r="Q39" s="188"/>
      <c r="R39" s="188"/>
      <c r="S39" s="188"/>
    </row>
    <row r="40" s="194" customFormat="1" ht="35" customHeight="1" spans="1:19">
      <c r="A40" s="41" t="s">
        <v>112</v>
      </c>
      <c r="B40" s="42" t="s">
        <v>113</v>
      </c>
      <c r="C40" s="54">
        <f>C5</f>
        <v>6450</v>
      </c>
      <c r="D40" s="54">
        <f>D5</f>
        <v>60</v>
      </c>
      <c r="E40" s="54">
        <f>E5</f>
        <v>1852.5</v>
      </c>
      <c r="F40" s="54">
        <f>F21+F39</f>
        <v>1430.29454571429</v>
      </c>
      <c r="G40" s="54">
        <f>G5+G21+G39</f>
        <v>9792.79454571429</v>
      </c>
      <c r="H40" s="55" t="s">
        <v>135</v>
      </c>
      <c r="I40" s="70">
        <f>I38</f>
        <v>15000</v>
      </c>
      <c r="J40" s="178">
        <f>G40/I40*10000</f>
        <v>6528.52969714286</v>
      </c>
      <c r="K40" s="71">
        <v>1</v>
      </c>
      <c r="L40" s="188"/>
      <c r="M40" s="188"/>
      <c r="N40" s="188"/>
      <c r="O40" s="188"/>
      <c r="P40" s="188"/>
      <c r="Q40" s="188"/>
      <c r="R40" s="188"/>
      <c r="S40" s="188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61" orientation="landscape"/>
  <headerFooter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zoomScale="70" zoomScaleNormal="70" zoomScaleSheetLayoutView="85" workbookViewId="0">
      <selection activeCell="I15" sqref="I15"/>
    </sheetView>
  </sheetViews>
  <sheetFormatPr defaultColWidth="10.2666666666667" defaultRowHeight="28" customHeight="1"/>
  <cols>
    <col min="1" max="1" width="11.4583333333333" style="7"/>
    <col min="2" max="2" width="52.2666666666667" style="8" customWidth="1"/>
    <col min="3" max="3" width="20.1833333333333" style="78"/>
    <col min="4" max="4" width="17.4916666666667" style="8" customWidth="1"/>
    <col min="5" max="5" width="20.2666666666667" style="7"/>
    <col min="6" max="6" width="13.5416666666667" style="8" customWidth="1"/>
    <col min="7" max="7" width="17.725" style="9" customWidth="1"/>
    <col min="8" max="8" width="10.2666666666667" style="7"/>
    <col min="9" max="9" width="20.1833333333333" style="78"/>
    <col min="10" max="10" width="20.2666666666667" style="78"/>
    <col min="11" max="11" width="17.725" style="8" customWidth="1"/>
    <col min="12" max="12" width="10.2666666666667" style="8"/>
    <col min="13" max="13" width="18.425" style="8"/>
    <col min="14" max="14" width="16.2666666666667" style="8"/>
    <col min="15" max="15" width="42" style="8" customWidth="1"/>
    <col min="16" max="16" width="27.725" style="8" customWidth="1"/>
    <col min="17" max="17" width="10.4583333333333" style="8"/>
    <col min="18" max="18" width="24.625" style="8" customWidth="1"/>
    <col min="19" max="19" width="15.5416666666667" style="8" customWidth="1"/>
    <col min="20" max="16384" width="10.2666666666667" style="8"/>
  </cols>
  <sheetData>
    <row r="1" ht="42" customHeight="1" spans="1:11">
      <c r="A1" s="197" t="s">
        <v>114</v>
      </c>
      <c r="B1" s="197"/>
      <c r="C1" s="198"/>
      <c r="D1" s="197"/>
      <c r="E1" s="197"/>
      <c r="F1" s="197"/>
      <c r="G1" s="211"/>
      <c r="H1" s="197"/>
      <c r="I1" s="198"/>
      <c r="J1" s="198"/>
      <c r="K1" s="197"/>
    </row>
    <row r="2" customHeight="1" spans="1:11">
      <c r="A2" s="199" t="s">
        <v>115</v>
      </c>
      <c r="B2" s="199"/>
      <c r="C2" s="200"/>
      <c r="D2" s="199"/>
      <c r="E2" s="199"/>
      <c r="F2" s="199"/>
      <c r="G2" s="212"/>
      <c r="H2" s="199"/>
      <c r="I2" s="200"/>
      <c r="J2" s="200"/>
      <c r="K2" s="199"/>
    </row>
    <row r="3" s="188" customFormat="1" ht="35" customHeight="1" spans="1:11">
      <c r="A3" s="201" t="s">
        <v>2</v>
      </c>
      <c r="B3" s="202" t="s">
        <v>3</v>
      </c>
      <c r="C3" s="203" t="s">
        <v>116</v>
      </c>
      <c r="D3" s="203"/>
      <c r="E3" s="203"/>
      <c r="F3" s="203"/>
      <c r="G3" s="213"/>
      <c r="H3" s="203" t="s">
        <v>5</v>
      </c>
      <c r="I3" s="214"/>
      <c r="J3" s="214"/>
      <c r="K3" s="215" t="s">
        <v>6</v>
      </c>
    </row>
    <row r="4" s="188" customFormat="1" ht="35" customHeight="1" spans="1:11">
      <c r="A4" s="204"/>
      <c r="B4" s="205"/>
      <c r="C4" s="205" t="s">
        <v>7</v>
      </c>
      <c r="D4" s="205" t="s">
        <v>8</v>
      </c>
      <c r="E4" s="205" t="s">
        <v>9</v>
      </c>
      <c r="F4" s="205" t="s">
        <v>10</v>
      </c>
      <c r="G4" s="18" t="s">
        <v>11</v>
      </c>
      <c r="H4" s="52" t="s">
        <v>12</v>
      </c>
      <c r="I4" s="52" t="s">
        <v>13</v>
      </c>
      <c r="J4" s="205" t="s">
        <v>14</v>
      </c>
      <c r="K4" s="216"/>
    </row>
    <row r="5" s="189" customFormat="1" ht="35" customHeight="1" spans="1:11">
      <c r="A5" s="17" t="s">
        <v>15</v>
      </c>
      <c r="B5" s="18" t="s">
        <v>16</v>
      </c>
      <c r="C5" s="20">
        <f t="shared" ref="C5:G5" si="0">C6+C14+C22+C29</f>
        <v>8996.6</v>
      </c>
      <c r="D5" s="20">
        <f t="shared" si="0"/>
        <v>500</v>
      </c>
      <c r="E5" s="20">
        <f t="shared" si="0"/>
        <v>2704.3585</v>
      </c>
      <c r="F5" s="20"/>
      <c r="G5" s="20">
        <f t="shared" si="0"/>
        <v>12200.9585</v>
      </c>
      <c r="H5" s="48" t="s">
        <v>93</v>
      </c>
      <c r="I5" s="20"/>
      <c r="J5" s="20"/>
      <c r="K5" s="58">
        <f>G5/G56</f>
        <v>0.854760433350683</v>
      </c>
    </row>
    <row r="6" s="190" customFormat="1" ht="35" customHeight="1" spans="1:19">
      <c r="A6" s="160" t="s">
        <v>18</v>
      </c>
      <c r="B6" s="161" t="s">
        <v>148</v>
      </c>
      <c r="C6" s="206">
        <f t="shared" ref="C6:G6" si="1">SUM(C7:C13)</f>
        <v>0</v>
      </c>
      <c r="D6" s="206">
        <f t="shared" si="1"/>
        <v>120</v>
      </c>
      <c r="E6" s="206">
        <f t="shared" si="1"/>
        <v>115</v>
      </c>
      <c r="F6" s="206"/>
      <c r="G6" s="206">
        <f t="shared" si="1"/>
        <v>235</v>
      </c>
      <c r="H6" s="52" t="s">
        <v>17</v>
      </c>
      <c r="I6" s="20"/>
      <c r="J6" s="217" t="e">
        <f>G6/I6*10000</f>
        <v>#DIV/0!</v>
      </c>
      <c r="K6" s="173"/>
      <c r="L6" s="218"/>
      <c r="M6" s="224"/>
      <c r="N6" s="224"/>
      <c r="O6" s="228"/>
      <c r="P6" s="228"/>
      <c r="Q6" s="228"/>
      <c r="R6" s="228"/>
      <c r="S6" s="228"/>
    </row>
    <row r="7" s="191" customFormat="1" ht="35" customHeight="1" spans="1:19">
      <c r="A7" s="207">
        <v>1</v>
      </c>
      <c r="B7" s="3" t="s">
        <v>118</v>
      </c>
      <c r="C7" s="208">
        <f>I7*J7/10000</f>
        <v>0</v>
      </c>
      <c r="D7" s="25"/>
      <c r="E7" s="208"/>
      <c r="F7" s="126"/>
      <c r="G7" s="25">
        <f t="shared" ref="G7:G13" si="2">SUM(C7:F7)</f>
        <v>0</v>
      </c>
      <c r="H7" s="48" t="s">
        <v>17</v>
      </c>
      <c r="I7" s="25">
        <f>I6</f>
        <v>0</v>
      </c>
      <c r="J7" s="219">
        <v>3500</v>
      </c>
      <c r="K7" s="66"/>
      <c r="L7" s="220"/>
      <c r="M7" s="225"/>
      <c r="N7" s="225"/>
      <c r="O7" s="229"/>
      <c r="P7" s="229"/>
      <c r="Q7" s="229"/>
      <c r="R7" s="229"/>
      <c r="S7" s="229"/>
    </row>
    <row r="8" s="191" customFormat="1" ht="35" customHeight="1" spans="1:19">
      <c r="A8" s="207">
        <v>2</v>
      </c>
      <c r="B8" s="3" t="s">
        <v>119</v>
      </c>
      <c r="C8" s="208"/>
      <c r="D8" s="25"/>
      <c r="E8" s="208">
        <f t="shared" ref="E8:E10" si="3">I8*J8/10000</f>
        <v>0</v>
      </c>
      <c r="F8" s="126"/>
      <c r="G8" s="25">
        <f t="shared" si="2"/>
        <v>0</v>
      </c>
      <c r="H8" s="48" t="s">
        <v>17</v>
      </c>
      <c r="I8" s="25">
        <f>I6</f>
        <v>0</v>
      </c>
      <c r="J8" s="219">
        <v>220</v>
      </c>
      <c r="K8" s="66"/>
      <c r="L8" s="220"/>
      <c r="M8" s="225"/>
      <c r="N8" s="225"/>
      <c r="O8" s="229"/>
      <c r="P8" s="229"/>
      <c r="Q8" s="229"/>
      <c r="R8" s="229"/>
      <c r="S8" s="229"/>
    </row>
    <row r="9" s="191" customFormat="1" ht="35" customHeight="1" spans="1:19">
      <c r="A9" s="207">
        <v>3</v>
      </c>
      <c r="B9" s="3" t="s">
        <v>120</v>
      </c>
      <c r="C9" s="208"/>
      <c r="D9" s="25"/>
      <c r="E9" s="208">
        <f t="shared" si="3"/>
        <v>0</v>
      </c>
      <c r="F9" s="126"/>
      <c r="G9" s="25">
        <f t="shared" si="2"/>
        <v>0</v>
      </c>
      <c r="H9" s="48" t="s">
        <v>17</v>
      </c>
      <c r="I9" s="25">
        <f>I6</f>
        <v>0</v>
      </c>
      <c r="J9" s="219">
        <v>180</v>
      </c>
      <c r="K9" s="66"/>
      <c r="L9" s="220"/>
      <c r="M9" s="225"/>
      <c r="N9" s="225"/>
      <c r="O9" s="229"/>
      <c r="P9" s="229"/>
      <c r="Q9" s="229"/>
      <c r="R9" s="229"/>
      <c r="S9" s="229"/>
    </row>
    <row r="10" s="191" customFormat="1" ht="35" customHeight="1" spans="1:19">
      <c r="A10" s="207">
        <v>4</v>
      </c>
      <c r="B10" s="3" t="s">
        <v>123</v>
      </c>
      <c r="C10" s="208"/>
      <c r="D10" s="25"/>
      <c r="E10" s="208">
        <f t="shared" si="3"/>
        <v>0</v>
      </c>
      <c r="F10" s="126"/>
      <c r="G10" s="25">
        <f t="shared" si="2"/>
        <v>0</v>
      </c>
      <c r="H10" s="48" t="s">
        <v>17</v>
      </c>
      <c r="I10" s="25">
        <f>I6</f>
        <v>0</v>
      </c>
      <c r="J10" s="219">
        <v>420</v>
      </c>
      <c r="K10" s="66"/>
      <c r="L10" s="220"/>
      <c r="M10" s="225"/>
      <c r="N10" s="225"/>
      <c r="O10" s="229"/>
      <c r="P10" s="229"/>
      <c r="Q10" s="229"/>
      <c r="R10" s="229"/>
      <c r="S10" s="229"/>
    </row>
    <row r="11" s="191" customFormat="1" ht="35" customHeight="1" spans="1:19">
      <c r="A11" s="207">
        <v>5</v>
      </c>
      <c r="B11" s="3" t="s">
        <v>149</v>
      </c>
      <c r="C11" s="208"/>
      <c r="D11" s="25">
        <f>I11*J11/10000</f>
        <v>120</v>
      </c>
      <c r="E11" s="208"/>
      <c r="F11" s="126"/>
      <c r="G11" s="25">
        <f t="shared" si="2"/>
        <v>120</v>
      </c>
      <c r="H11" s="48" t="s">
        <v>122</v>
      </c>
      <c r="I11" s="25">
        <v>3</v>
      </c>
      <c r="J11" s="219">
        <v>400000</v>
      </c>
      <c r="K11" s="66"/>
      <c r="L11" s="220"/>
      <c r="M11" s="225"/>
      <c r="N11" s="225"/>
      <c r="O11" s="229">
        <f>I6+I14</f>
        <v>19026</v>
      </c>
      <c r="P11" s="229"/>
      <c r="Q11" s="229"/>
      <c r="R11" s="229"/>
      <c r="S11" s="229"/>
    </row>
    <row r="12" s="192" customFormat="1" ht="35" customHeight="1" spans="1:19">
      <c r="A12" s="84">
        <v>6</v>
      </c>
      <c r="B12" s="209" t="s">
        <v>124</v>
      </c>
      <c r="C12" s="25"/>
      <c r="D12" s="25"/>
      <c r="E12" s="25">
        <f t="shared" ref="E12:E18" si="4">I12*J12/10000</f>
        <v>0</v>
      </c>
      <c r="F12" s="39"/>
      <c r="G12" s="25">
        <f t="shared" si="2"/>
        <v>0</v>
      </c>
      <c r="H12" s="48" t="s">
        <v>17</v>
      </c>
      <c r="I12" s="25">
        <f>I6</f>
        <v>0</v>
      </c>
      <c r="J12" s="219">
        <v>70</v>
      </c>
      <c r="K12" s="59"/>
      <c r="L12" s="221"/>
      <c r="M12" s="230"/>
      <c r="N12" s="230"/>
      <c r="O12" s="230"/>
      <c r="P12" s="230"/>
      <c r="Q12" s="230"/>
      <c r="R12" s="230"/>
      <c r="S12" s="230"/>
    </row>
    <row r="13" s="192" customFormat="1" ht="35" customHeight="1" spans="1:19">
      <c r="A13" s="84">
        <v>7</v>
      </c>
      <c r="B13" s="209" t="s">
        <v>150</v>
      </c>
      <c r="C13" s="25"/>
      <c r="D13" s="25"/>
      <c r="E13" s="25">
        <f t="shared" si="4"/>
        <v>115</v>
      </c>
      <c r="F13" s="39"/>
      <c r="G13" s="25">
        <f t="shared" si="2"/>
        <v>115</v>
      </c>
      <c r="H13" s="48" t="s">
        <v>151</v>
      </c>
      <c r="I13" s="25">
        <v>1</v>
      </c>
      <c r="J13" s="219">
        <v>1150000</v>
      </c>
      <c r="K13" s="59"/>
      <c r="L13" s="221"/>
      <c r="M13" s="230"/>
      <c r="N13" s="230"/>
      <c r="O13" s="230"/>
      <c r="P13" s="230"/>
      <c r="Q13" s="230"/>
      <c r="R13" s="230"/>
      <c r="S13" s="230"/>
    </row>
    <row r="14" s="190" customFormat="1" ht="35" customHeight="1" spans="1:19">
      <c r="A14" s="160" t="s">
        <v>40</v>
      </c>
      <c r="B14" s="161" t="s">
        <v>152</v>
      </c>
      <c r="C14" s="206">
        <f t="shared" ref="C14:G14" si="5">SUM(C15:C21)</f>
        <v>6659.1</v>
      </c>
      <c r="D14" s="206">
        <f t="shared" si="5"/>
        <v>120</v>
      </c>
      <c r="E14" s="206">
        <f t="shared" si="5"/>
        <v>1808.314</v>
      </c>
      <c r="F14" s="206"/>
      <c r="G14" s="206">
        <f t="shared" si="5"/>
        <v>8587.414</v>
      </c>
      <c r="H14" s="52" t="s">
        <v>17</v>
      </c>
      <c r="I14" s="20">
        <v>19026</v>
      </c>
      <c r="J14" s="217">
        <f>G14/I14*10000</f>
        <v>4513.51518974036</v>
      </c>
      <c r="K14" s="173"/>
      <c r="L14" s="218"/>
      <c r="M14" s="224"/>
      <c r="N14" s="224"/>
      <c r="O14" s="228"/>
      <c r="P14" s="228"/>
      <c r="Q14" s="228"/>
      <c r="R14" s="228"/>
      <c r="S14" s="228"/>
    </row>
    <row r="15" s="191" customFormat="1" ht="35" customHeight="1" spans="1:19">
      <c r="A15" s="207">
        <v>1</v>
      </c>
      <c r="B15" s="3" t="s">
        <v>118</v>
      </c>
      <c r="C15" s="208">
        <f>I15*J15/10000</f>
        <v>6659.1</v>
      </c>
      <c r="D15" s="25"/>
      <c r="E15" s="208"/>
      <c r="F15" s="126"/>
      <c r="G15" s="25">
        <f t="shared" ref="G15:G21" si="6">SUM(C15:F15)</f>
        <v>6659.1</v>
      </c>
      <c r="H15" s="48" t="s">
        <v>17</v>
      </c>
      <c r="I15" s="25">
        <f>I14</f>
        <v>19026</v>
      </c>
      <c r="J15" s="219">
        <v>3500</v>
      </c>
      <c r="K15" s="66"/>
      <c r="L15" s="220"/>
      <c r="M15" s="225"/>
      <c r="N15" s="225"/>
      <c r="O15" s="229"/>
      <c r="P15" s="229"/>
      <c r="Q15" s="229"/>
      <c r="R15" s="229"/>
      <c r="S15" s="229"/>
    </row>
    <row r="16" s="191" customFormat="1" ht="35" customHeight="1" spans="1:19">
      <c r="A16" s="207">
        <v>2</v>
      </c>
      <c r="B16" s="3" t="s">
        <v>119</v>
      </c>
      <c r="C16" s="208"/>
      <c r="D16" s="25"/>
      <c r="E16" s="208">
        <f t="shared" si="4"/>
        <v>418.572</v>
      </c>
      <c r="F16" s="126"/>
      <c r="G16" s="25">
        <f t="shared" si="6"/>
        <v>418.572</v>
      </c>
      <c r="H16" s="48" t="s">
        <v>17</v>
      </c>
      <c r="I16" s="25">
        <f>I14</f>
        <v>19026</v>
      </c>
      <c r="J16" s="219">
        <v>220</v>
      </c>
      <c r="K16" s="66"/>
      <c r="L16" s="220"/>
      <c r="M16" s="225"/>
      <c r="N16" s="225"/>
      <c r="O16" s="229"/>
      <c r="P16" s="229"/>
      <c r="Q16" s="229"/>
      <c r="R16" s="229"/>
      <c r="S16" s="229"/>
    </row>
    <row r="17" s="191" customFormat="1" ht="35" customHeight="1" spans="1:19">
      <c r="A17" s="207">
        <v>3</v>
      </c>
      <c r="B17" s="3" t="s">
        <v>120</v>
      </c>
      <c r="C17" s="208"/>
      <c r="D17" s="25"/>
      <c r="E17" s="208">
        <f t="shared" si="4"/>
        <v>342.468</v>
      </c>
      <c r="F17" s="126"/>
      <c r="G17" s="25">
        <f t="shared" si="6"/>
        <v>342.468</v>
      </c>
      <c r="H17" s="48" t="s">
        <v>17</v>
      </c>
      <c r="I17" s="25">
        <f>I14</f>
        <v>19026</v>
      </c>
      <c r="J17" s="219">
        <v>180</v>
      </c>
      <c r="K17" s="66"/>
      <c r="L17" s="220"/>
      <c r="M17" s="225"/>
      <c r="N17" s="225"/>
      <c r="O17" s="229"/>
      <c r="P17" s="229"/>
      <c r="Q17" s="229"/>
      <c r="R17" s="229"/>
      <c r="S17" s="229"/>
    </row>
    <row r="18" s="191" customFormat="1" ht="35" customHeight="1" spans="1:19">
      <c r="A18" s="207">
        <v>4</v>
      </c>
      <c r="B18" s="3" t="s">
        <v>123</v>
      </c>
      <c r="C18" s="208"/>
      <c r="D18" s="25"/>
      <c r="E18" s="208">
        <f t="shared" si="4"/>
        <v>799.092</v>
      </c>
      <c r="F18" s="126"/>
      <c r="G18" s="25">
        <f t="shared" si="6"/>
        <v>799.092</v>
      </c>
      <c r="H18" s="48" t="s">
        <v>17</v>
      </c>
      <c r="I18" s="25">
        <f>I14</f>
        <v>19026</v>
      </c>
      <c r="J18" s="219">
        <v>420</v>
      </c>
      <c r="K18" s="66"/>
      <c r="L18" s="220"/>
      <c r="M18" s="225"/>
      <c r="N18" s="225"/>
      <c r="O18" s="229"/>
      <c r="P18" s="229"/>
      <c r="Q18" s="229"/>
      <c r="R18" s="229"/>
      <c r="S18" s="229"/>
    </row>
    <row r="19" s="191" customFormat="1" ht="35" customHeight="1" spans="1:19">
      <c r="A19" s="207">
        <v>5</v>
      </c>
      <c r="B19" s="3" t="s">
        <v>149</v>
      </c>
      <c r="C19" s="208"/>
      <c r="D19" s="25">
        <f>I19*J19/10000</f>
        <v>120</v>
      </c>
      <c r="E19" s="208"/>
      <c r="F19" s="126"/>
      <c r="G19" s="25">
        <f t="shared" si="6"/>
        <v>120</v>
      </c>
      <c r="H19" s="48" t="s">
        <v>122</v>
      </c>
      <c r="I19" s="25">
        <v>3</v>
      </c>
      <c r="J19" s="219">
        <v>400000</v>
      </c>
      <c r="K19" s="66"/>
      <c r="L19" s="220"/>
      <c r="M19" s="225"/>
      <c r="N19" s="225"/>
      <c r="O19" s="229"/>
      <c r="P19" s="229"/>
      <c r="Q19" s="229"/>
      <c r="R19" s="229"/>
      <c r="S19" s="229"/>
    </row>
    <row r="20" s="192" customFormat="1" ht="35" customHeight="1" spans="1:19">
      <c r="A20" s="84">
        <v>6</v>
      </c>
      <c r="B20" s="209" t="s">
        <v>124</v>
      </c>
      <c r="C20" s="25"/>
      <c r="D20" s="25"/>
      <c r="E20" s="25">
        <f t="shared" ref="E20:E26" si="7">I20*J20/10000</f>
        <v>133.182</v>
      </c>
      <c r="F20" s="39"/>
      <c r="G20" s="25">
        <f t="shared" si="6"/>
        <v>133.182</v>
      </c>
      <c r="H20" s="48" t="s">
        <v>17</v>
      </c>
      <c r="I20" s="25">
        <f>I14</f>
        <v>19026</v>
      </c>
      <c r="J20" s="219">
        <v>70</v>
      </c>
      <c r="K20" s="59"/>
      <c r="L20" s="221"/>
      <c r="M20" s="230"/>
      <c r="N20" s="230"/>
      <c r="O20" s="230"/>
      <c r="P20" s="230"/>
      <c r="Q20" s="230"/>
      <c r="R20" s="230"/>
      <c r="S20" s="230"/>
    </row>
    <row r="21" s="192" customFormat="1" ht="35" customHeight="1" spans="1:19">
      <c r="A21" s="84">
        <v>7</v>
      </c>
      <c r="B21" s="209" t="s">
        <v>150</v>
      </c>
      <c r="C21" s="25"/>
      <c r="D21" s="25"/>
      <c r="E21" s="25">
        <f t="shared" si="7"/>
        <v>115</v>
      </c>
      <c r="F21" s="39"/>
      <c r="G21" s="25">
        <f t="shared" si="6"/>
        <v>115</v>
      </c>
      <c r="H21" s="48" t="s">
        <v>151</v>
      </c>
      <c r="I21" s="25">
        <v>1</v>
      </c>
      <c r="J21" s="219">
        <v>1150000</v>
      </c>
      <c r="K21" s="59"/>
      <c r="L21" s="221"/>
      <c r="M21" s="230"/>
      <c r="N21" s="230"/>
      <c r="O21" s="230"/>
      <c r="P21" s="230"/>
      <c r="Q21" s="230"/>
      <c r="R21" s="230"/>
      <c r="S21" s="230"/>
    </row>
    <row r="22" s="193" customFormat="1" ht="35" customHeight="1" spans="1:19">
      <c r="A22" s="160" t="s">
        <v>43</v>
      </c>
      <c r="B22" s="88" t="s">
        <v>153</v>
      </c>
      <c r="C22" s="20">
        <f t="shared" ref="C22:G22" si="8">SUM(C23:C28)</f>
        <v>2183.5</v>
      </c>
      <c r="D22" s="20">
        <f t="shared" si="8"/>
        <v>260</v>
      </c>
      <c r="E22" s="20">
        <f t="shared" si="8"/>
        <v>495.6545</v>
      </c>
      <c r="F22" s="20"/>
      <c r="G22" s="20">
        <f t="shared" si="8"/>
        <v>2939.1545</v>
      </c>
      <c r="H22" s="52" t="s">
        <v>17</v>
      </c>
      <c r="I22" s="20">
        <v>4367</v>
      </c>
      <c r="J22" s="217"/>
      <c r="K22" s="102"/>
      <c r="L22" s="222"/>
      <c r="M22" s="188"/>
      <c r="N22" s="188"/>
      <c r="O22" s="188"/>
      <c r="P22" s="188"/>
      <c r="Q22" s="188"/>
      <c r="R22" s="188"/>
      <c r="S22" s="188"/>
    </row>
    <row r="23" s="192" customFormat="1" ht="35" customHeight="1" spans="1:19">
      <c r="A23" s="207">
        <v>1</v>
      </c>
      <c r="B23" s="209" t="s">
        <v>154</v>
      </c>
      <c r="C23" s="25">
        <f>I23*J23/10000</f>
        <v>2183.5</v>
      </c>
      <c r="D23" s="25"/>
      <c r="E23" s="25"/>
      <c r="F23" s="39"/>
      <c r="G23" s="25">
        <f t="shared" ref="G23:G28" si="9">SUM(C23:F23)</f>
        <v>2183.5</v>
      </c>
      <c r="H23" s="48" t="s">
        <v>17</v>
      </c>
      <c r="I23" s="25">
        <f>I22</f>
        <v>4367</v>
      </c>
      <c r="J23" s="219">
        <v>5000</v>
      </c>
      <c r="K23" s="59"/>
      <c r="L23" s="221"/>
      <c r="M23" s="230"/>
      <c r="N23" s="230"/>
      <c r="O23" s="230"/>
      <c r="P23" s="230"/>
      <c r="Q23" s="230"/>
      <c r="R23" s="230"/>
      <c r="S23" s="230"/>
    </row>
    <row r="24" s="192" customFormat="1" ht="35" customHeight="1" spans="1:19">
      <c r="A24" s="84">
        <v>2</v>
      </c>
      <c r="B24" s="86" t="s">
        <v>155</v>
      </c>
      <c r="C24" s="25"/>
      <c r="D24" s="25"/>
      <c r="E24" s="25">
        <f t="shared" si="7"/>
        <v>96.074</v>
      </c>
      <c r="F24" s="39"/>
      <c r="G24" s="25">
        <f t="shared" si="9"/>
        <v>96.074</v>
      </c>
      <c r="H24" s="48" t="s">
        <v>17</v>
      </c>
      <c r="I24" s="25">
        <f>I22</f>
        <v>4367</v>
      </c>
      <c r="J24" s="219">
        <v>220</v>
      </c>
      <c r="K24" s="59"/>
      <c r="L24" s="221"/>
      <c r="M24" s="230"/>
      <c r="N24" s="230"/>
      <c r="O24" s="230"/>
      <c r="P24" s="230"/>
      <c r="Q24" s="230"/>
      <c r="R24" s="230"/>
      <c r="S24" s="230"/>
    </row>
    <row r="25" s="192" customFormat="1" ht="35" customHeight="1" spans="1:19">
      <c r="A25" s="84">
        <v>3</v>
      </c>
      <c r="B25" s="87" t="s">
        <v>156</v>
      </c>
      <c r="C25" s="25"/>
      <c r="D25" s="25"/>
      <c r="E25" s="25">
        <f t="shared" si="7"/>
        <v>115.7255</v>
      </c>
      <c r="F25" s="39"/>
      <c r="G25" s="25">
        <f t="shared" si="9"/>
        <v>115.7255</v>
      </c>
      <c r="H25" s="48" t="s">
        <v>17</v>
      </c>
      <c r="I25" s="25">
        <f>I22</f>
        <v>4367</v>
      </c>
      <c r="J25" s="219">
        <v>265</v>
      </c>
      <c r="K25" s="59"/>
      <c r="L25" s="221"/>
      <c r="M25" s="230"/>
      <c r="N25" s="230"/>
      <c r="O25" s="230"/>
      <c r="P25" s="230"/>
      <c r="Q25" s="230"/>
      <c r="R25" s="230"/>
      <c r="S25" s="230"/>
    </row>
    <row r="26" s="192" customFormat="1" ht="35" customHeight="1" spans="1:19">
      <c r="A26" s="207">
        <v>4</v>
      </c>
      <c r="B26" s="86" t="s">
        <v>123</v>
      </c>
      <c r="C26" s="25"/>
      <c r="D26" s="25"/>
      <c r="E26" s="25">
        <f t="shared" si="7"/>
        <v>283.855</v>
      </c>
      <c r="F26" s="39"/>
      <c r="G26" s="25">
        <f t="shared" si="9"/>
        <v>283.855</v>
      </c>
      <c r="H26" s="48" t="s">
        <v>17</v>
      </c>
      <c r="I26" s="25">
        <f>I22</f>
        <v>4367</v>
      </c>
      <c r="J26" s="219">
        <v>650</v>
      </c>
      <c r="K26" s="59"/>
      <c r="L26" s="221"/>
      <c r="M26" s="230"/>
      <c r="N26" s="230"/>
      <c r="O26" s="230"/>
      <c r="P26" s="230"/>
      <c r="Q26" s="230"/>
      <c r="R26" s="230"/>
      <c r="S26" s="230"/>
    </row>
    <row r="27" s="192" customFormat="1" ht="35" customHeight="1" spans="1:19">
      <c r="A27" s="84">
        <v>5</v>
      </c>
      <c r="B27" s="86" t="s">
        <v>157</v>
      </c>
      <c r="C27" s="25"/>
      <c r="D27" s="25">
        <f>I27*J27/10000</f>
        <v>60</v>
      </c>
      <c r="E27" s="25"/>
      <c r="F27" s="39"/>
      <c r="G27" s="25">
        <f t="shared" si="9"/>
        <v>60</v>
      </c>
      <c r="H27" s="48" t="s">
        <v>37</v>
      </c>
      <c r="I27" s="25">
        <v>1</v>
      </c>
      <c r="J27" s="219">
        <v>600000</v>
      </c>
      <c r="K27" s="59"/>
      <c r="L27" s="221"/>
      <c r="M27" s="230"/>
      <c r="N27" s="230"/>
      <c r="O27" s="230"/>
      <c r="P27" s="230"/>
      <c r="Q27" s="230"/>
      <c r="R27" s="230"/>
      <c r="S27" s="230"/>
    </row>
    <row r="28" s="192" customFormat="1" ht="35" customHeight="1" spans="1:19">
      <c r="A28" s="207">
        <v>6</v>
      </c>
      <c r="B28" s="86" t="s">
        <v>158</v>
      </c>
      <c r="C28" s="25"/>
      <c r="D28" s="25">
        <f>I28*J28/10000</f>
        <v>200</v>
      </c>
      <c r="E28" s="25"/>
      <c r="F28" s="39"/>
      <c r="G28" s="25">
        <f t="shared" si="9"/>
        <v>200</v>
      </c>
      <c r="H28" s="48" t="s">
        <v>37</v>
      </c>
      <c r="I28" s="25">
        <v>1</v>
      </c>
      <c r="J28" s="219">
        <v>2000000</v>
      </c>
      <c r="K28" s="59"/>
      <c r="L28" s="221"/>
      <c r="M28" s="230"/>
      <c r="N28" s="230"/>
      <c r="O28" s="230"/>
      <c r="P28" s="230"/>
      <c r="Q28" s="230"/>
      <c r="R28" s="230"/>
      <c r="S28" s="230"/>
    </row>
    <row r="29" s="194" customFormat="1" ht="35" customHeight="1" spans="1:19">
      <c r="A29" s="21" t="s">
        <v>45</v>
      </c>
      <c r="B29" s="88" t="s">
        <v>125</v>
      </c>
      <c r="C29" s="20">
        <f t="shared" ref="C29:G29" si="10">SUM(C30:C36)</f>
        <v>154</v>
      </c>
      <c r="D29" s="20"/>
      <c r="E29" s="20">
        <f t="shared" si="10"/>
        <v>285.39</v>
      </c>
      <c r="F29" s="165"/>
      <c r="G29" s="165">
        <f t="shared" si="10"/>
        <v>439.39</v>
      </c>
      <c r="H29" s="52" t="s">
        <v>93</v>
      </c>
      <c r="I29" s="20"/>
      <c r="J29" s="217"/>
      <c r="K29" s="102"/>
      <c r="L29" s="188"/>
      <c r="M29" s="188"/>
      <c r="N29" s="188"/>
      <c r="O29" s="188"/>
      <c r="P29" s="188"/>
      <c r="Q29" s="188"/>
      <c r="R29" s="188"/>
      <c r="S29" s="188"/>
    </row>
    <row r="30" s="192" customFormat="1" ht="35" customHeight="1" spans="1:19">
      <c r="A30" s="84">
        <v>1</v>
      </c>
      <c r="B30" s="24" t="s">
        <v>126</v>
      </c>
      <c r="C30" s="210">
        <f t="shared" ref="C30:C33" si="11">I30*J30/10000</f>
        <v>97.2</v>
      </c>
      <c r="D30" s="87"/>
      <c r="E30" s="87"/>
      <c r="F30" s="24"/>
      <c r="G30" s="25">
        <f t="shared" ref="G30:G36" si="12">SUM(C30:F30)</f>
        <v>97.2</v>
      </c>
      <c r="H30" s="51" t="s">
        <v>17</v>
      </c>
      <c r="I30" s="30">
        <v>3240</v>
      </c>
      <c r="J30" s="223">
        <v>300</v>
      </c>
      <c r="K30" s="59"/>
      <c r="L30" s="221"/>
      <c r="M30" s="230"/>
      <c r="N30" s="230"/>
      <c r="O30" s="230"/>
      <c r="P30" s="230"/>
      <c r="Q30" s="230"/>
      <c r="R30" s="230"/>
      <c r="S30" s="230"/>
    </row>
    <row r="31" s="191" customFormat="1" ht="35" customHeight="1" spans="1:19">
      <c r="A31" s="207">
        <v>2</v>
      </c>
      <c r="B31" s="3" t="s">
        <v>127</v>
      </c>
      <c r="C31" s="210">
        <f t="shared" si="11"/>
        <v>16.8</v>
      </c>
      <c r="D31" s="87"/>
      <c r="E31" s="87"/>
      <c r="F31" s="24"/>
      <c r="G31" s="25">
        <f t="shared" si="12"/>
        <v>16.8</v>
      </c>
      <c r="H31" s="51" t="s">
        <v>17</v>
      </c>
      <c r="I31" s="30">
        <v>600</v>
      </c>
      <c r="J31" s="223">
        <v>280</v>
      </c>
      <c r="K31" s="66"/>
      <c r="L31" s="220"/>
      <c r="M31" s="225"/>
      <c r="N31" s="225"/>
      <c r="O31" s="229"/>
      <c r="P31" s="229"/>
      <c r="Q31" s="229"/>
      <c r="R31" s="229"/>
      <c r="S31" s="229"/>
    </row>
    <row r="32" s="192" customFormat="1" ht="35" customHeight="1" spans="1:19">
      <c r="A32" s="84">
        <v>3</v>
      </c>
      <c r="B32" s="24" t="s">
        <v>128</v>
      </c>
      <c r="C32" s="210">
        <f t="shared" si="11"/>
        <v>20</v>
      </c>
      <c r="D32" s="25"/>
      <c r="E32" s="25"/>
      <c r="F32" s="49"/>
      <c r="G32" s="25">
        <f t="shared" si="12"/>
        <v>20</v>
      </c>
      <c r="H32" s="48" t="s">
        <v>17</v>
      </c>
      <c r="I32" s="30">
        <v>2000</v>
      </c>
      <c r="J32" s="223">
        <v>100</v>
      </c>
      <c r="K32" s="59"/>
      <c r="L32" s="221"/>
      <c r="M32" s="230"/>
      <c r="N32" s="230"/>
      <c r="O32" s="229"/>
      <c r="P32" s="231"/>
      <c r="Q32" s="231"/>
      <c r="R32" s="231"/>
      <c r="S32" s="231"/>
    </row>
    <row r="33" s="192" customFormat="1" ht="35" customHeight="1" spans="1:19">
      <c r="A33" s="207">
        <v>4</v>
      </c>
      <c r="B33" s="24" t="s">
        <v>129</v>
      </c>
      <c r="C33" s="208">
        <f t="shared" si="11"/>
        <v>20</v>
      </c>
      <c r="D33" s="25"/>
      <c r="E33" s="210"/>
      <c r="F33" s="126"/>
      <c r="G33" s="25">
        <f t="shared" si="12"/>
        <v>20</v>
      </c>
      <c r="H33" s="53" t="s">
        <v>130</v>
      </c>
      <c r="I33" s="29">
        <v>1</v>
      </c>
      <c r="J33" s="175">
        <v>200000</v>
      </c>
      <c r="K33" s="59"/>
      <c r="L33" s="221"/>
      <c r="M33" s="230"/>
      <c r="N33" s="230"/>
      <c r="O33" s="229"/>
      <c r="P33" s="231"/>
      <c r="Q33" s="231"/>
      <c r="R33" s="231"/>
      <c r="S33" s="231"/>
    </row>
    <row r="34" s="191" customFormat="1" ht="35" customHeight="1" spans="1:19">
      <c r="A34" s="84">
        <v>5</v>
      </c>
      <c r="B34" s="24" t="s">
        <v>131</v>
      </c>
      <c r="C34" s="208"/>
      <c r="D34" s="25"/>
      <c r="E34" s="210">
        <f t="shared" ref="E34:E36" si="13">I34*J34/10000</f>
        <v>76.104</v>
      </c>
      <c r="F34" s="126"/>
      <c r="G34" s="39">
        <f t="shared" si="12"/>
        <v>76.104</v>
      </c>
      <c r="H34" s="53" t="s">
        <v>17</v>
      </c>
      <c r="I34" s="29">
        <f>I6+I14</f>
        <v>19026</v>
      </c>
      <c r="J34" s="175">
        <v>40</v>
      </c>
      <c r="K34" s="66"/>
      <c r="L34" s="220"/>
      <c r="M34" s="225"/>
      <c r="N34" s="225"/>
      <c r="O34" s="229"/>
      <c r="P34" s="229"/>
      <c r="Q34" s="229"/>
      <c r="R34" s="229"/>
      <c r="S34" s="229"/>
    </row>
    <row r="35" s="191" customFormat="1" ht="35" customHeight="1" spans="1:19">
      <c r="A35" s="207">
        <v>6</v>
      </c>
      <c r="B35" s="3" t="s">
        <v>132</v>
      </c>
      <c r="C35" s="208"/>
      <c r="D35" s="208"/>
      <c r="E35" s="210">
        <f t="shared" si="13"/>
        <v>57.078</v>
      </c>
      <c r="F35" s="29"/>
      <c r="G35" s="39">
        <f t="shared" si="12"/>
        <v>57.078</v>
      </c>
      <c r="H35" s="53" t="s">
        <v>17</v>
      </c>
      <c r="I35" s="29">
        <f>I34</f>
        <v>19026</v>
      </c>
      <c r="J35" s="175">
        <v>30</v>
      </c>
      <c r="K35" s="66"/>
      <c r="L35" s="220"/>
      <c r="M35" s="225"/>
      <c r="N35" s="225"/>
      <c r="O35" s="229"/>
      <c r="P35" s="229"/>
      <c r="Q35" s="229"/>
      <c r="R35" s="229"/>
      <c r="S35" s="229"/>
    </row>
    <row r="36" s="191" customFormat="1" ht="35" customHeight="1" spans="1:19">
      <c r="A36" s="84">
        <v>7</v>
      </c>
      <c r="B36" s="3" t="s">
        <v>133</v>
      </c>
      <c r="C36" s="208"/>
      <c r="D36" s="25"/>
      <c r="E36" s="210">
        <f t="shared" si="13"/>
        <v>152.208</v>
      </c>
      <c r="F36" s="126"/>
      <c r="G36" s="39">
        <f t="shared" si="12"/>
        <v>152.208</v>
      </c>
      <c r="H36" s="53" t="s">
        <v>17</v>
      </c>
      <c r="I36" s="29">
        <f>I34</f>
        <v>19026</v>
      </c>
      <c r="J36" s="175">
        <v>80</v>
      </c>
      <c r="K36" s="66"/>
      <c r="L36" s="220"/>
      <c r="M36" s="225"/>
      <c r="N36" s="225"/>
      <c r="O36" s="229"/>
      <c r="P36" s="229"/>
      <c r="Q36" s="229"/>
      <c r="R36" s="229"/>
      <c r="S36" s="229"/>
    </row>
    <row r="37" s="195" customFormat="1" ht="35" customHeight="1" spans="1:19">
      <c r="A37" s="163" t="s">
        <v>91</v>
      </c>
      <c r="B37" s="164" t="s">
        <v>92</v>
      </c>
      <c r="C37" s="40"/>
      <c r="D37" s="20"/>
      <c r="E37" s="20"/>
      <c r="F37" s="165">
        <f>SUM(F38:F54)</f>
        <v>1015.82523905429</v>
      </c>
      <c r="G37" s="165">
        <f>SUM(G38:G54)</f>
        <v>1015.82523905429</v>
      </c>
      <c r="H37" s="168" t="s">
        <v>93</v>
      </c>
      <c r="I37" s="105"/>
      <c r="J37" s="105"/>
      <c r="K37" s="108">
        <f>G37/G56</f>
        <v>0.0711654925752433</v>
      </c>
      <c r="L37" s="224"/>
      <c r="M37" s="224"/>
      <c r="N37" s="224"/>
      <c r="O37" s="232"/>
      <c r="P37" s="224"/>
      <c r="Q37" s="224"/>
      <c r="R37" s="224"/>
      <c r="S37" s="224"/>
    </row>
    <row r="38" s="196" customFormat="1" ht="35" customHeight="1" spans="1:19">
      <c r="A38" s="93">
        <v>1</v>
      </c>
      <c r="B38" s="37" t="s">
        <v>134</v>
      </c>
      <c r="C38" s="25"/>
      <c r="D38" s="25"/>
      <c r="E38" s="35"/>
      <c r="F38" s="39">
        <f t="shared" ref="F38:F40" si="14">I38*J38</f>
        <v>146.411502</v>
      </c>
      <c r="G38" s="39">
        <f t="shared" ref="G38:G55" si="15">F38</f>
        <v>146.411502</v>
      </c>
      <c r="H38" s="53" t="s">
        <v>93</v>
      </c>
      <c r="I38" s="175">
        <f>G5</f>
        <v>12200.9585</v>
      </c>
      <c r="J38" s="65">
        <v>0.012</v>
      </c>
      <c r="K38" s="104"/>
      <c r="L38" s="225"/>
      <c r="M38" s="225"/>
      <c r="N38" s="225"/>
      <c r="O38" s="225"/>
      <c r="P38" s="225"/>
      <c r="Q38" s="225"/>
      <c r="R38" s="225"/>
      <c r="S38" s="225"/>
    </row>
    <row r="39" s="196" customFormat="1" ht="35" customHeight="1" spans="1:19">
      <c r="A39" s="93">
        <v>2</v>
      </c>
      <c r="B39" s="37" t="s">
        <v>95</v>
      </c>
      <c r="C39" s="25"/>
      <c r="D39" s="25"/>
      <c r="E39" s="25"/>
      <c r="F39" s="39">
        <f t="shared" si="14"/>
        <v>122.009585</v>
      </c>
      <c r="G39" s="39">
        <f t="shared" si="15"/>
        <v>122.009585</v>
      </c>
      <c r="H39" s="53" t="s">
        <v>93</v>
      </c>
      <c r="I39" s="175">
        <f>G5</f>
        <v>12200.9585</v>
      </c>
      <c r="J39" s="65">
        <v>0.01</v>
      </c>
      <c r="K39" s="104"/>
      <c r="L39" s="225"/>
      <c r="M39" s="225"/>
      <c r="N39" s="225"/>
      <c r="O39" s="225"/>
      <c r="P39" s="225"/>
      <c r="Q39" s="225"/>
      <c r="R39" s="225"/>
      <c r="S39" s="225"/>
    </row>
    <row r="40" s="196" customFormat="1" ht="35" customHeight="1" spans="1:19">
      <c r="A40" s="93">
        <v>3</v>
      </c>
      <c r="B40" s="37" t="s">
        <v>97</v>
      </c>
      <c r="C40" s="25"/>
      <c r="D40" s="25"/>
      <c r="E40" s="25"/>
      <c r="F40" s="39">
        <f t="shared" si="14"/>
        <v>305.0239625</v>
      </c>
      <c r="G40" s="39">
        <f t="shared" si="15"/>
        <v>305.0239625</v>
      </c>
      <c r="H40" s="53" t="s">
        <v>93</v>
      </c>
      <c r="I40" s="175">
        <f>G5</f>
        <v>12200.9585</v>
      </c>
      <c r="J40" s="65">
        <v>0.025</v>
      </c>
      <c r="K40" s="104"/>
      <c r="L40" s="225"/>
      <c r="M40" s="225"/>
      <c r="N40" s="225"/>
      <c r="O40" s="225"/>
      <c r="P40" s="225"/>
      <c r="Q40" s="225"/>
      <c r="R40" s="225"/>
      <c r="S40" s="225"/>
    </row>
    <row r="41" s="196" customFormat="1" ht="35" customHeight="1" spans="1:19">
      <c r="A41" s="93">
        <v>4</v>
      </c>
      <c r="B41" s="37" t="s">
        <v>106</v>
      </c>
      <c r="C41" s="25"/>
      <c r="D41" s="25"/>
      <c r="E41" s="25"/>
      <c r="F41" s="39">
        <f>I41*J41/10000</f>
        <v>39.7681</v>
      </c>
      <c r="G41" s="39">
        <f t="shared" si="15"/>
        <v>39.7681</v>
      </c>
      <c r="H41" s="53" t="s">
        <v>135</v>
      </c>
      <c r="I41" s="175">
        <f>I6+I14+I22</f>
        <v>23393</v>
      </c>
      <c r="J41" s="176">
        <v>17</v>
      </c>
      <c r="K41" s="104"/>
      <c r="L41" s="225"/>
      <c r="M41" s="225"/>
      <c r="N41" s="225"/>
      <c r="O41" s="225"/>
      <c r="P41" s="225"/>
      <c r="Q41" s="225"/>
      <c r="R41" s="225"/>
      <c r="S41" s="225"/>
    </row>
    <row r="42" s="196" customFormat="1" ht="35" customHeight="1" spans="1:19">
      <c r="A42" s="93">
        <v>5</v>
      </c>
      <c r="B42" s="37" t="s">
        <v>136</v>
      </c>
      <c r="C42" s="25"/>
      <c r="D42" s="25"/>
      <c r="E42" s="25"/>
      <c r="F42" s="39">
        <f t="shared" ref="F42:F46" si="16">I42*J42</f>
        <v>20.74162945</v>
      </c>
      <c r="G42" s="39">
        <f t="shared" si="15"/>
        <v>20.74162945</v>
      </c>
      <c r="H42" s="53" t="s">
        <v>93</v>
      </c>
      <c r="I42" s="175">
        <f>I40</f>
        <v>12200.9585</v>
      </c>
      <c r="J42" s="226">
        <v>0.0017</v>
      </c>
      <c r="K42" s="104"/>
      <c r="L42" s="225"/>
      <c r="M42" s="225"/>
      <c r="N42" s="225"/>
      <c r="O42" s="225"/>
      <c r="P42" s="225"/>
      <c r="Q42" s="225"/>
      <c r="R42" s="225"/>
      <c r="S42" s="225"/>
    </row>
    <row r="43" s="196" customFormat="1" ht="35" customHeight="1" spans="1:19">
      <c r="A43" s="93">
        <v>6</v>
      </c>
      <c r="B43" s="37" t="s">
        <v>137</v>
      </c>
      <c r="C43" s="25"/>
      <c r="D43" s="25"/>
      <c r="E43" s="25"/>
      <c r="F43" s="39">
        <f>I43*J43*0.8</f>
        <v>37.09091384</v>
      </c>
      <c r="G43" s="39">
        <f t="shared" si="15"/>
        <v>37.09091384</v>
      </c>
      <c r="H43" s="53" t="s">
        <v>93</v>
      </c>
      <c r="I43" s="175">
        <f>G5</f>
        <v>12200.9585</v>
      </c>
      <c r="J43" s="65">
        <v>0.0038</v>
      </c>
      <c r="K43" s="104"/>
      <c r="L43" s="225"/>
      <c r="M43" s="233"/>
      <c r="N43" s="225"/>
      <c r="O43" s="225"/>
      <c r="P43" s="225"/>
      <c r="Q43" s="225"/>
      <c r="R43" s="225"/>
      <c r="S43" s="225"/>
    </row>
    <row r="44" s="196" customFormat="1" ht="35" customHeight="1" spans="1:19">
      <c r="A44" s="93">
        <v>7</v>
      </c>
      <c r="B44" s="37" t="s">
        <v>138</v>
      </c>
      <c r="C44" s="25"/>
      <c r="D44" s="25"/>
      <c r="E44" s="25"/>
      <c r="F44" s="39">
        <f t="shared" si="16"/>
        <v>63.4449842</v>
      </c>
      <c r="G44" s="39">
        <f t="shared" si="15"/>
        <v>63.4449842</v>
      </c>
      <c r="H44" s="53" t="s">
        <v>93</v>
      </c>
      <c r="I44" s="175">
        <f>G5</f>
        <v>12200.9585</v>
      </c>
      <c r="J44" s="65">
        <v>0.0052</v>
      </c>
      <c r="K44" s="104"/>
      <c r="L44" s="225"/>
      <c r="M44" s="225"/>
      <c r="N44" s="225"/>
      <c r="O44" s="225"/>
      <c r="P44" s="225"/>
      <c r="Q44" s="225"/>
      <c r="R44" s="225"/>
      <c r="S44" s="225"/>
    </row>
    <row r="45" s="196" customFormat="1" ht="35" customHeight="1" spans="1:19">
      <c r="A45" s="93">
        <v>8</v>
      </c>
      <c r="B45" s="37" t="s">
        <v>102</v>
      </c>
      <c r="C45" s="25"/>
      <c r="D45" s="25"/>
      <c r="E45" s="25"/>
      <c r="F45" s="39">
        <f>1+2.8+2.75+14+(I45-5000)*0.002*0.8</f>
        <v>32.0715336</v>
      </c>
      <c r="G45" s="39">
        <f t="shared" si="15"/>
        <v>32.0715336</v>
      </c>
      <c r="H45" s="53" t="s">
        <v>93</v>
      </c>
      <c r="I45" s="175">
        <f>G5</f>
        <v>12200.9585</v>
      </c>
      <c r="J45" s="65">
        <f t="shared" ref="J45:J48" si="17">G45/I45</f>
        <v>0.00262860771143513</v>
      </c>
      <c r="K45" s="104"/>
      <c r="L45" s="225"/>
      <c r="M45" s="225"/>
      <c r="N45" s="225"/>
      <c r="O45" s="225"/>
      <c r="P45" s="225"/>
      <c r="Q45" s="225"/>
      <c r="R45" s="225"/>
      <c r="S45" s="225"/>
    </row>
    <row r="46" s="196" customFormat="1" ht="35" customHeight="1" spans="1:19">
      <c r="A46" s="93">
        <v>9</v>
      </c>
      <c r="B46" s="37" t="s">
        <v>139</v>
      </c>
      <c r="C46" s="25"/>
      <c r="D46" s="25"/>
      <c r="E46" s="25"/>
      <c r="F46" s="39">
        <f t="shared" si="16"/>
        <v>61.0047925</v>
      </c>
      <c r="G46" s="39">
        <f t="shared" si="15"/>
        <v>61.0047925</v>
      </c>
      <c r="H46" s="53" t="s">
        <v>93</v>
      </c>
      <c r="I46" s="175">
        <f>G5</f>
        <v>12200.9585</v>
      </c>
      <c r="J46" s="65">
        <v>0.005</v>
      </c>
      <c r="K46" s="104"/>
      <c r="L46" s="225"/>
      <c r="M46" s="225"/>
      <c r="N46" s="225"/>
      <c r="O46" s="225"/>
      <c r="P46" s="225"/>
      <c r="Q46" s="225"/>
      <c r="R46" s="225"/>
      <c r="S46" s="225"/>
    </row>
    <row r="47" s="196" customFormat="1" ht="35" customHeight="1" spans="1:19">
      <c r="A47" s="93">
        <v>10</v>
      </c>
      <c r="B47" s="37" t="s">
        <v>140</v>
      </c>
      <c r="C47" s="39"/>
      <c r="D47" s="39"/>
      <c r="E47" s="39"/>
      <c r="F47" s="39">
        <f>(((I47-3000)*(28-12)/7000+12)+((I47-3000)*(10-5)/7000+5))</f>
        <v>44.6028755</v>
      </c>
      <c r="G47" s="39">
        <f t="shared" si="15"/>
        <v>44.6028755</v>
      </c>
      <c r="H47" s="53" t="s">
        <v>93</v>
      </c>
      <c r="I47" s="175">
        <f>I46</f>
        <v>12200.9585</v>
      </c>
      <c r="J47" s="65">
        <f t="shared" si="17"/>
        <v>0.00365568619055626</v>
      </c>
      <c r="K47" s="104"/>
      <c r="L47" s="225"/>
      <c r="M47" s="225"/>
      <c r="N47" s="225"/>
      <c r="O47" s="225"/>
      <c r="P47" s="225"/>
      <c r="Q47" s="225"/>
      <c r="R47" s="225"/>
      <c r="S47" s="225"/>
    </row>
    <row r="48" s="196" customFormat="1" ht="35" customHeight="1" spans="1:19">
      <c r="A48" s="93">
        <v>11</v>
      </c>
      <c r="B48" s="37" t="s">
        <v>141</v>
      </c>
      <c r="C48" s="39"/>
      <c r="D48" s="39"/>
      <c r="E48" s="39"/>
      <c r="F48" s="39">
        <f>(((I48-3000)*(14-6)/7000+6)+((I48-3000)*(8-4)/7000+4))</f>
        <v>25.7730717142857</v>
      </c>
      <c r="G48" s="39">
        <f t="shared" si="15"/>
        <v>25.7730717142857</v>
      </c>
      <c r="H48" s="53" t="s">
        <v>93</v>
      </c>
      <c r="I48" s="175">
        <f>I47</f>
        <v>12200.9585</v>
      </c>
      <c r="J48" s="65">
        <f t="shared" si="17"/>
        <v>0.00211238090140916</v>
      </c>
      <c r="K48" s="104"/>
      <c r="L48" s="225"/>
      <c r="M48" s="225"/>
      <c r="N48" s="225"/>
      <c r="O48" s="225"/>
      <c r="P48" s="225"/>
      <c r="Q48" s="225"/>
      <c r="R48" s="225"/>
      <c r="S48" s="225"/>
    </row>
    <row r="49" s="196" customFormat="1" ht="35" customHeight="1" spans="1:19">
      <c r="A49" s="93">
        <v>12</v>
      </c>
      <c r="B49" s="37" t="s">
        <v>142</v>
      </c>
      <c r="C49" s="25"/>
      <c r="D49" s="25"/>
      <c r="E49" s="25"/>
      <c r="F49" s="39">
        <f t="shared" ref="F49:F52" si="18">I49*J49</f>
        <v>30.50239625</v>
      </c>
      <c r="G49" s="39">
        <f t="shared" si="15"/>
        <v>30.50239625</v>
      </c>
      <c r="H49" s="53" t="s">
        <v>93</v>
      </c>
      <c r="I49" s="175">
        <f>G5</f>
        <v>12200.9585</v>
      </c>
      <c r="J49" s="65">
        <v>0.0025</v>
      </c>
      <c r="K49" s="104"/>
      <c r="L49" s="225"/>
      <c r="M49" s="225"/>
      <c r="N49" s="225"/>
      <c r="O49" s="225"/>
      <c r="P49" s="225"/>
      <c r="Q49" s="225"/>
      <c r="R49" s="225"/>
      <c r="S49" s="225"/>
    </row>
    <row r="50" s="196" customFormat="1" ht="35" customHeight="1" spans="1:19">
      <c r="A50" s="93">
        <v>13</v>
      </c>
      <c r="B50" s="37" t="s">
        <v>143</v>
      </c>
      <c r="C50" s="25"/>
      <c r="D50" s="25"/>
      <c r="E50" s="25"/>
      <c r="F50" s="39">
        <f t="shared" si="18"/>
        <v>37.82297135</v>
      </c>
      <c r="G50" s="39">
        <f t="shared" si="15"/>
        <v>37.82297135</v>
      </c>
      <c r="H50" s="53" t="s">
        <v>93</v>
      </c>
      <c r="I50" s="175">
        <f>G5</f>
        <v>12200.9585</v>
      </c>
      <c r="J50" s="65">
        <v>0.0031</v>
      </c>
      <c r="K50" s="104"/>
      <c r="L50" s="225"/>
      <c r="M50" s="225"/>
      <c r="N50" s="225"/>
      <c r="O50" s="225"/>
      <c r="P50" s="225"/>
      <c r="Q50" s="225"/>
      <c r="R50" s="225"/>
      <c r="S50" s="225"/>
    </row>
    <row r="51" s="196" customFormat="1" ht="35" customHeight="1" spans="1:19">
      <c r="A51" s="93">
        <v>14</v>
      </c>
      <c r="B51" s="37" t="s">
        <v>144</v>
      </c>
      <c r="C51" s="25"/>
      <c r="D51" s="25"/>
      <c r="E51" s="25"/>
      <c r="F51" s="39">
        <f>I51*2/10000</f>
        <v>4.6786</v>
      </c>
      <c r="G51" s="39">
        <f t="shared" si="15"/>
        <v>4.6786</v>
      </c>
      <c r="H51" s="53" t="s">
        <v>135</v>
      </c>
      <c r="I51" s="175">
        <f>I41</f>
        <v>23393</v>
      </c>
      <c r="J51" s="29">
        <v>2</v>
      </c>
      <c r="K51" s="104"/>
      <c r="L51" s="225"/>
      <c r="M51" s="225"/>
      <c r="N51" s="225"/>
      <c r="O51" s="225"/>
      <c r="P51" s="225"/>
      <c r="Q51" s="225"/>
      <c r="R51" s="225"/>
      <c r="S51" s="225"/>
    </row>
    <row r="52" s="196" customFormat="1" ht="35" customHeight="1" spans="1:19">
      <c r="A52" s="93">
        <v>15</v>
      </c>
      <c r="B52" s="37" t="s">
        <v>145</v>
      </c>
      <c r="C52" s="25"/>
      <c r="D52" s="25"/>
      <c r="E52" s="25"/>
      <c r="F52" s="39">
        <f t="shared" si="18"/>
        <v>23.18182115</v>
      </c>
      <c r="G52" s="39">
        <f t="shared" si="15"/>
        <v>23.18182115</v>
      </c>
      <c r="H52" s="53" t="s">
        <v>93</v>
      </c>
      <c r="I52" s="175">
        <f>G5</f>
        <v>12200.9585</v>
      </c>
      <c r="J52" s="65">
        <v>0.0019</v>
      </c>
      <c r="K52" s="104"/>
      <c r="L52" s="225"/>
      <c r="M52" s="225"/>
      <c r="N52" s="225"/>
      <c r="O52" s="225"/>
      <c r="P52" s="225"/>
      <c r="Q52" s="225"/>
      <c r="R52" s="225"/>
      <c r="S52" s="225"/>
    </row>
    <row r="53" s="196" customFormat="1" ht="35" customHeight="1" spans="1:19">
      <c r="A53" s="93">
        <v>16</v>
      </c>
      <c r="B53" s="37" t="s">
        <v>146</v>
      </c>
      <c r="C53" s="25"/>
      <c r="D53" s="25"/>
      <c r="E53" s="25"/>
      <c r="F53" s="39">
        <f>I53*J53/10000</f>
        <v>10</v>
      </c>
      <c r="G53" s="39">
        <f t="shared" si="15"/>
        <v>10</v>
      </c>
      <c r="H53" s="53" t="s">
        <v>37</v>
      </c>
      <c r="I53" s="177">
        <v>1</v>
      </c>
      <c r="J53" s="176">
        <v>100000</v>
      </c>
      <c r="K53" s="104"/>
      <c r="L53" s="225"/>
      <c r="M53" s="225"/>
      <c r="N53" s="225"/>
      <c r="O53" s="225"/>
      <c r="P53" s="225"/>
      <c r="Q53" s="225"/>
      <c r="R53" s="225"/>
      <c r="S53" s="225"/>
    </row>
    <row r="54" s="196" customFormat="1" ht="35" customHeight="1" spans="1:19">
      <c r="A54" s="93">
        <v>17</v>
      </c>
      <c r="B54" s="37" t="s">
        <v>147</v>
      </c>
      <c r="C54" s="25"/>
      <c r="D54" s="25"/>
      <c r="E54" s="25"/>
      <c r="F54" s="39">
        <f>I54*J54/10000</f>
        <v>11.6965</v>
      </c>
      <c r="G54" s="39">
        <f t="shared" si="15"/>
        <v>11.6965</v>
      </c>
      <c r="H54" s="53" t="s">
        <v>135</v>
      </c>
      <c r="I54" s="175">
        <f>I51</f>
        <v>23393</v>
      </c>
      <c r="J54" s="227">
        <v>5</v>
      </c>
      <c r="K54" s="104"/>
      <c r="L54" s="225"/>
      <c r="M54" s="225"/>
      <c r="N54" s="225"/>
      <c r="O54" s="225"/>
      <c r="P54" s="225"/>
      <c r="Q54" s="225"/>
      <c r="R54" s="225"/>
      <c r="S54" s="225"/>
    </row>
    <row r="55" s="194" customFormat="1" ht="35" customHeight="1" spans="1:19">
      <c r="A55" s="31" t="s">
        <v>110</v>
      </c>
      <c r="B55" s="40" t="s">
        <v>111</v>
      </c>
      <c r="C55" s="20"/>
      <c r="D55" s="20"/>
      <c r="E55" s="20"/>
      <c r="F55" s="20">
        <f>I55*J55</f>
        <v>1057.34269912434</v>
      </c>
      <c r="G55" s="20">
        <f t="shared" si="15"/>
        <v>1057.34269912434</v>
      </c>
      <c r="H55" s="52" t="s">
        <v>93</v>
      </c>
      <c r="I55" s="20">
        <f>G37+G5</f>
        <v>13216.7837390543</v>
      </c>
      <c r="J55" s="68">
        <v>0.08</v>
      </c>
      <c r="K55" s="121">
        <f>G55/G56</f>
        <v>0.0740740740740741</v>
      </c>
      <c r="L55" s="188"/>
      <c r="M55" s="188"/>
      <c r="N55" s="188"/>
      <c r="O55" s="188"/>
      <c r="P55" s="188"/>
      <c r="Q55" s="188"/>
      <c r="R55" s="188"/>
      <c r="S55" s="188"/>
    </row>
    <row r="56" s="194" customFormat="1" ht="35" customHeight="1" spans="1:19">
      <c r="A56" s="41" t="s">
        <v>112</v>
      </c>
      <c r="B56" s="42" t="s">
        <v>113</v>
      </c>
      <c r="C56" s="54">
        <f>C5</f>
        <v>8996.6</v>
      </c>
      <c r="D56" s="54">
        <f>D5</f>
        <v>500</v>
      </c>
      <c r="E56" s="54">
        <f>E5</f>
        <v>2704.3585</v>
      </c>
      <c r="F56" s="54">
        <f>F37+F55</f>
        <v>2073.16793817863</v>
      </c>
      <c r="G56" s="54">
        <f>G5+G37+G55</f>
        <v>14274.1264381786</v>
      </c>
      <c r="H56" s="55" t="s">
        <v>135</v>
      </c>
      <c r="I56" s="70">
        <f>I54</f>
        <v>23393</v>
      </c>
      <c r="J56" s="178">
        <f>G56/I56*10000</f>
        <v>6101.87938194273</v>
      </c>
      <c r="K56" s="71">
        <v>1</v>
      </c>
      <c r="L56" s="188"/>
      <c r="M56" s="188"/>
      <c r="N56" s="188"/>
      <c r="O56" s="188"/>
      <c r="P56" s="188"/>
      <c r="Q56" s="188"/>
      <c r="R56" s="188"/>
      <c r="S56" s="188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61" orientation="landscape"/>
  <headerFooter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zoomScale="70" zoomScaleNormal="70" zoomScaleSheetLayoutView="85" topLeftCell="A8" workbookViewId="0">
      <selection activeCell="G19" sqref="G19:G20"/>
    </sheetView>
  </sheetViews>
  <sheetFormatPr defaultColWidth="10.2666666666667" defaultRowHeight="28" customHeight="1"/>
  <cols>
    <col min="1" max="1" width="11.4583333333333" style="7"/>
    <col min="2" max="2" width="52.2666666666667" style="8" customWidth="1"/>
    <col min="3" max="3" width="20.1833333333333" style="78"/>
    <col min="4" max="4" width="18.5416666666667" style="7"/>
    <col min="5" max="5" width="15.2666666666667" style="8" customWidth="1"/>
    <col min="6" max="6" width="13.5416666666667" style="8" customWidth="1"/>
    <col min="7" max="7" width="17.725" style="9" customWidth="1"/>
    <col min="8" max="8" width="10.2666666666667" style="7"/>
    <col min="9" max="9" width="20.1833333333333" style="78"/>
    <col min="10" max="10" width="20.2666666666667" style="78"/>
    <col min="11" max="11" width="17.725" style="8" customWidth="1"/>
    <col min="12" max="12" width="10.2666666666667" style="8"/>
    <col min="13" max="14" width="14.5416666666667" style="8"/>
    <col min="15" max="15" width="42" style="8" customWidth="1"/>
    <col min="16" max="16" width="27.725" style="8" customWidth="1"/>
    <col min="17" max="17" width="10.4583333333333" style="8"/>
    <col min="18" max="18" width="24.625" style="8" customWidth="1"/>
    <col min="19" max="19" width="15.5416666666667" style="8" customWidth="1"/>
    <col min="20" max="16384" width="10.2666666666667" style="8"/>
  </cols>
  <sheetData>
    <row r="1" ht="42" customHeight="1" spans="1:11">
      <c r="A1" s="79" t="s">
        <v>159</v>
      </c>
      <c r="B1" s="79"/>
      <c r="C1" s="80"/>
      <c r="D1" s="79"/>
      <c r="E1" s="79"/>
      <c r="F1" s="79"/>
      <c r="G1" s="98"/>
      <c r="H1" s="79"/>
      <c r="I1" s="80"/>
      <c r="J1" s="80"/>
      <c r="K1" s="79"/>
    </row>
    <row r="2" customHeight="1" spans="1:11">
      <c r="A2" s="11" t="s">
        <v>160</v>
      </c>
      <c r="B2" s="11"/>
      <c r="C2" s="81"/>
      <c r="D2" s="11"/>
      <c r="E2" s="11"/>
      <c r="F2" s="11"/>
      <c r="G2" s="45"/>
      <c r="H2" s="11"/>
      <c r="I2" s="81"/>
      <c r="J2" s="81"/>
      <c r="K2" s="11"/>
    </row>
    <row r="3" ht="18" spans="1:11">
      <c r="A3" s="12" t="s">
        <v>2</v>
      </c>
      <c r="B3" s="13" t="s">
        <v>3</v>
      </c>
      <c r="C3" s="14" t="s">
        <v>116</v>
      </c>
      <c r="D3" s="14"/>
      <c r="E3" s="14"/>
      <c r="F3" s="14"/>
      <c r="G3" s="46"/>
      <c r="H3" s="14" t="s">
        <v>5</v>
      </c>
      <c r="I3" s="100"/>
      <c r="J3" s="100"/>
      <c r="K3" s="56" t="s">
        <v>6</v>
      </c>
    </row>
    <row r="4" customHeight="1" spans="1:13">
      <c r="A4" s="15"/>
      <c r="B4" s="16"/>
      <c r="C4" s="16" t="s">
        <v>7</v>
      </c>
      <c r="D4" s="16" t="s">
        <v>9</v>
      </c>
      <c r="E4" s="16" t="s">
        <v>8</v>
      </c>
      <c r="F4" s="16" t="s">
        <v>10</v>
      </c>
      <c r="G4" s="47" t="s">
        <v>11</v>
      </c>
      <c r="H4" s="48" t="s">
        <v>12</v>
      </c>
      <c r="I4" s="48" t="s">
        <v>13</v>
      </c>
      <c r="J4" s="16" t="s">
        <v>14</v>
      </c>
      <c r="K4" s="57"/>
      <c r="M4" s="8">
        <f>4500-3200</f>
        <v>1300</v>
      </c>
    </row>
    <row r="5" s="1" customFormat="1" customHeight="1" spans="1:11">
      <c r="A5" s="17" t="s">
        <v>15</v>
      </c>
      <c r="B5" s="18" t="s">
        <v>16</v>
      </c>
      <c r="C5" s="20">
        <f t="shared" ref="C5:G5" si="0">C6+C16</f>
        <v>5836.51988</v>
      </c>
      <c r="D5" s="20">
        <f t="shared" si="0"/>
        <v>981.103972</v>
      </c>
      <c r="E5" s="20">
        <f t="shared" si="0"/>
        <v>1017.031948</v>
      </c>
      <c r="F5" s="20"/>
      <c r="G5" s="20">
        <f t="shared" si="0"/>
        <v>7834.6558</v>
      </c>
      <c r="H5" s="48" t="s">
        <v>17</v>
      </c>
      <c r="I5" s="20">
        <v>12134.97</v>
      </c>
      <c r="J5" s="20"/>
      <c r="K5" s="58">
        <f>G5/G59</f>
        <v>0.864709402364038</v>
      </c>
    </row>
    <row r="6" s="74" customFormat="1" customHeight="1" spans="1:16">
      <c r="A6" s="82" t="s">
        <v>18</v>
      </c>
      <c r="B6" s="83" t="s">
        <v>161</v>
      </c>
      <c r="C6" s="20">
        <f t="shared" ref="C6:G6" si="1">SUM(C7:C15)</f>
        <v>5460.7365</v>
      </c>
      <c r="D6" s="20">
        <f t="shared" si="1"/>
        <v>820.323972</v>
      </c>
      <c r="E6" s="20">
        <f t="shared" si="1"/>
        <v>947.031948</v>
      </c>
      <c r="F6" s="20"/>
      <c r="G6" s="20">
        <f t="shared" si="1"/>
        <v>7228.09242</v>
      </c>
      <c r="H6" s="48" t="s">
        <v>17</v>
      </c>
      <c r="I6" s="20">
        <v>12134.97</v>
      </c>
      <c r="J6" s="169">
        <f>G6/I6*10000</f>
        <v>5956.41556592229</v>
      </c>
      <c r="K6" s="101"/>
      <c r="N6" s="179" t="s">
        <v>162</v>
      </c>
      <c r="O6" s="179">
        <f>12134.97*300</f>
        <v>3640491</v>
      </c>
      <c r="P6" s="180"/>
    </row>
    <row r="7" s="2" customFormat="1" ht="33" customHeight="1" spans="1:16">
      <c r="A7" s="84">
        <v>1</v>
      </c>
      <c r="B7" s="85" t="s">
        <v>118</v>
      </c>
      <c r="C7" s="25">
        <f>I7*J7/10000</f>
        <v>5460.7365</v>
      </c>
      <c r="D7" s="25"/>
      <c r="E7" s="25"/>
      <c r="F7" s="49"/>
      <c r="G7" s="25">
        <f t="shared" ref="G7:G15" si="2">SUM(C7:F7)</f>
        <v>5460.7365</v>
      </c>
      <c r="H7" s="48" t="s">
        <v>17</v>
      </c>
      <c r="I7" s="25">
        <v>12134.97</v>
      </c>
      <c r="J7" s="170">
        <v>4500</v>
      </c>
      <c r="K7" s="59"/>
      <c r="N7" s="7" t="s">
        <v>163</v>
      </c>
      <c r="O7" s="7"/>
      <c r="P7" s="181"/>
    </row>
    <row r="8" s="2" customFormat="1" customHeight="1" spans="1:16">
      <c r="A8" s="84">
        <v>2</v>
      </c>
      <c r="B8" s="86" t="s">
        <v>164</v>
      </c>
      <c r="C8" s="25"/>
      <c r="D8" s="25">
        <f>I8*J8/10000*0.6</f>
        <v>203.867496</v>
      </c>
      <c r="E8" s="25">
        <f>I8*J8/10000*0.4</f>
        <v>135.911664</v>
      </c>
      <c r="F8" s="49"/>
      <c r="G8" s="25">
        <f t="shared" si="2"/>
        <v>339.77916</v>
      </c>
      <c r="H8" s="48" t="s">
        <v>17</v>
      </c>
      <c r="I8" s="25">
        <f>I6</f>
        <v>12134.97</v>
      </c>
      <c r="J8" s="170">
        <v>280</v>
      </c>
      <c r="K8" s="59"/>
      <c r="M8" s="2">
        <f>G7+G8+G9+G10+G12+G15</f>
        <v>6647.69362</v>
      </c>
      <c r="N8" s="7"/>
      <c r="O8" s="7"/>
      <c r="P8" s="7"/>
    </row>
    <row r="9" s="2" customFormat="1" customHeight="1" spans="1:18">
      <c r="A9" s="84">
        <v>3</v>
      </c>
      <c r="B9" s="87" t="s">
        <v>120</v>
      </c>
      <c r="C9" s="25"/>
      <c r="D9" s="25">
        <f>I9*J9/10000*0.7</f>
        <v>271.823328</v>
      </c>
      <c r="E9" s="25">
        <f>I9*J9/10000*0.3</f>
        <v>116.495712</v>
      </c>
      <c r="F9" s="49"/>
      <c r="G9" s="25">
        <f t="shared" si="2"/>
        <v>388.31904</v>
      </c>
      <c r="H9" s="48" t="s">
        <v>17</v>
      </c>
      <c r="I9" s="25">
        <f>I8</f>
        <v>12134.97</v>
      </c>
      <c r="J9" s="170">
        <v>320</v>
      </c>
      <c r="K9" s="59"/>
      <c r="M9" s="2">
        <f>M8/I7*10000</f>
        <v>5478.12942265205</v>
      </c>
      <c r="O9" s="109"/>
      <c r="P9" s="86"/>
      <c r="Q9" s="86"/>
      <c r="R9" s="86"/>
    </row>
    <row r="10" s="2" customFormat="1" customHeight="1" spans="1:18">
      <c r="A10" s="84">
        <v>4</v>
      </c>
      <c r="B10" s="86" t="s">
        <v>165</v>
      </c>
      <c r="C10" s="25"/>
      <c r="D10" s="25">
        <f>I10*J10/10000*0.3</f>
        <v>101.933748</v>
      </c>
      <c r="E10" s="25">
        <f>I10*J10/10000*0.7</f>
        <v>237.845412</v>
      </c>
      <c r="F10" s="49"/>
      <c r="G10" s="25">
        <f t="shared" si="2"/>
        <v>339.77916</v>
      </c>
      <c r="H10" s="48" t="s">
        <v>17</v>
      </c>
      <c r="I10" s="25">
        <f>I9</f>
        <v>12134.97</v>
      </c>
      <c r="J10" s="170">
        <v>280</v>
      </c>
      <c r="K10" s="59"/>
      <c r="O10" s="110"/>
      <c r="P10" s="86"/>
      <c r="Q10" s="86"/>
      <c r="R10" s="86"/>
    </row>
    <row r="11" s="2" customFormat="1" customHeight="1" spans="1:18">
      <c r="A11" s="84">
        <v>5</v>
      </c>
      <c r="B11" s="86" t="s">
        <v>166</v>
      </c>
      <c r="C11" s="25"/>
      <c r="D11" s="25">
        <f>I11*J11*0.3/10000</f>
        <v>145.61964</v>
      </c>
      <c r="E11" s="25">
        <f>I11*J11/10000*0.7</f>
        <v>339.77916</v>
      </c>
      <c r="F11" s="49"/>
      <c r="G11" s="25">
        <f t="shared" si="2"/>
        <v>485.3988</v>
      </c>
      <c r="H11" s="48" t="s">
        <v>17</v>
      </c>
      <c r="I11" s="25">
        <f>I6</f>
        <v>12134.97</v>
      </c>
      <c r="J11" s="170">
        <v>400</v>
      </c>
      <c r="K11" s="59"/>
      <c r="O11" s="110"/>
      <c r="P11" s="86"/>
      <c r="Q11" s="86"/>
      <c r="R11" s="86"/>
    </row>
    <row r="12" s="2" customFormat="1" customHeight="1" spans="1:18">
      <c r="A12" s="84">
        <v>6</v>
      </c>
      <c r="B12" s="86" t="s">
        <v>167</v>
      </c>
      <c r="C12" s="25"/>
      <c r="D12" s="25">
        <f>I12*J12/10000</f>
        <v>97.07976</v>
      </c>
      <c r="E12" s="25"/>
      <c r="F12" s="49"/>
      <c r="G12" s="25">
        <f t="shared" si="2"/>
        <v>97.07976</v>
      </c>
      <c r="H12" s="48" t="s">
        <v>17</v>
      </c>
      <c r="I12" s="25">
        <f>I10</f>
        <v>12134.97</v>
      </c>
      <c r="J12" s="170">
        <v>80</v>
      </c>
      <c r="K12" s="59"/>
      <c r="O12" s="110"/>
      <c r="P12" s="86"/>
      <c r="Q12" s="86"/>
      <c r="R12" s="86"/>
    </row>
    <row r="13" s="4" customFormat="1" customHeight="1" spans="1:18">
      <c r="A13" s="84">
        <v>7</v>
      </c>
      <c r="B13" s="86" t="s">
        <v>168</v>
      </c>
      <c r="C13" s="25"/>
      <c r="D13" s="25"/>
      <c r="E13" s="25">
        <f t="shared" ref="E13:E15" si="3">I13*J13/10000</f>
        <v>35</v>
      </c>
      <c r="F13" s="49"/>
      <c r="G13" s="25">
        <f t="shared" si="2"/>
        <v>35</v>
      </c>
      <c r="H13" s="48" t="s">
        <v>122</v>
      </c>
      <c r="I13" s="25">
        <v>1</v>
      </c>
      <c r="J13" s="170">
        <v>350000</v>
      </c>
      <c r="K13" s="59"/>
      <c r="O13" s="110"/>
      <c r="P13" s="86"/>
      <c r="Q13" s="86"/>
      <c r="R13" s="86"/>
    </row>
    <row r="14" s="4" customFormat="1" customHeight="1" spans="1:18">
      <c r="A14" s="84">
        <v>8</v>
      </c>
      <c r="B14" s="86" t="s">
        <v>169</v>
      </c>
      <c r="C14" s="25"/>
      <c r="D14" s="25"/>
      <c r="E14" s="25">
        <f t="shared" si="3"/>
        <v>60</v>
      </c>
      <c r="F14" s="49"/>
      <c r="G14" s="25">
        <f t="shared" si="2"/>
        <v>60</v>
      </c>
      <c r="H14" s="48" t="s">
        <v>122</v>
      </c>
      <c r="I14" s="25">
        <v>2</v>
      </c>
      <c r="J14" s="170">
        <v>300000</v>
      </c>
      <c r="K14" s="59"/>
      <c r="O14" s="110"/>
      <c r="P14" s="86"/>
      <c r="Q14" s="86"/>
      <c r="R14" s="86"/>
    </row>
    <row r="15" s="156" customFormat="1" customHeight="1" spans="1:18">
      <c r="A15" s="84">
        <v>9</v>
      </c>
      <c r="B15" s="3" t="s">
        <v>170</v>
      </c>
      <c r="C15" s="39"/>
      <c r="D15" s="39"/>
      <c r="E15" s="39">
        <f t="shared" si="3"/>
        <v>22</v>
      </c>
      <c r="F15" s="126"/>
      <c r="G15" s="39">
        <f t="shared" si="2"/>
        <v>22</v>
      </c>
      <c r="H15" s="53" t="s">
        <v>171</v>
      </c>
      <c r="I15" s="39">
        <v>55</v>
      </c>
      <c r="J15" s="171">
        <v>4000</v>
      </c>
      <c r="K15" s="66"/>
      <c r="O15" s="182"/>
      <c r="P15" s="3"/>
      <c r="Q15" s="3"/>
      <c r="R15" s="3"/>
    </row>
    <row r="16" s="5" customFormat="1" customHeight="1" spans="1:14">
      <c r="A16" s="21" t="s">
        <v>40</v>
      </c>
      <c r="B16" s="88" t="s">
        <v>125</v>
      </c>
      <c r="C16" s="20">
        <f t="shared" ref="C16:G16" si="4">C17+C18+C19+C20+C21+C22+C30+C34</f>
        <v>375.78338</v>
      </c>
      <c r="D16" s="20">
        <f t="shared" si="4"/>
        <v>160.78</v>
      </c>
      <c r="E16" s="20">
        <f t="shared" si="4"/>
        <v>70</v>
      </c>
      <c r="F16" s="20"/>
      <c r="G16" s="20">
        <f t="shared" si="4"/>
        <v>606.56338</v>
      </c>
      <c r="H16" s="52" t="s">
        <v>93</v>
      </c>
      <c r="I16" s="20"/>
      <c r="J16" s="169"/>
      <c r="K16" s="102"/>
      <c r="N16" s="5">
        <f>J8+J9+J10</f>
        <v>880</v>
      </c>
    </row>
    <row r="17" s="75" customFormat="1" customHeight="1" spans="1:11">
      <c r="A17" s="21">
        <v>1</v>
      </c>
      <c r="B17" s="88" t="s">
        <v>172</v>
      </c>
      <c r="C17" s="20">
        <f t="shared" ref="C17:C21" si="5">I17*J17/10000</f>
        <v>67.635</v>
      </c>
      <c r="D17" s="20"/>
      <c r="E17" s="20"/>
      <c r="F17" s="20"/>
      <c r="G17" s="20">
        <f t="shared" ref="G17:G19" si="6">SUM(C17:F17)</f>
        <v>67.635</v>
      </c>
      <c r="H17" s="52" t="s">
        <v>173</v>
      </c>
      <c r="I17" s="20">
        <v>15030</v>
      </c>
      <c r="J17" s="169">
        <v>45</v>
      </c>
      <c r="K17" s="102"/>
    </row>
    <row r="18" s="75" customFormat="1" customHeight="1" spans="1:11">
      <c r="A18" s="21">
        <v>2</v>
      </c>
      <c r="B18" s="22" t="s">
        <v>174</v>
      </c>
      <c r="C18" s="159">
        <f t="shared" si="5"/>
        <v>164.60268</v>
      </c>
      <c r="D18" s="22"/>
      <c r="E18" s="22"/>
      <c r="F18" s="22"/>
      <c r="G18" s="159">
        <f t="shared" si="6"/>
        <v>164.60268</v>
      </c>
      <c r="H18" s="166" t="s">
        <v>17</v>
      </c>
      <c r="I18" s="159">
        <v>7481.94</v>
      </c>
      <c r="J18" s="172">
        <v>220</v>
      </c>
      <c r="K18" s="102"/>
    </row>
    <row r="19" s="157" customFormat="1" customHeight="1" spans="1:19">
      <c r="A19" s="160">
        <v>3</v>
      </c>
      <c r="B19" s="161" t="s">
        <v>175</v>
      </c>
      <c r="C19" s="159">
        <f t="shared" si="5"/>
        <v>70.98</v>
      </c>
      <c r="D19" s="22"/>
      <c r="E19" s="22"/>
      <c r="F19" s="22"/>
      <c r="G19" s="159">
        <f t="shared" si="6"/>
        <v>70.98</v>
      </c>
      <c r="H19" s="166" t="s">
        <v>17</v>
      </c>
      <c r="I19" s="159">
        <v>2730</v>
      </c>
      <c r="J19" s="172">
        <v>260</v>
      </c>
      <c r="K19" s="173"/>
      <c r="O19" s="183"/>
      <c r="P19" s="161"/>
      <c r="Q19" s="161"/>
      <c r="R19" s="161"/>
      <c r="S19" s="161"/>
    </row>
    <row r="20" s="157" customFormat="1" customHeight="1" spans="1:19">
      <c r="A20" s="160">
        <v>4</v>
      </c>
      <c r="B20" s="161" t="s">
        <v>176</v>
      </c>
      <c r="C20" s="159">
        <f t="shared" si="5"/>
        <v>11.592</v>
      </c>
      <c r="D20" s="22"/>
      <c r="E20" s="22"/>
      <c r="F20" s="22"/>
      <c r="G20" s="159">
        <f>C20</f>
        <v>11.592</v>
      </c>
      <c r="H20" s="166" t="s">
        <v>17</v>
      </c>
      <c r="I20" s="159">
        <v>504</v>
      </c>
      <c r="J20" s="172">
        <v>230</v>
      </c>
      <c r="K20" s="173"/>
      <c r="O20" s="184"/>
      <c r="P20" s="161"/>
      <c r="Q20" s="161"/>
      <c r="R20" s="161"/>
      <c r="S20" s="161"/>
    </row>
    <row r="21" s="75" customFormat="1" customHeight="1" spans="1:19">
      <c r="A21" s="21">
        <v>5</v>
      </c>
      <c r="B21" s="22" t="s">
        <v>128</v>
      </c>
      <c r="C21" s="159">
        <f t="shared" si="5"/>
        <v>21.1737</v>
      </c>
      <c r="D21" s="20"/>
      <c r="E21" s="20"/>
      <c r="F21" s="95"/>
      <c r="G21" s="20">
        <f t="shared" ref="G21:G38" si="7">SUM(C21:F21)</f>
        <v>21.1737</v>
      </c>
      <c r="H21" s="52" t="s">
        <v>17</v>
      </c>
      <c r="I21" s="159">
        <v>1411.58</v>
      </c>
      <c r="J21" s="172">
        <v>150</v>
      </c>
      <c r="K21" s="102"/>
      <c r="O21" s="112"/>
      <c r="P21" s="113"/>
      <c r="Q21" s="113"/>
      <c r="R21" s="113"/>
      <c r="S21" s="113"/>
    </row>
    <row r="22" s="75" customFormat="1" ht="37" customHeight="1" spans="1:19">
      <c r="A22" s="21">
        <v>6</v>
      </c>
      <c r="B22" s="161" t="s">
        <v>131</v>
      </c>
      <c r="C22" s="105">
        <f t="shared" ref="C22:G22" si="8">SUM(C23:C29)</f>
        <v>30.8</v>
      </c>
      <c r="D22" s="105">
        <f t="shared" si="8"/>
        <v>36.78</v>
      </c>
      <c r="E22" s="105"/>
      <c r="F22" s="105"/>
      <c r="G22" s="105">
        <f t="shared" si="8"/>
        <v>67.58</v>
      </c>
      <c r="H22" s="52" t="s">
        <v>17</v>
      </c>
      <c r="I22" s="105">
        <f>I12</f>
        <v>12134.97</v>
      </c>
      <c r="J22" s="174">
        <f>G22/I22*10000</f>
        <v>55.690290128447</v>
      </c>
      <c r="K22" s="102"/>
      <c r="O22" s="112"/>
      <c r="P22" s="113"/>
      <c r="Q22" s="113"/>
      <c r="R22" s="113"/>
      <c r="S22" s="113"/>
    </row>
    <row r="23" s="157" customFormat="1" ht="37" customHeight="1" spans="1:19">
      <c r="A23" s="162">
        <v>6.1</v>
      </c>
      <c r="B23" s="3" t="s">
        <v>177</v>
      </c>
      <c r="C23" s="29"/>
      <c r="D23" s="30">
        <f t="shared" ref="D23:D27" si="9">I23*J23/10000</f>
        <v>9.6</v>
      </c>
      <c r="E23" s="165"/>
      <c r="F23" s="167"/>
      <c r="G23" s="30">
        <f t="shared" si="7"/>
        <v>9.6</v>
      </c>
      <c r="H23" s="53" t="s">
        <v>32</v>
      </c>
      <c r="I23" s="29">
        <v>300</v>
      </c>
      <c r="J23" s="171">
        <v>320</v>
      </c>
      <c r="K23" s="173"/>
      <c r="O23" s="185"/>
      <c r="P23" s="186"/>
      <c r="Q23" s="186"/>
      <c r="R23" s="186"/>
      <c r="S23" s="186"/>
    </row>
    <row r="24" s="157" customFormat="1" ht="37" customHeight="1" spans="1:19">
      <c r="A24" s="162">
        <v>6.2</v>
      </c>
      <c r="B24" s="3" t="s">
        <v>178</v>
      </c>
      <c r="C24" s="29"/>
      <c r="D24" s="30">
        <f t="shared" si="9"/>
        <v>24</v>
      </c>
      <c r="E24" s="165"/>
      <c r="F24" s="167"/>
      <c r="G24" s="30">
        <f t="shared" si="7"/>
        <v>24</v>
      </c>
      <c r="H24" s="53" t="s">
        <v>32</v>
      </c>
      <c r="I24" s="29">
        <v>800</v>
      </c>
      <c r="J24" s="171">
        <v>300</v>
      </c>
      <c r="K24" s="173"/>
      <c r="O24" s="185"/>
      <c r="P24" s="186"/>
      <c r="Q24" s="186"/>
      <c r="R24" s="186"/>
      <c r="S24" s="186"/>
    </row>
    <row r="25" s="157" customFormat="1" ht="37" customHeight="1" spans="1:19">
      <c r="A25" s="162">
        <v>6.3</v>
      </c>
      <c r="B25" s="3" t="s">
        <v>179</v>
      </c>
      <c r="C25" s="29"/>
      <c r="D25" s="30">
        <f t="shared" si="9"/>
        <v>0.3</v>
      </c>
      <c r="E25" s="165"/>
      <c r="F25" s="167"/>
      <c r="G25" s="30">
        <f t="shared" si="7"/>
        <v>0.3</v>
      </c>
      <c r="H25" s="53" t="s">
        <v>180</v>
      </c>
      <c r="I25" s="29">
        <v>2</v>
      </c>
      <c r="J25" s="171">
        <v>1500</v>
      </c>
      <c r="K25" s="173"/>
      <c r="O25" s="185"/>
      <c r="P25" s="186"/>
      <c r="Q25" s="186"/>
      <c r="R25" s="186"/>
      <c r="S25" s="186"/>
    </row>
    <row r="26" s="157" customFormat="1" ht="37" customHeight="1" spans="1:19">
      <c r="A26" s="162">
        <v>6.4</v>
      </c>
      <c r="B26" s="3" t="s">
        <v>181</v>
      </c>
      <c r="C26" s="29"/>
      <c r="D26" s="30">
        <f t="shared" si="9"/>
        <v>1.2</v>
      </c>
      <c r="E26" s="165"/>
      <c r="F26" s="167"/>
      <c r="G26" s="30">
        <f t="shared" si="7"/>
        <v>1.2</v>
      </c>
      <c r="H26" s="53" t="s">
        <v>130</v>
      </c>
      <c r="I26" s="29">
        <v>1</v>
      </c>
      <c r="J26" s="171">
        <v>12000</v>
      </c>
      <c r="K26" s="173"/>
      <c r="O26" s="185"/>
      <c r="P26" s="186"/>
      <c r="Q26" s="186"/>
      <c r="R26" s="186"/>
      <c r="S26" s="186"/>
    </row>
    <row r="27" s="157" customFormat="1" ht="37" customHeight="1" spans="1:19">
      <c r="A27" s="162">
        <v>6.5</v>
      </c>
      <c r="B27" s="3" t="s">
        <v>182</v>
      </c>
      <c r="C27" s="29"/>
      <c r="D27" s="30">
        <f t="shared" si="9"/>
        <v>1.68</v>
      </c>
      <c r="E27" s="165"/>
      <c r="F27" s="167"/>
      <c r="G27" s="30">
        <f t="shared" si="7"/>
        <v>1.68</v>
      </c>
      <c r="H27" s="53" t="s">
        <v>130</v>
      </c>
      <c r="I27" s="29">
        <v>12</v>
      </c>
      <c r="J27" s="171">
        <v>1400</v>
      </c>
      <c r="K27" s="173"/>
      <c r="O27" s="185"/>
      <c r="P27" s="186"/>
      <c r="Q27" s="186"/>
      <c r="R27" s="186"/>
      <c r="S27" s="186"/>
    </row>
    <row r="28" s="157" customFormat="1" ht="37" customHeight="1" spans="1:19">
      <c r="A28" s="162">
        <v>6.6</v>
      </c>
      <c r="B28" s="3" t="s">
        <v>183</v>
      </c>
      <c r="C28" s="29">
        <f t="shared" ref="C28:C33" si="10">I28*J28/10000</f>
        <v>18</v>
      </c>
      <c r="D28" s="30"/>
      <c r="E28" s="165"/>
      <c r="F28" s="167"/>
      <c r="G28" s="30">
        <f t="shared" si="7"/>
        <v>18</v>
      </c>
      <c r="H28" s="53" t="s">
        <v>130</v>
      </c>
      <c r="I28" s="29">
        <v>1</v>
      </c>
      <c r="J28" s="171">
        <v>180000</v>
      </c>
      <c r="K28" s="173"/>
      <c r="O28" s="185"/>
      <c r="P28" s="186"/>
      <c r="Q28" s="186"/>
      <c r="R28" s="186"/>
      <c r="S28" s="186"/>
    </row>
    <row r="29" s="157" customFormat="1" ht="37" customHeight="1" spans="1:19">
      <c r="A29" s="162">
        <v>6.7</v>
      </c>
      <c r="B29" s="3" t="s">
        <v>184</v>
      </c>
      <c r="C29" s="29">
        <f t="shared" si="10"/>
        <v>12.8</v>
      </c>
      <c r="D29" s="30"/>
      <c r="E29" s="165"/>
      <c r="F29" s="167"/>
      <c r="G29" s="30">
        <f t="shared" si="7"/>
        <v>12.8</v>
      </c>
      <c r="H29" s="53" t="s">
        <v>130</v>
      </c>
      <c r="I29" s="29">
        <v>16</v>
      </c>
      <c r="J29" s="171">
        <v>8000</v>
      </c>
      <c r="K29" s="173"/>
      <c r="O29" s="185"/>
      <c r="P29" s="186"/>
      <c r="Q29" s="186"/>
      <c r="R29" s="186"/>
      <c r="S29" s="186"/>
    </row>
    <row r="30" s="157" customFormat="1" customHeight="1" spans="1:19">
      <c r="A30" s="160">
        <v>7</v>
      </c>
      <c r="B30" s="161" t="s">
        <v>132</v>
      </c>
      <c r="C30" s="105">
        <f>SUM(C31:C33)</f>
        <v>4.2</v>
      </c>
      <c r="D30" s="159">
        <f>SUM(D31:D33)</f>
        <v>24</v>
      </c>
      <c r="E30" s="165"/>
      <c r="F30" s="167"/>
      <c r="G30" s="165">
        <f t="shared" si="7"/>
        <v>28.2</v>
      </c>
      <c r="H30" s="168" t="s">
        <v>17</v>
      </c>
      <c r="I30" s="105">
        <f>I12</f>
        <v>12134.97</v>
      </c>
      <c r="J30" s="174">
        <f>G30/I30*10000</f>
        <v>23.2386235812697</v>
      </c>
      <c r="K30" s="173"/>
      <c r="O30" s="185"/>
      <c r="P30" s="186"/>
      <c r="Q30" s="186"/>
      <c r="R30" s="186"/>
      <c r="S30" s="186"/>
    </row>
    <row r="31" s="157" customFormat="1" customHeight="1" spans="1:19">
      <c r="A31" s="125">
        <v>7.1</v>
      </c>
      <c r="B31" s="3" t="s">
        <v>185</v>
      </c>
      <c r="C31" s="29"/>
      <c r="D31" s="30">
        <f>I31*J31/10000</f>
        <v>24</v>
      </c>
      <c r="E31" s="165"/>
      <c r="F31" s="167"/>
      <c r="G31" s="39">
        <f t="shared" si="7"/>
        <v>24</v>
      </c>
      <c r="H31" s="53" t="s">
        <v>32</v>
      </c>
      <c r="I31" s="29">
        <v>300</v>
      </c>
      <c r="J31" s="171">
        <v>800</v>
      </c>
      <c r="K31" s="173"/>
      <c r="O31" s="185"/>
      <c r="P31" s="186"/>
      <c r="Q31" s="186"/>
      <c r="R31" s="186"/>
      <c r="S31" s="186"/>
    </row>
    <row r="32" s="157" customFormat="1" customHeight="1" spans="1:19">
      <c r="A32" s="125">
        <v>7.2</v>
      </c>
      <c r="B32" s="3" t="s">
        <v>186</v>
      </c>
      <c r="C32" s="29">
        <f t="shared" si="10"/>
        <v>2.4</v>
      </c>
      <c r="D32" s="30"/>
      <c r="E32" s="165"/>
      <c r="F32" s="167"/>
      <c r="G32" s="39">
        <f t="shared" si="7"/>
        <v>2.4</v>
      </c>
      <c r="H32" s="53" t="s">
        <v>130</v>
      </c>
      <c r="I32" s="29">
        <v>2</v>
      </c>
      <c r="J32" s="171">
        <v>12000</v>
      </c>
      <c r="K32" s="173"/>
      <c r="O32" s="185"/>
      <c r="P32" s="186"/>
      <c r="Q32" s="186"/>
      <c r="R32" s="186"/>
      <c r="S32" s="186"/>
    </row>
    <row r="33" s="157" customFormat="1" customHeight="1" spans="1:19">
      <c r="A33" s="125">
        <v>7.3</v>
      </c>
      <c r="B33" s="3" t="s">
        <v>187</v>
      </c>
      <c r="C33" s="29">
        <f t="shared" si="10"/>
        <v>1.8</v>
      </c>
      <c r="D33" s="30"/>
      <c r="E33" s="165"/>
      <c r="F33" s="167"/>
      <c r="G33" s="39">
        <f t="shared" si="7"/>
        <v>1.8</v>
      </c>
      <c r="H33" s="53" t="s">
        <v>130</v>
      </c>
      <c r="I33" s="29">
        <v>1</v>
      </c>
      <c r="J33" s="171">
        <v>18000</v>
      </c>
      <c r="K33" s="173"/>
      <c r="O33" s="185"/>
      <c r="P33" s="186"/>
      <c r="Q33" s="186"/>
      <c r="R33" s="186"/>
      <c r="S33" s="186"/>
    </row>
    <row r="34" s="157" customFormat="1" customHeight="1" spans="1:19">
      <c r="A34" s="160">
        <v>8</v>
      </c>
      <c r="B34" s="161" t="s">
        <v>133</v>
      </c>
      <c r="C34" s="159">
        <f>SUM(C35:C38)</f>
        <v>4.8</v>
      </c>
      <c r="D34" s="159">
        <f>SUM(D35:D38)</f>
        <v>100</v>
      </c>
      <c r="E34" s="159">
        <f>SUM(E35:E38)</f>
        <v>70</v>
      </c>
      <c r="F34" s="159"/>
      <c r="G34" s="165">
        <f t="shared" si="7"/>
        <v>174.8</v>
      </c>
      <c r="H34" s="168" t="s">
        <v>17</v>
      </c>
      <c r="I34" s="105">
        <f>I12</f>
        <v>12134.97</v>
      </c>
      <c r="J34" s="174">
        <f>G34/I34*10000</f>
        <v>144.046503617232</v>
      </c>
      <c r="K34" s="173"/>
      <c r="O34" s="185"/>
      <c r="P34" s="186"/>
      <c r="Q34" s="186"/>
      <c r="R34" s="186"/>
      <c r="S34" s="186"/>
    </row>
    <row r="35" s="157" customFormat="1" customHeight="1" spans="1:19">
      <c r="A35" s="125">
        <v>8.1</v>
      </c>
      <c r="B35" s="3" t="s">
        <v>188</v>
      </c>
      <c r="C35" s="29"/>
      <c r="D35" s="30">
        <f>I35*J35/10000</f>
        <v>90</v>
      </c>
      <c r="E35" s="165"/>
      <c r="F35" s="167"/>
      <c r="G35" s="39">
        <f t="shared" si="7"/>
        <v>90</v>
      </c>
      <c r="H35" s="53" t="s">
        <v>32</v>
      </c>
      <c r="I35" s="29">
        <v>1500</v>
      </c>
      <c r="J35" s="171">
        <v>600</v>
      </c>
      <c r="K35" s="173"/>
      <c r="O35" s="185"/>
      <c r="P35" s="186"/>
      <c r="Q35" s="186"/>
      <c r="R35" s="186"/>
      <c r="S35" s="186"/>
    </row>
    <row r="36" s="157" customFormat="1" customHeight="1" spans="1:19">
      <c r="A36" s="125">
        <v>8.2</v>
      </c>
      <c r="B36" s="3" t="s">
        <v>189</v>
      </c>
      <c r="C36" s="29">
        <f>I36*J36/10000</f>
        <v>4.8</v>
      </c>
      <c r="D36" s="30"/>
      <c r="E36" s="165"/>
      <c r="F36" s="167"/>
      <c r="G36" s="39">
        <f t="shared" si="7"/>
        <v>4.8</v>
      </c>
      <c r="H36" s="53" t="s">
        <v>130</v>
      </c>
      <c r="I36" s="29">
        <v>6</v>
      </c>
      <c r="J36" s="171">
        <v>8000</v>
      </c>
      <c r="K36" s="173"/>
      <c r="O36" s="185"/>
      <c r="P36" s="186"/>
      <c r="Q36" s="186"/>
      <c r="R36" s="186"/>
      <c r="S36" s="186"/>
    </row>
    <row r="37" s="157" customFormat="1" customHeight="1" spans="1:19">
      <c r="A37" s="125">
        <v>8.3</v>
      </c>
      <c r="B37" s="3" t="s">
        <v>190</v>
      </c>
      <c r="C37" s="29"/>
      <c r="D37" s="30">
        <f>I37*J37/10000</f>
        <v>10</v>
      </c>
      <c r="E37" s="165"/>
      <c r="F37" s="167"/>
      <c r="G37" s="39">
        <f t="shared" si="7"/>
        <v>10</v>
      </c>
      <c r="H37" s="53" t="s">
        <v>191</v>
      </c>
      <c r="I37" s="29">
        <v>20</v>
      </c>
      <c r="J37" s="171">
        <v>5000</v>
      </c>
      <c r="K37" s="173"/>
      <c r="O37" s="185"/>
      <c r="P37" s="186"/>
      <c r="Q37" s="186"/>
      <c r="R37" s="186"/>
      <c r="S37" s="186"/>
    </row>
    <row r="38" s="157" customFormat="1" customHeight="1" spans="1:19">
      <c r="A38" s="125">
        <v>8.4</v>
      </c>
      <c r="B38" s="3" t="s">
        <v>192</v>
      </c>
      <c r="C38" s="29"/>
      <c r="D38" s="30"/>
      <c r="E38" s="165">
        <f>I38*J38/10000</f>
        <v>70</v>
      </c>
      <c r="F38" s="167"/>
      <c r="G38" s="39">
        <f t="shared" si="7"/>
        <v>70</v>
      </c>
      <c r="H38" s="53" t="s">
        <v>193</v>
      </c>
      <c r="I38" s="29">
        <v>2</v>
      </c>
      <c r="J38" s="171">
        <v>350000</v>
      </c>
      <c r="K38" s="173"/>
      <c r="O38" s="185"/>
      <c r="P38" s="186"/>
      <c r="Q38" s="186"/>
      <c r="R38" s="186"/>
      <c r="S38" s="186"/>
    </row>
    <row r="39" s="158" customFormat="1" customHeight="1" spans="1:15">
      <c r="A39" s="163" t="s">
        <v>91</v>
      </c>
      <c r="B39" s="164" t="s">
        <v>92</v>
      </c>
      <c r="C39" s="165"/>
      <c r="D39" s="165"/>
      <c r="E39" s="165"/>
      <c r="F39" s="165">
        <f>SUM(F40:F57)</f>
        <v>554.64921518</v>
      </c>
      <c r="G39" s="165">
        <f>SUM(G40:G57)</f>
        <v>554.64921518</v>
      </c>
      <c r="H39" s="168" t="s">
        <v>93</v>
      </c>
      <c r="I39" s="105"/>
      <c r="J39" s="105"/>
      <c r="K39" s="108">
        <f>G39/G59</f>
        <v>0.0612165235618878</v>
      </c>
      <c r="O39" s="187" t="s">
        <v>194</v>
      </c>
    </row>
    <row r="40" s="6" customFormat="1" customHeight="1" spans="1:11">
      <c r="A40" s="93">
        <v>1</v>
      </c>
      <c r="B40" s="37" t="s">
        <v>94</v>
      </c>
      <c r="C40" s="39"/>
      <c r="D40" s="39"/>
      <c r="E40" s="39"/>
      <c r="F40" s="39">
        <f t="shared" ref="F40:F43" si="11">I40*J40</f>
        <v>47.0079348</v>
      </c>
      <c r="G40" s="39">
        <f t="shared" ref="G40:G58" si="12">F40</f>
        <v>47.0079348</v>
      </c>
      <c r="H40" s="53" t="s">
        <v>93</v>
      </c>
      <c r="I40" s="175">
        <f>G5</f>
        <v>7834.6558</v>
      </c>
      <c r="J40" s="65">
        <v>0.006</v>
      </c>
      <c r="K40" s="104"/>
    </row>
    <row r="41" s="6" customFormat="1" customHeight="1" spans="1:11">
      <c r="A41" s="93">
        <v>2</v>
      </c>
      <c r="B41" s="37" t="s">
        <v>95</v>
      </c>
      <c r="C41" s="39"/>
      <c r="D41" s="39"/>
      <c r="E41" s="39"/>
      <c r="F41" s="39">
        <f t="shared" si="11"/>
        <v>78.346558</v>
      </c>
      <c r="G41" s="39">
        <f t="shared" si="12"/>
        <v>78.346558</v>
      </c>
      <c r="H41" s="53" t="s">
        <v>93</v>
      </c>
      <c r="I41" s="175">
        <f>G5</f>
        <v>7834.6558</v>
      </c>
      <c r="J41" s="65">
        <v>0.01</v>
      </c>
      <c r="K41" s="104"/>
    </row>
    <row r="42" s="6" customFormat="1" customHeight="1" spans="1:11">
      <c r="A42" s="93">
        <v>3</v>
      </c>
      <c r="B42" s="37" t="s">
        <v>195</v>
      </c>
      <c r="C42" s="39"/>
      <c r="D42" s="39"/>
      <c r="E42" s="39"/>
      <c r="F42" s="39">
        <f t="shared" si="11"/>
        <v>19.5866395</v>
      </c>
      <c r="G42" s="39">
        <f t="shared" si="12"/>
        <v>19.5866395</v>
      </c>
      <c r="H42" s="53" t="s">
        <v>93</v>
      </c>
      <c r="I42" s="175">
        <f>G5</f>
        <v>7834.6558</v>
      </c>
      <c r="J42" s="65">
        <v>0.0025</v>
      </c>
      <c r="K42" s="104"/>
    </row>
    <row r="43" s="6" customFormat="1" customHeight="1" spans="1:11">
      <c r="A43" s="93">
        <v>4</v>
      </c>
      <c r="B43" s="37" t="s">
        <v>97</v>
      </c>
      <c r="C43" s="39"/>
      <c r="D43" s="39"/>
      <c r="E43" s="39"/>
      <c r="F43" s="39">
        <f t="shared" si="11"/>
        <v>148.8584602</v>
      </c>
      <c r="G43" s="39">
        <f t="shared" si="12"/>
        <v>148.8584602</v>
      </c>
      <c r="H43" s="53" t="s">
        <v>93</v>
      </c>
      <c r="I43" s="175">
        <f>G5</f>
        <v>7834.6558</v>
      </c>
      <c r="J43" s="65">
        <v>0.019</v>
      </c>
      <c r="K43" s="104"/>
    </row>
    <row r="44" s="6" customFormat="1" customHeight="1" spans="1:11">
      <c r="A44" s="93">
        <v>5</v>
      </c>
      <c r="B44" s="37" t="s">
        <v>196</v>
      </c>
      <c r="C44" s="39"/>
      <c r="D44" s="39"/>
      <c r="E44" s="39"/>
      <c r="F44" s="39">
        <f>I44*J44/10000</f>
        <v>4.4899389</v>
      </c>
      <c r="G44" s="39">
        <f t="shared" si="12"/>
        <v>4.4899389</v>
      </c>
      <c r="H44" s="53" t="s">
        <v>135</v>
      </c>
      <c r="I44" s="175">
        <f>I5</f>
        <v>12134.97</v>
      </c>
      <c r="J44" s="176">
        <v>3.7</v>
      </c>
      <c r="K44" s="104"/>
    </row>
    <row r="45" s="6" customFormat="1" customHeight="1" spans="1:11">
      <c r="A45" s="93">
        <v>6</v>
      </c>
      <c r="B45" s="37" t="s">
        <v>197</v>
      </c>
      <c r="C45" s="39"/>
      <c r="D45" s="39"/>
      <c r="E45" s="39"/>
      <c r="F45" s="39">
        <f>I45*J45*0.9</f>
        <v>42.30714132</v>
      </c>
      <c r="G45" s="39">
        <f t="shared" si="12"/>
        <v>42.30714132</v>
      </c>
      <c r="H45" s="53" t="s">
        <v>93</v>
      </c>
      <c r="I45" s="175">
        <f>G5</f>
        <v>7834.6558</v>
      </c>
      <c r="J45" s="65">
        <v>0.006</v>
      </c>
      <c r="K45" s="104"/>
    </row>
    <row r="46" s="6" customFormat="1" customHeight="1" spans="1:11">
      <c r="A46" s="93">
        <v>7</v>
      </c>
      <c r="B46" s="37" t="s">
        <v>138</v>
      </c>
      <c r="C46" s="39"/>
      <c r="D46" s="39"/>
      <c r="E46" s="39"/>
      <c r="F46" s="39">
        <f t="shared" ref="F46:F52" si="13">I46*J46</f>
        <v>40.74021016</v>
      </c>
      <c r="G46" s="39">
        <f t="shared" si="12"/>
        <v>40.74021016</v>
      </c>
      <c r="H46" s="53" t="s">
        <v>93</v>
      </c>
      <c r="I46" s="175">
        <f>G5</f>
        <v>7834.6558</v>
      </c>
      <c r="J46" s="65">
        <v>0.0052</v>
      </c>
      <c r="K46" s="104"/>
    </row>
    <row r="47" s="6" customFormat="1" customHeight="1" spans="1:11">
      <c r="A47" s="93">
        <v>8</v>
      </c>
      <c r="B47" s="37" t="s">
        <v>102</v>
      </c>
      <c r="C47" s="39"/>
      <c r="D47" s="39"/>
      <c r="E47" s="39"/>
      <c r="F47" s="39">
        <f>1+2.8+2.75+14+(I47-5000)*0.002*0.8</f>
        <v>25.08544928</v>
      </c>
      <c r="G47" s="39">
        <f t="shared" si="12"/>
        <v>25.08544928</v>
      </c>
      <c r="H47" s="53" t="s">
        <v>93</v>
      </c>
      <c r="I47" s="175">
        <f>G5</f>
        <v>7834.6558</v>
      </c>
      <c r="J47" s="65">
        <f t="shared" ref="J47:J50" si="14">G47/I47</f>
        <v>0.00320185722517638</v>
      </c>
      <c r="K47" s="104"/>
    </row>
    <row r="48" s="6" customFormat="1" customHeight="1" spans="1:11">
      <c r="A48" s="93">
        <v>9</v>
      </c>
      <c r="B48" s="37" t="s">
        <v>139</v>
      </c>
      <c r="C48" s="39"/>
      <c r="D48" s="39"/>
      <c r="E48" s="39"/>
      <c r="F48" s="39">
        <f t="shared" si="13"/>
        <v>39.173279</v>
      </c>
      <c r="G48" s="39">
        <f t="shared" si="12"/>
        <v>39.173279</v>
      </c>
      <c r="H48" s="53" t="s">
        <v>93</v>
      </c>
      <c r="I48" s="175">
        <f>G5</f>
        <v>7834.6558</v>
      </c>
      <c r="J48" s="65">
        <v>0.005</v>
      </c>
      <c r="K48" s="104"/>
    </row>
    <row r="49" s="6" customFormat="1" customHeight="1" spans="1:11">
      <c r="A49" s="93">
        <v>10</v>
      </c>
      <c r="B49" s="37" t="s">
        <v>198</v>
      </c>
      <c r="C49" s="39"/>
      <c r="D49" s="39"/>
      <c r="E49" s="39"/>
      <c r="F49" s="39">
        <v>22</v>
      </c>
      <c r="G49" s="39">
        <f t="shared" si="12"/>
        <v>22</v>
      </c>
      <c r="H49" s="53" t="s">
        <v>93</v>
      </c>
      <c r="I49" s="175">
        <f>I48</f>
        <v>7834.6558</v>
      </c>
      <c r="J49" s="65">
        <f t="shared" si="14"/>
        <v>0.0028080365700303</v>
      </c>
      <c r="K49" s="104"/>
    </row>
    <row r="50" s="6" customFormat="1" customHeight="1" spans="1:11">
      <c r="A50" s="93">
        <v>11</v>
      </c>
      <c r="B50" s="37" t="s">
        <v>199</v>
      </c>
      <c r="C50" s="39"/>
      <c r="D50" s="39"/>
      <c r="E50" s="39"/>
      <c r="F50" s="39">
        <v>8.5</v>
      </c>
      <c r="G50" s="39">
        <f t="shared" si="12"/>
        <v>8.5</v>
      </c>
      <c r="H50" s="53" t="s">
        <v>93</v>
      </c>
      <c r="I50" s="175">
        <f>I49</f>
        <v>7834.6558</v>
      </c>
      <c r="J50" s="65">
        <f t="shared" si="14"/>
        <v>0.00108492322023898</v>
      </c>
      <c r="K50" s="104"/>
    </row>
    <row r="51" s="6" customFormat="1" customHeight="1" spans="1:11">
      <c r="A51" s="93">
        <v>12</v>
      </c>
      <c r="B51" s="37" t="s">
        <v>200</v>
      </c>
      <c r="C51" s="39"/>
      <c r="D51" s="39"/>
      <c r="E51" s="39"/>
      <c r="F51" s="39">
        <f t="shared" si="13"/>
        <v>23.5039674</v>
      </c>
      <c r="G51" s="39">
        <f t="shared" si="12"/>
        <v>23.5039674</v>
      </c>
      <c r="H51" s="53" t="s">
        <v>93</v>
      </c>
      <c r="I51" s="175">
        <f>G5</f>
        <v>7834.6558</v>
      </c>
      <c r="J51" s="65">
        <v>0.003</v>
      </c>
      <c r="K51" s="104"/>
    </row>
    <row r="52" s="6" customFormat="1" customHeight="1" spans="1:11">
      <c r="A52" s="93">
        <v>13</v>
      </c>
      <c r="B52" s="37" t="s">
        <v>201</v>
      </c>
      <c r="C52" s="39"/>
      <c r="D52" s="39"/>
      <c r="E52" s="39"/>
      <c r="F52" s="39">
        <f t="shared" si="13"/>
        <v>15.6693116</v>
      </c>
      <c r="G52" s="39">
        <f t="shared" si="12"/>
        <v>15.6693116</v>
      </c>
      <c r="H52" s="53" t="s">
        <v>93</v>
      </c>
      <c r="I52" s="175">
        <f>G5</f>
        <v>7834.6558</v>
      </c>
      <c r="J52" s="65">
        <v>0.002</v>
      </c>
      <c r="K52" s="104"/>
    </row>
    <row r="53" s="6" customFormat="1" customHeight="1" spans="1:11">
      <c r="A53" s="93">
        <v>14</v>
      </c>
      <c r="B53" s="37" t="s">
        <v>144</v>
      </c>
      <c r="C53" s="39"/>
      <c r="D53" s="39"/>
      <c r="E53" s="39"/>
      <c r="F53" s="39">
        <f>I53*2/10000</f>
        <v>2.426994</v>
      </c>
      <c r="G53" s="39">
        <f t="shared" si="12"/>
        <v>2.426994</v>
      </c>
      <c r="H53" s="53" t="s">
        <v>135</v>
      </c>
      <c r="I53" s="175">
        <f>I7</f>
        <v>12134.97</v>
      </c>
      <c r="J53" s="29">
        <v>2</v>
      </c>
      <c r="K53" s="104"/>
    </row>
    <row r="54" s="6" customFormat="1" customHeight="1" spans="1:11">
      <c r="A54" s="93">
        <v>15</v>
      </c>
      <c r="B54" s="37" t="s">
        <v>202</v>
      </c>
      <c r="C54" s="39"/>
      <c r="D54" s="39"/>
      <c r="E54" s="39"/>
      <c r="F54" s="39">
        <f t="shared" ref="F54:F57" si="15">I54*J54/10000</f>
        <v>8</v>
      </c>
      <c r="G54" s="39">
        <f t="shared" si="12"/>
        <v>8</v>
      </c>
      <c r="H54" s="53" t="s">
        <v>37</v>
      </c>
      <c r="I54" s="175">
        <v>1</v>
      </c>
      <c r="J54" s="29">
        <v>80000</v>
      </c>
      <c r="K54" s="104"/>
    </row>
    <row r="55" s="6" customFormat="1" customHeight="1" spans="1:11">
      <c r="A55" s="93">
        <v>16</v>
      </c>
      <c r="B55" s="37" t="s">
        <v>145</v>
      </c>
      <c r="C55" s="39"/>
      <c r="D55" s="39"/>
      <c r="E55" s="39"/>
      <c r="F55" s="39">
        <f>I55*J55</f>
        <v>14.88584602</v>
      </c>
      <c r="G55" s="39">
        <f t="shared" si="12"/>
        <v>14.88584602</v>
      </c>
      <c r="H55" s="53" t="s">
        <v>93</v>
      </c>
      <c r="I55" s="175">
        <f>G5</f>
        <v>7834.6558</v>
      </c>
      <c r="J55" s="65">
        <v>0.0019</v>
      </c>
      <c r="K55" s="104"/>
    </row>
    <row r="56" s="6" customFormat="1" customHeight="1" spans="1:11">
      <c r="A56" s="93">
        <v>17</v>
      </c>
      <c r="B56" s="37" t="s">
        <v>146</v>
      </c>
      <c r="C56" s="39"/>
      <c r="D56" s="39"/>
      <c r="E56" s="39"/>
      <c r="F56" s="39">
        <f t="shared" si="15"/>
        <v>8</v>
      </c>
      <c r="G56" s="39">
        <f t="shared" si="12"/>
        <v>8</v>
      </c>
      <c r="H56" s="53" t="s">
        <v>37</v>
      </c>
      <c r="I56" s="177">
        <v>1</v>
      </c>
      <c r="J56" s="176">
        <v>80000</v>
      </c>
      <c r="K56" s="104"/>
    </row>
    <row r="57" s="6" customFormat="1" customHeight="1" spans="1:11">
      <c r="A57" s="93">
        <v>18</v>
      </c>
      <c r="B57" s="37" t="s">
        <v>147</v>
      </c>
      <c r="C57" s="39"/>
      <c r="D57" s="39"/>
      <c r="E57" s="39"/>
      <c r="F57" s="39">
        <f t="shared" si="15"/>
        <v>6.067485</v>
      </c>
      <c r="G57" s="39">
        <f t="shared" si="12"/>
        <v>6.067485</v>
      </c>
      <c r="H57" s="53" t="s">
        <v>135</v>
      </c>
      <c r="I57" s="175">
        <f>I5</f>
        <v>12134.97</v>
      </c>
      <c r="J57" s="176">
        <v>5</v>
      </c>
      <c r="K57" s="104"/>
    </row>
    <row r="58" s="5" customFormat="1" customHeight="1" spans="1:11">
      <c r="A58" s="31" t="s">
        <v>110</v>
      </c>
      <c r="B58" s="40" t="s">
        <v>111</v>
      </c>
      <c r="C58" s="20"/>
      <c r="D58" s="20"/>
      <c r="E58" s="20"/>
      <c r="F58" s="20">
        <f>I58*J58</f>
        <v>671.1444012144</v>
      </c>
      <c r="G58" s="20">
        <f t="shared" si="12"/>
        <v>671.1444012144</v>
      </c>
      <c r="H58" s="52" t="s">
        <v>93</v>
      </c>
      <c r="I58" s="20">
        <f>G39+G5</f>
        <v>8389.30501518</v>
      </c>
      <c r="J58" s="68">
        <v>0.08</v>
      </c>
      <c r="K58" s="121">
        <f>G58/G59</f>
        <v>0.0740740740740741</v>
      </c>
    </row>
    <row r="59" s="5" customFormat="1" customHeight="1" spans="1:11">
      <c r="A59" s="41" t="s">
        <v>112</v>
      </c>
      <c r="B59" s="42" t="s">
        <v>113</v>
      </c>
      <c r="C59" s="54">
        <f>C5</f>
        <v>5836.51988</v>
      </c>
      <c r="D59" s="43">
        <f>D5</f>
        <v>981.103972</v>
      </c>
      <c r="E59" s="54"/>
      <c r="F59" s="54">
        <f>F39+F58</f>
        <v>1225.7936163944</v>
      </c>
      <c r="G59" s="54">
        <f>G5+G39+G58</f>
        <v>9060.4494163944</v>
      </c>
      <c r="H59" s="55" t="s">
        <v>135</v>
      </c>
      <c r="I59" s="70">
        <f>I5</f>
        <v>12134.97</v>
      </c>
      <c r="J59" s="178">
        <f>G59/I59*10000</f>
        <v>7466.39622215333</v>
      </c>
      <c r="K59" s="71">
        <v>1</v>
      </c>
    </row>
    <row r="61" customHeight="1" spans="9:9">
      <c r="I61" s="78">
        <f>G59/I7</f>
        <v>0.746639622215333</v>
      </c>
    </row>
    <row r="62" customHeight="1" spans="7:7">
      <c r="G62" s="9">
        <v>9133.4</v>
      </c>
    </row>
    <row r="64" customHeight="1" spans="11:11">
      <c r="K64" s="8">
        <v>9248.41</v>
      </c>
    </row>
    <row r="65" customHeight="1" spans="11:11">
      <c r="K65" s="8">
        <f>G59-K64</f>
        <v>-187.9605836056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K1"/>
    <mergeCell ref="A2:K2"/>
    <mergeCell ref="C3:G3"/>
    <mergeCell ref="H3:J3"/>
    <mergeCell ref="A3:A4"/>
    <mergeCell ref="B3:B4"/>
    <mergeCell ref="O9:O15"/>
    <mergeCell ref="O19:O22"/>
  </mergeCells>
  <pageMargins left="0.590277777777778" right="0.590277777777778" top="0.590277777777778" bottom="0.590277777777778" header="0.5" footer="0.5"/>
  <pageSetup paperSize="9" scale="62" orientation="landscape"/>
  <headerFooter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pane ySplit="2" topLeftCell="A9" activePane="bottomLeft" state="frozen"/>
      <selection/>
      <selection pane="bottomLeft" activeCell="H13" sqref="H13"/>
    </sheetView>
  </sheetViews>
  <sheetFormatPr defaultColWidth="9.18333333333333" defaultRowHeight="12.75"/>
  <cols>
    <col min="1" max="1" width="9.725" style="133" customWidth="1"/>
    <col min="2" max="2" width="34.8166666666667" style="133" customWidth="1"/>
    <col min="3" max="3" width="19.4583333333333" style="133" customWidth="1"/>
    <col min="4" max="4" width="19.4583333333333" style="134" customWidth="1"/>
    <col min="5" max="5" width="15.725" style="134" customWidth="1"/>
    <col min="6" max="6" width="14.4583333333333" style="134" customWidth="1"/>
    <col min="7" max="7" width="15.2666666666667" style="134" customWidth="1"/>
    <col min="8" max="8" width="14.4583333333333" style="134" customWidth="1"/>
    <col min="9" max="9" width="28.1833333333333" style="135" customWidth="1"/>
    <col min="10" max="10" width="18.4583333333333" style="135" customWidth="1"/>
  </cols>
  <sheetData>
    <row r="1" ht="49" customHeight="1" spans="1:10">
      <c r="A1" s="136" t="s">
        <v>203</v>
      </c>
      <c r="B1" s="137"/>
      <c r="C1" s="137"/>
      <c r="D1" s="137"/>
      <c r="E1" s="137"/>
      <c r="F1" s="137"/>
      <c r="G1" s="137"/>
      <c r="H1" s="137"/>
      <c r="I1" s="137"/>
      <c r="J1" s="137"/>
    </row>
    <row r="2" ht="30" customHeight="1" spans="1:10">
      <c r="A2" s="138" t="s">
        <v>2</v>
      </c>
      <c r="B2" s="138" t="s">
        <v>3</v>
      </c>
      <c r="C2" s="138" t="s">
        <v>204</v>
      </c>
      <c r="D2" s="139" t="s">
        <v>205</v>
      </c>
      <c r="E2" s="139" t="s">
        <v>12</v>
      </c>
      <c r="F2" s="139" t="s">
        <v>206</v>
      </c>
      <c r="G2" s="139" t="s">
        <v>207</v>
      </c>
      <c r="H2" s="139" t="s">
        <v>208</v>
      </c>
      <c r="I2" s="139" t="s">
        <v>209</v>
      </c>
      <c r="J2" s="139" t="s">
        <v>210</v>
      </c>
    </row>
    <row r="3" s="131" customFormat="1" ht="30" customHeight="1" spans="1:10">
      <c r="A3" s="140" t="s">
        <v>15</v>
      </c>
      <c r="B3" s="140" t="s">
        <v>211</v>
      </c>
      <c r="C3" s="140">
        <v>12361.35</v>
      </c>
      <c r="D3" s="141"/>
      <c r="E3" s="150"/>
      <c r="F3" s="150"/>
      <c r="G3" s="150"/>
      <c r="H3" s="150"/>
      <c r="I3" s="152"/>
      <c r="J3" s="152"/>
    </row>
    <row r="4" s="131" customFormat="1" ht="30" customHeight="1" spans="1:10">
      <c r="A4" s="140"/>
      <c r="B4" s="138" t="s">
        <v>212</v>
      </c>
      <c r="C4" s="140">
        <v>12361.35</v>
      </c>
      <c r="D4" s="141"/>
      <c r="E4" s="138" t="s">
        <v>173</v>
      </c>
      <c r="F4" s="138">
        <f>66*87*2</f>
        <v>11484</v>
      </c>
      <c r="G4" s="138">
        <v>223</v>
      </c>
      <c r="H4" s="139">
        <f>G4*F4/10000</f>
        <v>256.0932</v>
      </c>
      <c r="I4" s="153">
        <f>H4/C4*10000</f>
        <v>207.172517564829</v>
      </c>
      <c r="J4" s="152"/>
    </row>
    <row r="5" s="131" customFormat="1" ht="30" customHeight="1" spans="1:10">
      <c r="A5" s="140"/>
      <c r="B5" s="138" t="s">
        <v>213</v>
      </c>
      <c r="C5" s="138">
        <v>12361.35</v>
      </c>
      <c r="D5" s="142"/>
      <c r="E5" s="138" t="s">
        <v>173</v>
      </c>
      <c r="F5" s="138">
        <f>66*87*2</f>
        <v>11484</v>
      </c>
      <c r="G5" s="138">
        <v>25</v>
      </c>
      <c r="H5" s="139">
        <f>G5*F5/10000</f>
        <v>28.71</v>
      </c>
      <c r="I5" s="153">
        <f>H5/C5*10000</f>
        <v>23.2256185610795</v>
      </c>
      <c r="J5" s="152"/>
    </row>
    <row r="6" s="132" customFormat="1" ht="30" customHeight="1" spans="1:10">
      <c r="A6" s="143">
        <v>1</v>
      </c>
      <c r="B6" s="144" t="s">
        <v>214</v>
      </c>
      <c r="C6" s="144">
        <v>12361.35</v>
      </c>
      <c r="D6" s="145"/>
      <c r="E6" s="145" t="s">
        <v>215</v>
      </c>
      <c r="F6" s="151">
        <v>300</v>
      </c>
      <c r="G6" s="151">
        <v>4300</v>
      </c>
      <c r="H6" s="151">
        <f>F6*G6/10000</f>
        <v>129</v>
      </c>
      <c r="I6" s="154">
        <f>H6/C6*10000</f>
        <v>104.357533764516</v>
      </c>
      <c r="J6" s="154"/>
    </row>
    <row r="7" ht="30" customHeight="1" spans="1:10">
      <c r="A7" s="146">
        <v>2</v>
      </c>
      <c r="B7" s="138" t="s">
        <v>216</v>
      </c>
      <c r="C7" s="138">
        <v>12361.35</v>
      </c>
      <c r="D7" s="139">
        <v>2.6</v>
      </c>
      <c r="E7" s="149" t="s">
        <v>173</v>
      </c>
      <c r="F7" s="149">
        <f>D7*C7</f>
        <v>32139.51</v>
      </c>
      <c r="G7" s="149">
        <v>60</v>
      </c>
      <c r="H7" s="149">
        <f>G7*F7/10000</f>
        <v>192.83706</v>
      </c>
      <c r="I7" s="155">
        <f t="shared" ref="I7:I16" si="0">H7/C7*10000</f>
        <v>156</v>
      </c>
      <c r="J7" s="155"/>
    </row>
    <row r="8" ht="30" customHeight="1" spans="1:10">
      <c r="A8" s="146">
        <v>3</v>
      </c>
      <c r="B8" s="138" t="s">
        <v>217</v>
      </c>
      <c r="C8" s="138">
        <v>12361.35</v>
      </c>
      <c r="D8" s="139">
        <v>0.49</v>
      </c>
      <c r="E8" s="149" t="s">
        <v>173</v>
      </c>
      <c r="F8" s="149">
        <f>D8*C8</f>
        <v>6057.0615</v>
      </c>
      <c r="G8" s="149">
        <v>580</v>
      </c>
      <c r="H8" s="149">
        <f>F8*G8/10000</f>
        <v>351.309567</v>
      </c>
      <c r="I8" s="155">
        <f t="shared" si="0"/>
        <v>284.2</v>
      </c>
      <c r="J8" s="155"/>
    </row>
    <row r="9" ht="30" customHeight="1" spans="1:10">
      <c r="A9" s="146">
        <v>4</v>
      </c>
      <c r="B9" s="138" t="s">
        <v>218</v>
      </c>
      <c r="C9" s="138">
        <v>12361.35</v>
      </c>
      <c r="D9" s="139">
        <v>0.11</v>
      </c>
      <c r="E9" s="149" t="s">
        <v>173</v>
      </c>
      <c r="F9" s="149">
        <f>D9*C9</f>
        <v>1359.7485</v>
      </c>
      <c r="G9" s="149">
        <v>595</v>
      </c>
      <c r="H9" s="149">
        <f>G9*F9/10000</f>
        <v>80.90503575</v>
      </c>
      <c r="I9" s="155">
        <f t="shared" si="0"/>
        <v>65.45</v>
      </c>
      <c r="J9" s="155"/>
    </row>
    <row r="10" ht="30" customHeight="1" spans="1:10">
      <c r="A10" s="146">
        <v>5</v>
      </c>
      <c r="B10" s="138" t="s">
        <v>219</v>
      </c>
      <c r="C10" s="138">
        <v>12361.35</v>
      </c>
      <c r="D10" s="145"/>
      <c r="E10" s="139" t="s">
        <v>17</v>
      </c>
      <c r="F10" s="149">
        <v>1000</v>
      </c>
      <c r="G10" s="149">
        <v>1200</v>
      </c>
      <c r="H10" s="149">
        <f>F10*G10/10000</f>
        <v>120</v>
      </c>
      <c r="I10" s="155">
        <f t="shared" si="0"/>
        <v>97.0767755948986</v>
      </c>
      <c r="J10" s="155"/>
    </row>
    <row r="11" ht="30" customHeight="1" spans="1:10">
      <c r="A11" s="146">
        <v>6</v>
      </c>
      <c r="B11" s="138" t="s">
        <v>220</v>
      </c>
      <c r="C11" s="138">
        <v>12361.35</v>
      </c>
      <c r="D11" s="145">
        <v>90</v>
      </c>
      <c r="E11" s="149" t="s">
        <v>221</v>
      </c>
      <c r="F11" s="149">
        <f>D11*C11/1000</f>
        <v>1112.5215</v>
      </c>
      <c r="G11" s="149">
        <v>6300</v>
      </c>
      <c r="H11" s="149">
        <f>G11*F11/10000</f>
        <v>700.888545</v>
      </c>
      <c r="I11" s="155">
        <f t="shared" si="0"/>
        <v>567</v>
      </c>
      <c r="J11" s="155"/>
    </row>
    <row r="12" ht="30" customHeight="1" spans="1:10">
      <c r="A12" s="146">
        <v>7</v>
      </c>
      <c r="B12" s="138" t="s">
        <v>222</v>
      </c>
      <c r="C12" s="140">
        <v>12361.35</v>
      </c>
      <c r="D12" s="139">
        <v>3</v>
      </c>
      <c r="E12" s="139" t="s">
        <v>17</v>
      </c>
      <c r="F12" s="149">
        <f>D12*C12</f>
        <v>37084.05</v>
      </c>
      <c r="G12" s="149">
        <v>70</v>
      </c>
      <c r="H12" s="149">
        <f>G12*F12/10000</f>
        <v>259.58835</v>
      </c>
      <c r="I12" s="155">
        <f t="shared" si="0"/>
        <v>210</v>
      </c>
      <c r="J12" s="155"/>
    </row>
    <row r="13" ht="30" customHeight="1" spans="1:10">
      <c r="A13" s="146">
        <v>8</v>
      </c>
      <c r="B13" s="138" t="s">
        <v>223</v>
      </c>
      <c r="C13" s="138">
        <v>12361.35</v>
      </c>
      <c r="D13" s="139"/>
      <c r="E13" s="149" t="s">
        <v>221</v>
      </c>
      <c r="F13" s="149">
        <f>120*5000/1000</f>
        <v>600</v>
      </c>
      <c r="G13" s="149">
        <v>13000</v>
      </c>
      <c r="H13" s="149">
        <f>F13*G13/10000</f>
        <v>780</v>
      </c>
      <c r="I13" s="155">
        <f t="shared" si="0"/>
        <v>630.999041366841</v>
      </c>
      <c r="J13" s="155"/>
    </row>
    <row r="14" ht="30" customHeight="1" spans="1:10">
      <c r="A14" s="146">
        <v>9</v>
      </c>
      <c r="B14" s="138" t="s">
        <v>224</v>
      </c>
      <c r="C14" s="140">
        <v>12361.35</v>
      </c>
      <c r="D14" s="139"/>
      <c r="E14" s="139" t="s">
        <v>17</v>
      </c>
      <c r="F14" s="149">
        <v>5000</v>
      </c>
      <c r="G14" s="149">
        <v>1000</v>
      </c>
      <c r="H14" s="149">
        <f>F14*G14/10000</f>
        <v>500</v>
      </c>
      <c r="I14" s="155">
        <f t="shared" si="0"/>
        <v>404.486564978744</v>
      </c>
      <c r="J14" s="155"/>
    </row>
    <row r="15" ht="30" customHeight="1" spans="1:10">
      <c r="A15" s="146">
        <v>10</v>
      </c>
      <c r="B15" s="138" t="s">
        <v>225</v>
      </c>
      <c r="C15" s="140">
        <v>12361.35</v>
      </c>
      <c r="D15" s="139"/>
      <c r="E15" s="139" t="s">
        <v>17</v>
      </c>
      <c r="F15" s="149">
        <v>1180</v>
      </c>
      <c r="G15" s="149">
        <v>1500</v>
      </c>
      <c r="H15" s="149">
        <f>F15*G15/10000</f>
        <v>177</v>
      </c>
      <c r="I15" s="155">
        <f t="shared" si="0"/>
        <v>143.188244002475</v>
      </c>
      <c r="J15" s="155"/>
    </row>
    <row r="16" s="131" customFormat="1" ht="30" customHeight="1" spans="1:14">
      <c r="A16" s="147"/>
      <c r="B16" s="140" t="s">
        <v>226</v>
      </c>
      <c r="C16" s="140">
        <v>12361.35</v>
      </c>
      <c r="D16" s="141"/>
      <c r="E16" s="141" t="s">
        <v>17</v>
      </c>
      <c r="F16" s="150">
        <f>C16</f>
        <v>12361.35</v>
      </c>
      <c r="G16" s="150">
        <v>183.3</v>
      </c>
      <c r="H16" s="150">
        <f>G16*F16/10000</f>
        <v>226.5835455</v>
      </c>
      <c r="I16" s="152">
        <f t="shared" si="0"/>
        <v>183.3</v>
      </c>
      <c r="J16" s="152"/>
      <c r="N16" s="131">
        <v>2265781</v>
      </c>
    </row>
    <row r="17" ht="30" customHeight="1" spans="1:10">
      <c r="A17" s="138" t="s">
        <v>91</v>
      </c>
      <c r="B17" s="138" t="s">
        <v>227</v>
      </c>
      <c r="C17" s="138">
        <v>12361.35</v>
      </c>
      <c r="D17" s="139"/>
      <c r="E17" s="149"/>
      <c r="F17" s="149"/>
      <c r="G17" s="149"/>
      <c r="H17" s="149"/>
      <c r="I17" s="155"/>
      <c r="J17" s="155"/>
    </row>
    <row r="18" ht="30" customHeight="1" spans="1:10">
      <c r="A18" s="146">
        <v>1</v>
      </c>
      <c r="B18" s="138" t="s">
        <v>228</v>
      </c>
      <c r="C18" s="138">
        <v>12361.35</v>
      </c>
      <c r="D18" s="148"/>
      <c r="E18" s="139" t="s">
        <v>17</v>
      </c>
      <c r="F18" s="149">
        <v>550</v>
      </c>
      <c r="G18" s="149">
        <v>1000</v>
      </c>
      <c r="H18" s="149">
        <f>G18*F18/10000</f>
        <v>55</v>
      </c>
      <c r="I18" s="155">
        <f t="shared" ref="I18:I24" si="1">H18/C18*10000</f>
        <v>44.4935221476619</v>
      </c>
      <c r="J18" s="155"/>
    </row>
    <row r="19" ht="30" customHeight="1" spans="1:10">
      <c r="A19" s="146">
        <v>2</v>
      </c>
      <c r="B19" s="138" t="s">
        <v>229</v>
      </c>
      <c r="C19" s="140">
        <v>12361.35</v>
      </c>
      <c r="D19" s="149">
        <v>0.92</v>
      </c>
      <c r="E19" s="139" t="s">
        <v>17</v>
      </c>
      <c r="F19" s="149">
        <f>D19*C19</f>
        <v>11372.442</v>
      </c>
      <c r="G19" s="149">
        <v>140</v>
      </c>
      <c r="H19" s="149">
        <f>G19*C19/10000</f>
        <v>173.0589</v>
      </c>
      <c r="I19" s="155">
        <f t="shared" si="1"/>
        <v>140</v>
      </c>
      <c r="J19" s="155"/>
    </row>
    <row r="20" ht="30" customHeight="1" spans="1:10">
      <c r="A20" s="146">
        <v>3</v>
      </c>
      <c r="B20" s="138" t="s">
        <v>230</v>
      </c>
      <c r="C20" s="138">
        <v>12361.35</v>
      </c>
      <c r="D20" s="149">
        <v>0.81</v>
      </c>
      <c r="E20" s="139" t="s">
        <v>17</v>
      </c>
      <c r="F20" s="149">
        <f>D20*C20</f>
        <v>10012.6935</v>
      </c>
      <c r="G20" s="149">
        <v>220</v>
      </c>
      <c r="H20" s="149">
        <f>F20*G20/10000</f>
        <v>220.279257</v>
      </c>
      <c r="I20" s="155">
        <f t="shared" si="1"/>
        <v>178.2</v>
      </c>
      <c r="J20" s="155"/>
    </row>
    <row r="21" ht="30" customHeight="1" spans="1:10">
      <c r="A21" s="146">
        <v>4</v>
      </c>
      <c r="B21" s="138" t="s">
        <v>231</v>
      </c>
      <c r="C21" s="138">
        <v>12361.35</v>
      </c>
      <c r="D21" s="149">
        <v>1.5</v>
      </c>
      <c r="E21" s="139" t="s">
        <v>17</v>
      </c>
      <c r="F21" s="149">
        <f>D21*C21</f>
        <v>18542.025</v>
      </c>
      <c r="G21" s="149">
        <v>130</v>
      </c>
      <c r="H21" s="149">
        <f>G21*C21/10000</f>
        <v>160.69755</v>
      </c>
      <c r="I21" s="155">
        <f t="shared" si="1"/>
        <v>130</v>
      </c>
      <c r="J21" s="155"/>
    </row>
    <row r="22" ht="30" customHeight="1" spans="1:10">
      <c r="A22" s="146">
        <v>5</v>
      </c>
      <c r="B22" s="138" t="s">
        <v>232</v>
      </c>
      <c r="C22" s="138">
        <v>12361.35</v>
      </c>
      <c r="D22" s="149"/>
      <c r="E22" s="139" t="s">
        <v>17</v>
      </c>
      <c r="F22" s="149">
        <v>3500</v>
      </c>
      <c r="G22" s="149">
        <v>950</v>
      </c>
      <c r="H22" s="149">
        <f>G22*F22/10000</f>
        <v>332.5</v>
      </c>
      <c r="I22" s="155">
        <f t="shared" si="1"/>
        <v>268.983565710865</v>
      </c>
      <c r="J22" s="155"/>
    </row>
    <row r="23" ht="30" customHeight="1" spans="1:10">
      <c r="A23" s="146">
        <v>6</v>
      </c>
      <c r="B23" s="138" t="s">
        <v>233</v>
      </c>
      <c r="C23" s="138">
        <v>12361.35</v>
      </c>
      <c r="D23" s="149"/>
      <c r="E23" s="139" t="s">
        <v>17</v>
      </c>
      <c r="F23" s="149">
        <v>4700</v>
      </c>
      <c r="G23" s="149">
        <v>160</v>
      </c>
      <c r="H23" s="149">
        <f>G23*F23/10000</f>
        <v>75.2</v>
      </c>
      <c r="I23" s="155">
        <f t="shared" si="1"/>
        <v>60.8347793728031</v>
      </c>
      <c r="J23" s="155"/>
    </row>
    <row r="24" ht="30" customHeight="1" spans="1:10">
      <c r="A24" s="146">
        <v>7</v>
      </c>
      <c r="B24" s="138" t="s">
        <v>234</v>
      </c>
      <c r="C24" s="140">
        <v>12361.35</v>
      </c>
      <c r="D24" s="149"/>
      <c r="E24" s="139" t="s">
        <v>17</v>
      </c>
      <c r="F24" s="149">
        <v>1600</v>
      </c>
      <c r="G24" s="149">
        <v>226</v>
      </c>
      <c r="H24" s="149">
        <f>G24*F24/10000</f>
        <v>36.16</v>
      </c>
      <c r="I24" s="155">
        <f t="shared" si="1"/>
        <v>29.2524683792628</v>
      </c>
      <c r="J24" s="155"/>
    </row>
    <row r="25" s="131" customFormat="1" ht="30" customHeight="1" spans="1:10">
      <c r="A25" s="140" t="s">
        <v>91</v>
      </c>
      <c r="B25" s="140" t="s">
        <v>235</v>
      </c>
      <c r="C25" s="140">
        <v>12361.35</v>
      </c>
      <c r="D25" s="150"/>
      <c r="E25" s="139"/>
      <c r="F25" s="150"/>
      <c r="G25" s="150"/>
      <c r="H25" s="150">
        <f>SUM(H26:H30)</f>
        <v>1039.589535</v>
      </c>
      <c r="I25" s="152"/>
      <c r="J25" s="152"/>
    </row>
    <row r="26" ht="30" customHeight="1" spans="1:10">
      <c r="A26" s="146">
        <v>1</v>
      </c>
      <c r="B26" s="138" t="s">
        <v>155</v>
      </c>
      <c r="C26" s="138">
        <v>12361.35</v>
      </c>
      <c r="D26" s="149"/>
      <c r="E26" s="139" t="s">
        <v>17</v>
      </c>
      <c r="F26" s="139">
        <v>12361.35</v>
      </c>
      <c r="G26" s="149">
        <v>150</v>
      </c>
      <c r="H26" s="149">
        <f>G26*F26/10000</f>
        <v>185.42025</v>
      </c>
      <c r="I26" s="155"/>
      <c r="J26" s="155"/>
    </row>
    <row r="27" ht="30" customHeight="1" spans="1:10">
      <c r="A27" s="146">
        <v>2</v>
      </c>
      <c r="B27" s="138" t="s">
        <v>236</v>
      </c>
      <c r="C27" s="140">
        <v>12361.35</v>
      </c>
      <c r="D27" s="149"/>
      <c r="E27" s="139" t="s">
        <v>17</v>
      </c>
      <c r="F27" s="141">
        <v>12361.35</v>
      </c>
      <c r="G27" s="149">
        <v>220</v>
      </c>
      <c r="H27" s="149">
        <f>G27*F27/10000</f>
        <v>271.9497</v>
      </c>
      <c r="I27" s="155"/>
      <c r="J27" s="155"/>
    </row>
    <row r="28" s="132" customFormat="1" ht="30" customHeight="1" spans="1:10">
      <c r="A28" s="143">
        <v>3</v>
      </c>
      <c r="B28" s="144" t="s">
        <v>237</v>
      </c>
      <c r="C28" s="144">
        <v>12361.35</v>
      </c>
      <c r="D28" s="151"/>
      <c r="E28" s="145" t="s">
        <v>17</v>
      </c>
      <c r="F28" s="145">
        <v>12361.35</v>
      </c>
      <c r="G28" s="151">
        <v>300</v>
      </c>
      <c r="H28" s="151">
        <f>G28*F28/10000*0</f>
        <v>0</v>
      </c>
      <c r="I28" s="154"/>
      <c r="J28" s="154"/>
    </row>
    <row r="29" ht="30" customHeight="1" spans="1:10">
      <c r="A29" s="146">
        <v>4</v>
      </c>
      <c r="B29" s="138" t="s">
        <v>238</v>
      </c>
      <c r="C29" s="138">
        <v>12361.35</v>
      </c>
      <c r="D29" s="149"/>
      <c r="E29" s="139" t="s">
        <v>17</v>
      </c>
      <c r="F29" s="139">
        <v>12361.35</v>
      </c>
      <c r="G29" s="149">
        <v>315</v>
      </c>
      <c r="H29" s="149">
        <f>G29*F29/10000</f>
        <v>389.382525</v>
      </c>
      <c r="I29" s="155"/>
      <c r="J29" s="155"/>
    </row>
    <row r="30" ht="30" customHeight="1" spans="1:10">
      <c r="A30" s="146">
        <v>5</v>
      </c>
      <c r="B30" s="138" t="s">
        <v>239</v>
      </c>
      <c r="C30" s="140">
        <v>12361.35</v>
      </c>
      <c r="D30" s="149"/>
      <c r="E30" s="139" t="s">
        <v>17</v>
      </c>
      <c r="F30" s="141">
        <v>12361.35</v>
      </c>
      <c r="G30" s="149">
        <v>156</v>
      </c>
      <c r="H30" s="149">
        <f>G30*F30/10000</f>
        <v>192.83706</v>
      </c>
      <c r="I30" s="155"/>
      <c r="J30" s="155"/>
    </row>
    <row r="31" ht="30" customHeight="1" spans="1:10">
      <c r="A31" s="138" t="s">
        <v>240</v>
      </c>
      <c r="B31" s="138" t="s">
        <v>241</v>
      </c>
      <c r="C31" s="138">
        <v>12361.35</v>
      </c>
      <c r="D31" s="149"/>
      <c r="E31" s="139" t="s">
        <v>242</v>
      </c>
      <c r="F31" s="139">
        <v>150</v>
      </c>
      <c r="G31" s="149">
        <v>10000</v>
      </c>
      <c r="H31" s="149">
        <f>G31*F31/10000</f>
        <v>150</v>
      </c>
      <c r="I31" s="155">
        <f>H31/C31*10000</f>
        <v>121.345969493623</v>
      </c>
      <c r="J31" s="155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zoomScale="70" zoomScaleNormal="70" zoomScaleSheetLayoutView="85" topLeftCell="A5" workbookViewId="0">
      <selection activeCell="B14" sqref="B14"/>
    </sheetView>
  </sheetViews>
  <sheetFormatPr defaultColWidth="10.2666666666667" defaultRowHeight="28" customHeight="1"/>
  <cols>
    <col min="1" max="1" width="10.4583333333333" style="7"/>
    <col min="2" max="2" width="40.625" style="8" customWidth="1"/>
    <col min="3" max="3" width="16.8166666666667" style="7"/>
    <col min="4" max="4" width="18.5416666666667" style="7"/>
    <col min="5" max="5" width="15.2666666666667" style="8" customWidth="1"/>
    <col min="6" max="6" width="13.5416666666667" style="8" customWidth="1"/>
    <col min="7" max="7" width="16.8166666666667" style="9"/>
    <col min="8" max="8" width="10.2666666666667" style="7"/>
    <col min="9" max="9" width="20.1833333333333" style="7"/>
    <col min="10" max="10" width="20" style="7"/>
    <col min="11" max="11" width="17.725" style="8" customWidth="1"/>
    <col min="12" max="12" width="16.1833333333333" style="8" hidden="1" customWidth="1"/>
    <col min="13" max="13" width="10.2666666666667" style="8" hidden="1" customWidth="1"/>
    <col min="14" max="14" width="14.4583333333333" style="8" hidden="1" customWidth="1"/>
    <col min="15" max="16" width="10.2666666666667" style="8"/>
    <col min="17" max="17" width="27.5416666666667" style="8" customWidth="1"/>
    <col min="18" max="19" width="16.2666666666667" style="8"/>
    <col min="20" max="20" width="23.2666666666667" style="8" customWidth="1"/>
    <col min="21" max="21" width="15.8166666666667" style="8"/>
    <col min="22" max="16384" width="10.2666666666667" style="8"/>
  </cols>
  <sheetData>
    <row r="1" ht="42" customHeight="1" spans="1:11">
      <c r="A1" s="10" t="s">
        <v>159</v>
      </c>
      <c r="B1" s="10"/>
      <c r="C1" s="10"/>
      <c r="D1" s="10"/>
      <c r="E1" s="10"/>
      <c r="F1" s="10"/>
      <c r="G1" s="44"/>
      <c r="H1" s="10"/>
      <c r="I1" s="10"/>
      <c r="J1" s="10"/>
      <c r="K1" s="10"/>
    </row>
    <row r="2" customHeight="1" spans="1:11">
      <c r="A2" s="11" t="s">
        <v>243</v>
      </c>
      <c r="B2" s="11"/>
      <c r="C2" s="11"/>
      <c r="D2" s="11"/>
      <c r="E2" s="11"/>
      <c r="F2" s="11"/>
      <c r="G2" s="45"/>
      <c r="H2" s="11"/>
      <c r="I2" s="11"/>
      <c r="J2" s="11"/>
      <c r="K2" s="11"/>
    </row>
    <row r="3" ht="18" spans="1:11">
      <c r="A3" s="12" t="s">
        <v>2</v>
      </c>
      <c r="B3" s="13" t="s">
        <v>3</v>
      </c>
      <c r="C3" s="14" t="s">
        <v>116</v>
      </c>
      <c r="D3" s="14"/>
      <c r="E3" s="14"/>
      <c r="F3" s="14"/>
      <c r="G3" s="46"/>
      <c r="H3" s="14" t="s">
        <v>5</v>
      </c>
      <c r="I3" s="14"/>
      <c r="J3" s="14"/>
      <c r="K3" s="56" t="s">
        <v>6</v>
      </c>
    </row>
    <row r="4" customHeight="1" spans="1:11">
      <c r="A4" s="15"/>
      <c r="B4" s="16"/>
      <c r="C4" s="16" t="s">
        <v>211</v>
      </c>
      <c r="D4" s="16" t="s">
        <v>235</v>
      </c>
      <c r="E4" s="16" t="s">
        <v>8</v>
      </c>
      <c r="F4" s="16" t="s">
        <v>10</v>
      </c>
      <c r="G4" s="47" t="s">
        <v>11</v>
      </c>
      <c r="H4" s="48" t="s">
        <v>12</v>
      </c>
      <c r="I4" s="48" t="s">
        <v>13</v>
      </c>
      <c r="J4" s="16" t="s">
        <v>244</v>
      </c>
      <c r="K4" s="57"/>
    </row>
    <row r="5" s="1" customFormat="1" customHeight="1" spans="1:11">
      <c r="A5" s="17" t="s">
        <v>15</v>
      </c>
      <c r="B5" s="18" t="s">
        <v>16</v>
      </c>
      <c r="C5" s="19">
        <f t="shared" ref="C5:G5" si="0">C6+C14</f>
        <v>2045.048</v>
      </c>
      <c r="D5" s="20">
        <f t="shared" si="0"/>
        <v>325.15</v>
      </c>
      <c r="E5" s="19">
        <f t="shared" si="0"/>
        <v>127.5</v>
      </c>
      <c r="F5" s="20"/>
      <c r="G5" s="19">
        <f t="shared" si="0"/>
        <v>2497.698</v>
      </c>
      <c r="H5" s="18" t="s">
        <v>93</v>
      </c>
      <c r="I5" s="20"/>
      <c r="J5" s="18"/>
      <c r="K5" s="58">
        <f>G5/G49</f>
        <v>0.830715879106989</v>
      </c>
    </row>
    <row r="6" s="1" customFormat="1" customHeight="1" spans="1:18">
      <c r="A6" s="21">
        <v>1</v>
      </c>
      <c r="B6" s="22" t="s">
        <v>245</v>
      </c>
      <c r="C6" s="19">
        <f t="shared" ref="C6:G6" si="1">SUM(C7:C13)</f>
        <v>912</v>
      </c>
      <c r="D6" s="19">
        <f t="shared" si="1"/>
        <v>187.8</v>
      </c>
      <c r="E6" s="19">
        <f t="shared" si="1"/>
        <v>127.5</v>
      </c>
      <c r="F6" s="19"/>
      <c r="G6" s="19">
        <f t="shared" si="1"/>
        <v>1227.3</v>
      </c>
      <c r="H6" s="48" t="s">
        <v>17</v>
      </c>
      <c r="I6" s="20">
        <v>2850</v>
      </c>
      <c r="J6" s="20">
        <f>G6/I6*10000</f>
        <v>4306.31578947368</v>
      </c>
      <c r="K6" s="58"/>
      <c r="R6" s="1">
        <f>2850*300</f>
        <v>855000</v>
      </c>
    </row>
    <row r="7" s="1" customFormat="1" customHeight="1" spans="1:11">
      <c r="A7" s="23">
        <v>1.1</v>
      </c>
      <c r="B7" s="24" t="s">
        <v>246</v>
      </c>
      <c r="C7" s="25">
        <f>I7*J7/10000</f>
        <v>912</v>
      </c>
      <c r="D7" s="20"/>
      <c r="E7" s="20"/>
      <c r="F7" s="18"/>
      <c r="G7" s="25">
        <f t="shared" ref="G7:G13" si="2">SUM(C7:F7)</f>
        <v>912</v>
      </c>
      <c r="H7" s="48" t="s">
        <v>17</v>
      </c>
      <c r="I7" s="25">
        <v>2850</v>
      </c>
      <c r="J7" s="25">
        <v>3200</v>
      </c>
      <c r="K7" s="58"/>
    </row>
    <row r="8" s="1" customFormat="1" customHeight="1" spans="1:11">
      <c r="A8" s="23">
        <v>1.2</v>
      </c>
      <c r="B8" s="24" t="s">
        <v>247</v>
      </c>
      <c r="C8" s="19"/>
      <c r="D8" s="25">
        <f t="shared" ref="D8:D12" si="3">I8*J8/10000</f>
        <v>37.05</v>
      </c>
      <c r="E8" s="20"/>
      <c r="F8" s="18"/>
      <c r="G8" s="25">
        <f t="shared" si="2"/>
        <v>37.05</v>
      </c>
      <c r="H8" s="48" t="s">
        <v>17</v>
      </c>
      <c r="I8" s="25">
        <v>2850</v>
      </c>
      <c r="J8" s="25">
        <v>130</v>
      </c>
      <c r="K8" s="58"/>
    </row>
    <row r="9" s="1" customFormat="1" customHeight="1" spans="1:11">
      <c r="A9" s="23">
        <v>1.3</v>
      </c>
      <c r="B9" s="24" t="s">
        <v>76</v>
      </c>
      <c r="C9" s="19"/>
      <c r="D9" s="25">
        <f t="shared" si="3"/>
        <v>22.8</v>
      </c>
      <c r="E9" s="20"/>
      <c r="F9" s="18"/>
      <c r="G9" s="25">
        <f t="shared" si="2"/>
        <v>22.8</v>
      </c>
      <c r="H9" s="48" t="s">
        <v>17</v>
      </c>
      <c r="I9" s="25">
        <v>2850</v>
      </c>
      <c r="J9" s="25">
        <v>80</v>
      </c>
      <c r="K9" s="58"/>
    </row>
    <row r="10" s="1" customFormat="1" customHeight="1" spans="1:11">
      <c r="A10" s="23">
        <v>1.4</v>
      </c>
      <c r="B10" s="24" t="s">
        <v>248</v>
      </c>
      <c r="C10" s="19"/>
      <c r="D10" s="25">
        <f t="shared" si="3"/>
        <v>25.65</v>
      </c>
      <c r="E10" s="20"/>
      <c r="F10" s="18"/>
      <c r="G10" s="25">
        <f t="shared" si="2"/>
        <v>25.65</v>
      </c>
      <c r="H10" s="48" t="s">
        <v>17</v>
      </c>
      <c r="I10" s="25">
        <v>2850</v>
      </c>
      <c r="J10" s="25">
        <v>90</v>
      </c>
      <c r="K10" s="58"/>
    </row>
    <row r="11" s="1" customFormat="1" customHeight="1" spans="1:11">
      <c r="A11" s="23">
        <v>1.4</v>
      </c>
      <c r="B11" s="24" t="s">
        <v>123</v>
      </c>
      <c r="C11" s="19"/>
      <c r="D11" s="25">
        <f t="shared" si="3"/>
        <v>51.3</v>
      </c>
      <c r="E11" s="20"/>
      <c r="F11" s="18"/>
      <c r="G11" s="25">
        <f t="shared" si="2"/>
        <v>51.3</v>
      </c>
      <c r="H11" s="48" t="s">
        <v>17</v>
      </c>
      <c r="I11" s="25">
        <v>2850</v>
      </c>
      <c r="J11" s="25">
        <v>180</v>
      </c>
      <c r="K11" s="58"/>
    </row>
    <row r="12" s="1" customFormat="1" customHeight="1" spans="1:11">
      <c r="A12" s="123">
        <v>1.5</v>
      </c>
      <c r="B12" s="24" t="s">
        <v>124</v>
      </c>
      <c r="C12" s="19"/>
      <c r="D12" s="25">
        <f t="shared" si="3"/>
        <v>28.5</v>
      </c>
      <c r="E12" s="20"/>
      <c r="F12" s="18"/>
      <c r="G12" s="25">
        <f t="shared" si="2"/>
        <v>28.5</v>
      </c>
      <c r="H12" s="48" t="s">
        <v>17</v>
      </c>
      <c r="I12" s="25">
        <v>2850</v>
      </c>
      <c r="J12" s="25">
        <v>100</v>
      </c>
      <c r="K12" s="58"/>
    </row>
    <row r="13" s="122" customFormat="1" customHeight="1" spans="1:11">
      <c r="A13" s="123">
        <v>1.6</v>
      </c>
      <c r="B13" s="24" t="s">
        <v>249</v>
      </c>
      <c r="C13" s="124"/>
      <c r="D13" s="39">
        <f>I13*J13/10000*0.15</f>
        <v>22.5</v>
      </c>
      <c r="E13" s="39">
        <f>I13*J13/10000*0.85</f>
        <v>127.5</v>
      </c>
      <c r="F13" s="127"/>
      <c r="G13" s="25">
        <f t="shared" si="2"/>
        <v>150</v>
      </c>
      <c r="H13" s="53" t="s">
        <v>37</v>
      </c>
      <c r="I13" s="39">
        <v>1</v>
      </c>
      <c r="J13" s="39">
        <v>1500000</v>
      </c>
      <c r="K13" s="108"/>
    </row>
    <row r="14" s="1" customFormat="1" customHeight="1" spans="1:11">
      <c r="A14" s="21">
        <v>2</v>
      </c>
      <c r="B14" s="22" t="s">
        <v>250</v>
      </c>
      <c r="C14" s="19">
        <f t="shared" ref="C14:G14" si="4">SUM(C15:C29)</f>
        <v>1133.048</v>
      </c>
      <c r="D14" s="19">
        <f t="shared" si="4"/>
        <v>137.35</v>
      </c>
      <c r="E14" s="19"/>
      <c r="F14" s="19"/>
      <c r="G14" s="19">
        <f t="shared" si="4"/>
        <v>1270.398</v>
      </c>
      <c r="H14" s="18"/>
      <c r="I14" s="20"/>
      <c r="J14" s="18"/>
      <c r="K14" s="58"/>
    </row>
    <row r="15" s="1" customFormat="1" customHeight="1" spans="1:11">
      <c r="A15" s="26">
        <v>2.1</v>
      </c>
      <c r="B15" s="49" t="s">
        <v>216</v>
      </c>
      <c r="C15" s="25">
        <f t="shared" ref="C15:C17" si="5">I15*J15/10000</f>
        <v>20</v>
      </c>
      <c r="D15" s="19"/>
      <c r="E15" s="19"/>
      <c r="F15" s="19"/>
      <c r="G15" s="25">
        <f t="shared" ref="G15:G29" si="6">SUM(C15:F15)</f>
        <v>20</v>
      </c>
      <c r="H15" s="48" t="s">
        <v>37</v>
      </c>
      <c r="I15" s="25">
        <v>1</v>
      </c>
      <c r="J15" s="25">
        <v>200000</v>
      </c>
      <c r="K15" s="58"/>
    </row>
    <row r="16" s="1" customFormat="1" customHeight="1" spans="1:11">
      <c r="A16" s="26">
        <v>2.2</v>
      </c>
      <c r="B16" s="49" t="s">
        <v>251</v>
      </c>
      <c r="C16" s="25">
        <f t="shared" si="5"/>
        <v>63.588</v>
      </c>
      <c r="D16" s="25"/>
      <c r="E16" s="25"/>
      <c r="F16" s="25"/>
      <c r="G16" s="25">
        <f t="shared" si="6"/>
        <v>63.588</v>
      </c>
      <c r="H16" s="47" t="s">
        <v>17</v>
      </c>
      <c r="I16" s="25">
        <v>3028</v>
      </c>
      <c r="J16" s="25">
        <v>210</v>
      </c>
      <c r="K16" s="58"/>
    </row>
    <row r="17" s="1" customFormat="1" customHeight="1" spans="1:11">
      <c r="A17" s="26">
        <v>2.3</v>
      </c>
      <c r="B17" s="49" t="s">
        <v>175</v>
      </c>
      <c r="C17" s="25">
        <f t="shared" si="5"/>
        <v>84.3</v>
      </c>
      <c r="D17" s="25"/>
      <c r="E17" s="25"/>
      <c r="F17" s="25"/>
      <c r="G17" s="25">
        <f t="shared" si="6"/>
        <v>84.3</v>
      </c>
      <c r="H17" s="47" t="s">
        <v>17</v>
      </c>
      <c r="I17" s="25">
        <v>2810</v>
      </c>
      <c r="J17" s="25">
        <v>300</v>
      </c>
      <c r="K17" s="58"/>
    </row>
    <row r="18" s="1" customFormat="1" customHeight="1" spans="1:11">
      <c r="A18" s="26">
        <v>2.4</v>
      </c>
      <c r="B18" s="49" t="s">
        <v>252</v>
      </c>
      <c r="C18" s="25"/>
      <c r="D18" s="25">
        <f t="shared" ref="D18:D20" si="7">I18*J18/10000</f>
        <v>34.2</v>
      </c>
      <c r="E18" s="25"/>
      <c r="F18" s="25"/>
      <c r="G18" s="25">
        <f t="shared" si="6"/>
        <v>34.2</v>
      </c>
      <c r="H18" s="47" t="s">
        <v>17</v>
      </c>
      <c r="I18" s="25">
        <v>2850</v>
      </c>
      <c r="J18" s="25">
        <v>120</v>
      </c>
      <c r="K18" s="58"/>
    </row>
    <row r="19" s="1" customFormat="1" customHeight="1" spans="1:11">
      <c r="A19" s="26">
        <v>2.5</v>
      </c>
      <c r="B19" s="49" t="s">
        <v>253</v>
      </c>
      <c r="C19" s="25"/>
      <c r="D19" s="25">
        <f t="shared" si="7"/>
        <v>25.65</v>
      </c>
      <c r="E19" s="25"/>
      <c r="F19" s="25"/>
      <c r="G19" s="25">
        <f t="shared" si="6"/>
        <v>25.65</v>
      </c>
      <c r="H19" s="47" t="s">
        <v>17</v>
      </c>
      <c r="I19" s="25">
        <v>2850</v>
      </c>
      <c r="J19" s="25">
        <v>90</v>
      </c>
      <c r="K19" s="58"/>
    </row>
    <row r="20" s="1" customFormat="1" customHeight="1" spans="1:11">
      <c r="A20" s="26">
        <v>2.6</v>
      </c>
      <c r="B20" s="49" t="s">
        <v>254</v>
      </c>
      <c r="C20" s="25"/>
      <c r="D20" s="25">
        <f t="shared" si="7"/>
        <v>39.9</v>
      </c>
      <c r="E20" s="25"/>
      <c r="F20" s="25"/>
      <c r="G20" s="25">
        <f t="shared" si="6"/>
        <v>39.9</v>
      </c>
      <c r="H20" s="47" t="s">
        <v>17</v>
      </c>
      <c r="I20" s="25">
        <v>2850</v>
      </c>
      <c r="J20" s="25">
        <v>140</v>
      </c>
      <c r="K20" s="58"/>
    </row>
    <row r="21" s="122" customFormat="1" customHeight="1" spans="1:11">
      <c r="A21" s="125">
        <v>2.7</v>
      </c>
      <c r="B21" s="126" t="s">
        <v>128</v>
      </c>
      <c r="C21" s="39">
        <f t="shared" ref="C21:C23" si="8">I21*J21/10000</f>
        <v>62.4</v>
      </c>
      <c r="D21" s="39"/>
      <c r="E21" s="39"/>
      <c r="F21" s="39"/>
      <c r="G21" s="39">
        <f t="shared" si="6"/>
        <v>62.4</v>
      </c>
      <c r="H21" s="53" t="s">
        <v>17</v>
      </c>
      <c r="I21" s="39">
        <v>5200</v>
      </c>
      <c r="J21" s="39">
        <v>120</v>
      </c>
      <c r="K21" s="108"/>
    </row>
    <row r="22" s="1" customFormat="1" customHeight="1" spans="1:11">
      <c r="A22" s="26">
        <v>2.8</v>
      </c>
      <c r="B22" s="49" t="s">
        <v>255</v>
      </c>
      <c r="C22" s="25">
        <f t="shared" si="8"/>
        <v>582.08</v>
      </c>
      <c r="D22" s="25"/>
      <c r="E22" s="25"/>
      <c r="F22" s="25"/>
      <c r="G22" s="25">
        <f t="shared" si="6"/>
        <v>582.08</v>
      </c>
      <c r="H22" s="48" t="s">
        <v>17</v>
      </c>
      <c r="I22" s="25">
        <v>14552</v>
      </c>
      <c r="J22" s="25">
        <v>400</v>
      </c>
      <c r="K22" s="58"/>
    </row>
    <row r="23" s="1" customFormat="1" customHeight="1" spans="1:11">
      <c r="A23" s="26">
        <v>2.9</v>
      </c>
      <c r="B23" s="49" t="s">
        <v>256</v>
      </c>
      <c r="C23" s="25">
        <f t="shared" si="8"/>
        <v>25</v>
      </c>
      <c r="D23" s="25"/>
      <c r="E23" s="25"/>
      <c r="F23" s="25"/>
      <c r="G23" s="25">
        <f t="shared" si="6"/>
        <v>25</v>
      </c>
      <c r="H23" s="48" t="s">
        <v>17</v>
      </c>
      <c r="I23" s="25">
        <v>2500</v>
      </c>
      <c r="J23" s="25">
        <v>100</v>
      </c>
      <c r="K23" s="58"/>
    </row>
    <row r="24" s="1" customFormat="1" customHeight="1" spans="1:11">
      <c r="A24" s="28">
        <v>2.1</v>
      </c>
      <c r="B24" s="49" t="s">
        <v>257</v>
      </c>
      <c r="C24" s="25"/>
      <c r="D24" s="25">
        <f>I24*J24/10000</f>
        <v>12</v>
      </c>
      <c r="E24" s="25"/>
      <c r="F24" s="25"/>
      <c r="G24" s="25">
        <f t="shared" si="6"/>
        <v>12</v>
      </c>
      <c r="H24" s="47" t="s">
        <v>130</v>
      </c>
      <c r="I24" s="25">
        <v>4</v>
      </c>
      <c r="J24" s="25">
        <v>30000</v>
      </c>
      <c r="K24" s="58"/>
    </row>
    <row r="25" s="1" customFormat="1" customHeight="1" spans="1:11">
      <c r="A25" s="28">
        <v>2.11</v>
      </c>
      <c r="B25" s="49" t="s">
        <v>258</v>
      </c>
      <c r="C25" s="25">
        <f t="shared" ref="C25:C29" si="9">I25*J25/10000</f>
        <v>58.8</v>
      </c>
      <c r="D25" s="25"/>
      <c r="E25" s="25"/>
      <c r="F25" s="25"/>
      <c r="G25" s="25">
        <f t="shared" si="6"/>
        <v>58.8</v>
      </c>
      <c r="H25" s="47" t="s">
        <v>17</v>
      </c>
      <c r="I25" s="25">
        <v>980</v>
      </c>
      <c r="J25" s="25">
        <v>600</v>
      </c>
      <c r="K25" s="58"/>
    </row>
    <row r="26" s="1" customFormat="1" customHeight="1" spans="1:11">
      <c r="A26" s="28">
        <v>2.12</v>
      </c>
      <c r="B26" s="49" t="s">
        <v>259</v>
      </c>
      <c r="C26" s="25"/>
      <c r="D26" s="25">
        <f>I26*J26/10000</f>
        <v>25.6</v>
      </c>
      <c r="E26" s="25"/>
      <c r="F26" s="25"/>
      <c r="G26" s="25">
        <f t="shared" si="6"/>
        <v>25.6</v>
      </c>
      <c r="H26" s="47" t="s">
        <v>130</v>
      </c>
      <c r="I26" s="25">
        <v>3200</v>
      </c>
      <c r="J26" s="25">
        <v>80</v>
      </c>
      <c r="K26" s="58"/>
    </row>
    <row r="27" s="1" customFormat="1" customHeight="1" spans="1:11">
      <c r="A27" s="28">
        <v>2.13</v>
      </c>
      <c r="B27" s="49" t="s">
        <v>260</v>
      </c>
      <c r="C27" s="25">
        <f t="shared" si="9"/>
        <v>228.48</v>
      </c>
      <c r="D27" s="25"/>
      <c r="E27" s="25"/>
      <c r="F27" s="25"/>
      <c r="G27" s="25">
        <f t="shared" si="6"/>
        <v>228.48</v>
      </c>
      <c r="H27" s="47" t="s">
        <v>17</v>
      </c>
      <c r="I27" s="25">
        <v>7140</v>
      </c>
      <c r="J27" s="25">
        <v>320</v>
      </c>
      <c r="K27" s="58"/>
    </row>
    <row r="28" s="1" customFormat="1" customHeight="1" spans="1:11">
      <c r="A28" s="28">
        <v>2.14</v>
      </c>
      <c r="B28" s="49" t="s">
        <v>261</v>
      </c>
      <c r="C28" s="25">
        <f t="shared" si="9"/>
        <v>5.4</v>
      </c>
      <c r="D28" s="25"/>
      <c r="E28" s="25"/>
      <c r="F28" s="25"/>
      <c r="G28" s="25">
        <f t="shared" si="6"/>
        <v>5.4</v>
      </c>
      <c r="H28" s="47" t="s">
        <v>17</v>
      </c>
      <c r="I28" s="25">
        <v>108</v>
      </c>
      <c r="J28" s="25">
        <v>500</v>
      </c>
      <c r="K28" s="58"/>
    </row>
    <row r="29" s="1" customFormat="1" customHeight="1" spans="1:11">
      <c r="A29" s="28">
        <v>2.15</v>
      </c>
      <c r="B29" s="49" t="s">
        <v>262</v>
      </c>
      <c r="C29" s="25">
        <f t="shared" si="9"/>
        <v>3</v>
      </c>
      <c r="D29" s="25"/>
      <c r="E29" s="25"/>
      <c r="F29" s="25"/>
      <c r="G29" s="25">
        <f t="shared" si="6"/>
        <v>3</v>
      </c>
      <c r="H29" s="47" t="s">
        <v>37</v>
      </c>
      <c r="I29" s="25">
        <v>1</v>
      </c>
      <c r="J29" s="25">
        <v>30000</v>
      </c>
      <c r="K29" s="58"/>
    </row>
    <row r="30" s="5" customFormat="1" customHeight="1" spans="1:20">
      <c r="A30" s="31" t="s">
        <v>91</v>
      </c>
      <c r="B30" s="32" t="s">
        <v>92</v>
      </c>
      <c r="C30" s="19"/>
      <c r="D30" s="33"/>
      <c r="E30" s="33"/>
      <c r="F30" s="20">
        <f>SUM(F31:F47)</f>
        <v>235.648746538002</v>
      </c>
      <c r="G30" s="20">
        <f>SUM(G31:G47)</f>
        <v>235.648746538002</v>
      </c>
      <c r="H30" s="52" t="s">
        <v>93</v>
      </c>
      <c r="I30" s="60"/>
      <c r="J30" s="61"/>
      <c r="K30" s="58">
        <f>G30/G49</f>
        <v>0.0783750299839199</v>
      </c>
      <c r="Q30" s="3"/>
      <c r="R30" s="3"/>
      <c r="S30" s="3"/>
      <c r="T30" s="3"/>
    </row>
    <row r="31" s="2" customFormat="1" customHeight="1" spans="1:20">
      <c r="A31" s="34">
        <v>1</v>
      </c>
      <c r="B31" s="35" t="s">
        <v>94</v>
      </c>
      <c r="C31" s="27"/>
      <c r="D31" s="36"/>
      <c r="E31" s="36"/>
      <c r="F31" s="25">
        <f t="shared" ref="F31:F38" si="10">I31*J31</f>
        <v>24.97698</v>
      </c>
      <c r="G31" s="25">
        <f t="shared" ref="G31:G48" si="11">F31</f>
        <v>24.97698</v>
      </c>
      <c r="H31" s="48" t="s">
        <v>93</v>
      </c>
      <c r="I31" s="25">
        <f>G5</f>
        <v>2497.698</v>
      </c>
      <c r="J31" s="62">
        <v>0.01</v>
      </c>
      <c r="K31" s="63"/>
      <c r="L31" s="64"/>
      <c r="Q31" s="3"/>
      <c r="R31" s="3"/>
      <c r="S31" s="3"/>
      <c r="T31" s="3"/>
    </row>
    <row r="32" s="2" customFormat="1" customHeight="1" spans="1:20">
      <c r="A32" s="34">
        <v>2</v>
      </c>
      <c r="B32" s="35" t="s">
        <v>95</v>
      </c>
      <c r="C32" s="27"/>
      <c r="D32" s="25"/>
      <c r="E32" s="25"/>
      <c r="F32" s="25">
        <f t="shared" si="10"/>
        <v>29.972376</v>
      </c>
      <c r="G32" s="25">
        <f t="shared" si="11"/>
        <v>29.972376</v>
      </c>
      <c r="H32" s="48" t="s">
        <v>93</v>
      </c>
      <c r="I32" s="25">
        <f>G5</f>
        <v>2497.698</v>
      </c>
      <c r="J32" s="62">
        <v>0.012</v>
      </c>
      <c r="K32" s="59"/>
      <c r="Q32" s="73"/>
      <c r="R32" s="73"/>
      <c r="S32" s="73"/>
      <c r="T32" s="73"/>
    </row>
    <row r="33" s="2" customFormat="1" customHeight="1" spans="1:11">
      <c r="A33" s="34">
        <v>3</v>
      </c>
      <c r="B33" s="35" t="s">
        <v>263</v>
      </c>
      <c r="C33" s="27"/>
      <c r="D33" s="25"/>
      <c r="E33" s="25"/>
      <c r="F33" s="25">
        <f t="shared" si="10"/>
        <v>8.741943</v>
      </c>
      <c r="G33" s="25">
        <f t="shared" si="11"/>
        <v>8.741943</v>
      </c>
      <c r="H33" s="48" t="s">
        <v>93</v>
      </c>
      <c r="I33" s="25">
        <f>G5</f>
        <v>2497.698</v>
      </c>
      <c r="J33" s="62">
        <v>0.0035</v>
      </c>
      <c r="K33" s="59"/>
    </row>
    <row r="34" s="2" customFormat="1" customHeight="1" spans="1:11">
      <c r="A34" s="34">
        <v>4</v>
      </c>
      <c r="B34" s="35" t="s">
        <v>264</v>
      </c>
      <c r="C34" s="27"/>
      <c r="D34" s="25"/>
      <c r="E34" s="25"/>
      <c r="F34" s="25">
        <f t="shared" si="10"/>
        <v>13.4875692</v>
      </c>
      <c r="G34" s="25">
        <f t="shared" si="11"/>
        <v>13.4875692</v>
      </c>
      <c r="H34" s="48" t="s">
        <v>93</v>
      </c>
      <c r="I34" s="25">
        <f>G5</f>
        <v>2497.698</v>
      </c>
      <c r="J34" s="62">
        <v>0.0054</v>
      </c>
      <c r="K34" s="59"/>
    </row>
    <row r="35" s="2" customFormat="1" customHeight="1" spans="1:11">
      <c r="A35" s="34">
        <v>5</v>
      </c>
      <c r="B35" s="35" t="s">
        <v>265</v>
      </c>
      <c r="C35" s="27"/>
      <c r="D35" s="25"/>
      <c r="E35" s="25"/>
      <c r="F35" s="25">
        <f t="shared" si="10"/>
        <v>19.981584</v>
      </c>
      <c r="G35" s="25">
        <f t="shared" si="11"/>
        <v>19.981584</v>
      </c>
      <c r="H35" s="48" t="s">
        <v>93</v>
      </c>
      <c r="I35" s="25">
        <f>G5</f>
        <v>2497.698</v>
      </c>
      <c r="J35" s="62">
        <v>0.008</v>
      </c>
      <c r="K35" s="59"/>
    </row>
    <row r="36" s="2" customFormat="1" customHeight="1" spans="1:20">
      <c r="A36" s="34">
        <v>6</v>
      </c>
      <c r="B36" s="35" t="s">
        <v>266</v>
      </c>
      <c r="C36" s="27"/>
      <c r="D36" s="25"/>
      <c r="E36" s="25"/>
      <c r="F36" s="25">
        <f t="shared" si="10"/>
        <v>3.746547</v>
      </c>
      <c r="G36" s="25">
        <f t="shared" si="11"/>
        <v>3.746547</v>
      </c>
      <c r="H36" s="48" t="s">
        <v>93</v>
      </c>
      <c r="I36" s="25">
        <f>G5</f>
        <v>2497.698</v>
      </c>
      <c r="J36" s="62">
        <v>0.0015</v>
      </c>
      <c r="K36" s="59"/>
      <c r="Q36" s="2" t="s">
        <v>267</v>
      </c>
      <c r="R36" s="2" t="s">
        <v>268</v>
      </c>
      <c r="T36" s="2" t="s">
        <v>269</v>
      </c>
    </row>
    <row r="37" s="6" customFormat="1" customHeight="1" spans="1:20">
      <c r="A37" s="34">
        <v>7</v>
      </c>
      <c r="B37" s="37" t="s">
        <v>270</v>
      </c>
      <c r="C37" s="38"/>
      <c r="D37" s="39"/>
      <c r="E37" s="39"/>
      <c r="F37" s="39">
        <f t="shared" si="10"/>
        <v>4.995396</v>
      </c>
      <c r="G37" s="25">
        <f t="shared" si="11"/>
        <v>4.995396</v>
      </c>
      <c r="H37" s="53" t="s">
        <v>93</v>
      </c>
      <c r="I37" s="39">
        <f>G5</f>
        <v>2497.698</v>
      </c>
      <c r="J37" s="65">
        <v>0.002</v>
      </c>
      <c r="K37" s="66"/>
      <c r="N37" s="72"/>
      <c r="Q37" s="72">
        <v>3177.51</v>
      </c>
      <c r="R37" s="72">
        <v>3159.47035926418</v>
      </c>
      <c r="S37" s="72"/>
      <c r="T37" s="72">
        <f>G49</f>
        <v>3006.6814211918</v>
      </c>
    </row>
    <row r="38" s="6" customFormat="1" customHeight="1" spans="1:21">
      <c r="A38" s="34">
        <v>8</v>
      </c>
      <c r="B38" s="37" t="s">
        <v>271</v>
      </c>
      <c r="C38" s="38"/>
      <c r="D38" s="39"/>
      <c r="E38" s="39"/>
      <c r="F38" s="39">
        <f t="shared" si="10"/>
        <v>69.935544</v>
      </c>
      <c r="G38" s="25">
        <f t="shared" si="11"/>
        <v>69.935544</v>
      </c>
      <c r="H38" s="53" t="s">
        <v>93</v>
      </c>
      <c r="I38" s="39">
        <f>G5</f>
        <v>2497.698</v>
      </c>
      <c r="J38" s="65">
        <v>0.028</v>
      </c>
      <c r="K38" s="66"/>
      <c r="Q38" s="72">
        <v>9364.08</v>
      </c>
      <c r="R38" s="72">
        <v>9384.10711563977</v>
      </c>
      <c r="S38" s="72"/>
      <c r="T38" s="72">
        <f>概算明细表!G146</f>
        <v>4244.57175479735</v>
      </c>
      <c r="U38" s="6">
        <f>T39-T47</f>
        <v>-5308.74682401085</v>
      </c>
    </row>
    <row r="39" s="6" customFormat="1" customHeight="1" spans="1:20">
      <c r="A39" s="34">
        <v>9</v>
      </c>
      <c r="B39" s="37" t="s">
        <v>140</v>
      </c>
      <c r="C39" s="38"/>
      <c r="D39" s="39"/>
      <c r="E39" s="39"/>
      <c r="F39" s="39">
        <f>((I39-1000)*(12-5)/2000+5)</f>
        <v>11.0920620294081</v>
      </c>
      <c r="G39" s="25">
        <f t="shared" si="11"/>
        <v>11.0920620294081</v>
      </c>
      <c r="H39" s="53" t="s">
        <v>93</v>
      </c>
      <c r="I39" s="39">
        <f>G5+G31+G32+G33+G34+G35+G36+G37+G38+G40+G41+G42+G43+G45+G46+G47+(G31+G32+G33+G34+G35+G36+G37+G38+G40+G41+G42+G43+G45+G46+G47)*J48</f>
        <v>2740.58915125945</v>
      </c>
      <c r="J39" s="65">
        <f>G39/I39</f>
        <v>0.00404732756980763</v>
      </c>
      <c r="K39" s="66"/>
      <c r="Q39" s="72">
        <v>12541.59</v>
      </c>
      <c r="R39" s="72">
        <v>12543.577474904</v>
      </c>
      <c r="S39" s="72"/>
      <c r="T39" s="72">
        <f>T37+T38</f>
        <v>7251.25317598915</v>
      </c>
    </row>
    <row r="40" s="6" customFormat="1" customHeight="1" spans="1:20">
      <c r="A40" s="34">
        <v>10</v>
      </c>
      <c r="B40" s="37" t="s">
        <v>141</v>
      </c>
      <c r="C40" s="38"/>
      <c r="D40" s="39"/>
      <c r="E40" s="39"/>
      <c r="F40" s="39">
        <f>((I40-3000)*(14-6)/7000+6)</f>
        <v>5.69636930859429</v>
      </c>
      <c r="G40" s="25">
        <f t="shared" si="11"/>
        <v>5.69636930859429</v>
      </c>
      <c r="H40" s="53" t="s">
        <v>93</v>
      </c>
      <c r="I40" s="39">
        <f>G5+G31+G32+G33+G34+G35+G36+G37+G38+G41+G42+G43+G45+G46+G47+(G31+G32+G33+G34+G35+G36+G37+G38+G41+G42+G43+G45+G46+G47)*J48</f>
        <v>2734.32314502</v>
      </c>
      <c r="J40" s="65">
        <f>G40/I40</f>
        <v>0.00208328314046167</v>
      </c>
      <c r="K40" s="66"/>
      <c r="Q40" s="72"/>
      <c r="R40" s="72"/>
      <c r="S40" s="72"/>
      <c r="T40" s="72"/>
    </row>
    <row r="41" s="6" customFormat="1" customHeight="1" spans="1:21">
      <c r="A41" s="34">
        <v>11</v>
      </c>
      <c r="B41" s="37" t="s">
        <v>196</v>
      </c>
      <c r="C41" s="38"/>
      <c r="D41" s="39"/>
      <c r="E41" s="39"/>
      <c r="F41" s="39">
        <f t="shared" ref="F41:F45" si="12">I41*J41</f>
        <v>3.746547</v>
      </c>
      <c r="G41" s="25">
        <f t="shared" si="11"/>
        <v>3.746547</v>
      </c>
      <c r="H41" s="53" t="s">
        <v>93</v>
      </c>
      <c r="I41" s="39">
        <f>G5</f>
        <v>2497.698</v>
      </c>
      <c r="J41" s="65">
        <v>0.0015</v>
      </c>
      <c r="K41" s="66"/>
      <c r="Q41" s="72">
        <v>-1.98747490394999</v>
      </c>
      <c r="T41" s="6">
        <f>Q39-T39</f>
        <v>5290.33682401085</v>
      </c>
      <c r="U41" s="6">
        <f>T39-R39</f>
        <v>-5292.32429891485</v>
      </c>
    </row>
    <row r="42" s="2" customFormat="1" customHeight="1" spans="1:18">
      <c r="A42" s="34">
        <v>12</v>
      </c>
      <c r="B42" s="35" t="s">
        <v>272</v>
      </c>
      <c r="C42" s="27"/>
      <c r="D42" s="25"/>
      <c r="E42" s="25"/>
      <c r="F42" s="25">
        <f>1+2.8+2.75+(I42-1000)*0.0035</f>
        <v>11.791943</v>
      </c>
      <c r="G42" s="25">
        <f t="shared" si="11"/>
        <v>11.791943</v>
      </c>
      <c r="H42" s="48" t="s">
        <v>93</v>
      </c>
      <c r="I42" s="25">
        <f>G5</f>
        <v>2497.698</v>
      </c>
      <c r="J42" s="62">
        <v>0.0073</v>
      </c>
      <c r="K42" s="59"/>
      <c r="L42" s="64"/>
      <c r="R42" s="2">
        <f>T47-R39</f>
        <v>16.4225250960008</v>
      </c>
    </row>
    <row r="43" s="2" customFormat="1" customHeight="1" spans="1:12">
      <c r="A43" s="34">
        <v>13</v>
      </c>
      <c r="B43" s="35" t="s">
        <v>202</v>
      </c>
      <c r="C43" s="27"/>
      <c r="D43" s="25"/>
      <c r="E43" s="25"/>
      <c r="F43" s="25">
        <f>J43/10000</f>
        <v>5</v>
      </c>
      <c r="G43" s="25">
        <f t="shared" si="11"/>
        <v>5</v>
      </c>
      <c r="H43" s="48" t="s">
        <v>93</v>
      </c>
      <c r="I43" s="25">
        <v>1</v>
      </c>
      <c r="J43" s="25">
        <v>50000</v>
      </c>
      <c r="K43" s="59"/>
      <c r="L43" s="64"/>
    </row>
    <row r="44" s="2" customFormat="1" customHeight="1" spans="1:21">
      <c r="A44" s="34">
        <v>14</v>
      </c>
      <c r="B44" s="35" t="s">
        <v>145</v>
      </c>
      <c r="C44" s="27"/>
      <c r="D44" s="25"/>
      <c r="E44" s="25"/>
      <c r="F44" s="25">
        <f t="shared" si="12"/>
        <v>3.746547</v>
      </c>
      <c r="G44" s="25">
        <f t="shared" si="11"/>
        <v>3.746547</v>
      </c>
      <c r="H44" s="48" t="s">
        <v>93</v>
      </c>
      <c r="I44" s="25">
        <f>G5</f>
        <v>2497.698</v>
      </c>
      <c r="J44" s="62">
        <v>0.0015</v>
      </c>
      <c r="K44" s="59"/>
      <c r="L44" s="64"/>
      <c r="U44" s="2">
        <f>R37-R45</f>
        <v>152.788938072377</v>
      </c>
    </row>
    <row r="45" s="2" customFormat="1" customHeight="1" spans="1:20">
      <c r="A45" s="34">
        <v>15</v>
      </c>
      <c r="B45" s="35" t="s">
        <v>139</v>
      </c>
      <c r="C45" s="27"/>
      <c r="D45" s="25"/>
      <c r="E45" s="25"/>
      <c r="F45" s="25">
        <f t="shared" si="12"/>
        <v>12.48849</v>
      </c>
      <c r="G45" s="25">
        <f t="shared" si="11"/>
        <v>12.48849</v>
      </c>
      <c r="H45" s="48" t="s">
        <v>93</v>
      </c>
      <c r="I45" s="25">
        <f>G5</f>
        <v>2497.698</v>
      </c>
      <c r="J45" s="62">
        <v>0.005</v>
      </c>
      <c r="K45" s="59"/>
      <c r="L45" s="64"/>
      <c r="Q45" s="2">
        <v>3177.51</v>
      </c>
      <c r="R45" s="64">
        <f>G49</f>
        <v>3006.6814211918</v>
      </c>
      <c r="S45" s="64">
        <f>Q45-R45</f>
        <v>170.828578808198</v>
      </c>
      <c r="T45" s="2">
        <v>3920</v>
      </c>
    </row>
    <row r="46" s="2" customFormat="1" customHeight="1" spans="1:20">
      <c r="A46" s="34">
        <v>16</v>
      </c>
      <c r="B46" s="35" t="s">
        <v>146</v>
      </c>
      <c r="C46" s="27"/>
      <c r="D46" s="25"/>
      <c r="E46" s="25"/>
      <c r="F46" s="25">
        <f>I46*J46/10000</f>
        <v>5</v>
      </c>
      <c r="G46" s="25">
        <f t="shared" si="11"/>
        <v>5</v>
      </c>
      <c r="H46" s="48" t="s">
        <v>93</v>
      </c>
      <c r="I46" s="25">
        <v>1</v>
      </c>
      <c r="J46" s="128">
        <v>50000</v>
      </c>
      <c r="K46" s="59"/>
      <c r="L46" s="64"/>
      <c r="Q46" s="2">
        <v>9364.08</v>
      </c>
      <c r="R46" s="64">
        <f>概算明细表!G146</f>
        <v>4244.57175479735</v>
      </c>
      <c r="S46" s="64">
        <f>Q46-R46</f>
        <v>5119.50824520265</v>
      </c>
      <c r="T46" s="2">
        <v>8640</v>
      </c>
    </row>
    <row r="47" s="2" customFormat="1" customHeight="1" spans="1:20">
      <c r="A47" s="34">
        <v>17</v>
      </c>
      <c r="B47" s="35" t="s">
        <v>273</v>
      </c>
      <c r="C47" s="27"/>
      <c r="D47" s="25"/>
      <c r="E47" s="25"/>
      <c r="F47" s="25">
        <f>I47*J47</f>
        <v>1.248849</v>
      </c>
      <c r="G47" s="25">
        <f t="shared" si="11"/>
        <v>1.248849</v>
      </c>
      <c r="H47" s="48" t="s">
        <v>93</v>
      </c>
      <c r="I47" s="25">
        <f>G5</f>
        <v>2497.698</v>
      </c>
      <c r="J47" s="129">
        <v>0.0005</v>
      </c>
      <c r="K47" s="59"/>
      <c r="L47" s="64"/>
      <c r="Q47" s="2">
        <f t="shared" ref="Q47:T47" si="13">Q45+Q46</f>
        <v>12541.59</v>
      </c>
      <c r="R47" s="64">
        <f t="shared" si="13"/>
        <v>7251.25317598915</v>
      </c>
      <c r="S47" s="64"/>
      <c r="T47" s="2">
        <f t="shared" si="13"/>
        <v>12560</v>
      </c>
    </row>
    <row r="48" s="5" customFormat="1" customHeight="1" spans="1:19">
      <c r="A48" s="31" t="s">
        <v>110</v>
      </c>
      <c r="B48" s="40" t="s">
        <v>111</v>
      </c>
      <c r="C48" s="19"/>
      <c r="D48" s="20"/>
      <c r="E48" s="20"/>
      <c r="F48" s="20">
        <f>I48*J48</f>
        <v>273.3346746538</v>
      </c>
      <c r="G48" s="20">
        <f t="shared" si="11"/>
        <v>273.3346746538</v>
      </c>
      <c r="H48" s="52" t="s">
        <v>93</v>
      </c>
      <c r="I48" s="20">
        <f>G30+G5</f>
        <v>2733.346746538</v>
      </c>
      <c r="J48" s="68">
        <v>0.1</v>
      </c>
      <c r="K48" s="69">
        <f>G48/G49</f>
        <v>0.0909090909090909</v>
      </c>
      <c r="R48" s="130"/>
      <c r="S48" s="130"/>
    </row>
    <row r="49" s="5" customFormat="1" customHeight="1" spans="1:18">
      <c r="A49" s="41" t="s">
        <v>112</v>
      </c>
      <c r="B49" s="42" t="s">
        <v>113</v>
      </c>
      <c r="C49" s="43">
        <f>C5</f>
        <v>2045.048</v>
      </c>
      <c r="D49" s="43">
        <f>D5</f>
        <v>325.15</v>
      </c>
      <c r="E49" s="54"/>
      <c r="F49" s="54">
        <f>F30+F48</f>
        <v>508.983421191803</v>
      </c>
      <c r="G49" s="54">
        <f>G5+G30+G48</f>
        <v>3006.6814211918</v>
      </c>
      <c r="H49" s="55" t="s">
        <v>93</v>
      </c>
      <c r="I49" s="54">
        <f>G5+G30</f>
        <v>2733.346746538</v>
      </c>
      <c r="J49" s="70"/>
      <c r="K49" s="71">
        <v>1</v>
      </c>
      <c r="Q49" s="130">
        <f>Q47-R47</f>
        <v>5290.33682401085</v>
      </c>
      <c r="R49" s="5">
        <f>T47-R47</f>
        <v>5308.74682401085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0"/>
  <sheetViews>
    <sheetView zoomScale="70" zoomScaleNormal="70" zoomScaleSheetLayoutView="85" workbookViewId="0">
      <selection activeCell="J14" sqref="J14"/>
    </sheetView>
  </sheetViews>
  <sheetFormatPr defaultColWidth="10.2666666666667" defaultRowHeight="28" customHeight="1"/>
  <cols>
    <col min="1" max="1" width="11.4583333333333" style="7"/>
    <col min="2" max="2" width="46.5416666666667" style="8" customWidth="1"/>
    <col min="3" max="3" width="20.1833333333333" style="78"/>
    <col min="4" max="4" width="18.5416666666667" style="7"/>
    <col min="5" max="5" width="15.2666666666667" style="8" customWidth="1"/>
    <col min="6" max="6" width="13.5416666666667" style="8" customWidth="1"/>
    <col min="7" max="7" width="17.725" style="9" customWidth="1"/>
    <col min="8" max="8" width="10.2666666666667" style="7"/>
    <col min="9" max="9" width="20.1833333333333" style="78"/>
    <col min="10" max="10" width="20" style="78"/>
    <col min="11" max="11" width="17.725" style="8" customWidth="1"/>
    <col min="12" max="12" width="10.2666666666667" style="8"/>
    <col min="13" max="13" width="12" style="8"/>
    <col min="14" max="14" width="14.5416666666667" style="8"/>
    <col min="15" max="15" width="30.3583333333333" style="8" customWidth="1"/>
    <col min="16" max="16" width="27.725" style="8" customWidth="1"/>
    <col min="17" max="17" width="10.4583333333333" style="8"/>
    <col min="18" max="18" width="24.625" style="8" customWidth="1"/>
    <col min="19" max="19" width="15.5416666666667" style="8" customWidth="1"/>
    <col min="20" max="16384" width="10.2666666666667" style="8"/>
  </cols>
  <sheetData>
    <row r="1" ht="42" customHeight="1" spans="1:11">
      <c r="A1" s="79" t="s">
        <v>159</v>
      </c>
      <c r="B1" s="79"/>
      <c r="C1" s="80"/>
      <c r="D1" s="79"/>
      <c r="E1" s="79"/>
      <c r="F1" s="79"/>
      <c r="G1" s="98"/>
      <c r="H1" s="79"/>
      <c r="I1" s="80"/>
      <c r="J1" s="80"/>
      <c r="K1" s="79"/>
    </row>
    <row r="2" customHeight="1" spans="1:11">
      <c r="A2" s="11" t="s">
        <v>274</v>
      </c>
      <c r="B2" s="11"/>
      <c r="C2" s="81"/>
      <c r="D2" s="11"/>
      <c r="E2" s="11"/>
      <c r="F2" s="11"/>
      <c r="G2" s="45"/>
      <c r="H2" s="11"/>
      <c r="I2" s="81"/>
      <c r="J2" s="81"/>
      <c r="K2" s="11"/>
    </row>
    <row r="3" ht="18" spans="1:11">
      <c r="A3" s="12" t="s">
        <v>2</v>
      </c>
      <c r="B3" s="13" t="s">
        <v>3</v>
      </c>
      <c r="C3" s="14" t="s">
        <v>116</v>
      </c>
      <c r="D3" s="14"/>
      <c r="E3" s="14"/>
      <c r="F3" s="14"/>
      <c r="G3" s="46"/>
      <c r="H3" s="14" t="s">
        <v>5</v>
      </c>
      <c r="I3" s="100"/>
      <c r="J3" s="100"/>
      <c r="K3" s="56" t="s">
        <v>6</v>
      </c>
    </row>
    <row r="4" customHeight="1" spans="1:11">
      <c r="A4" s="15"/>
      <c r="B4" s="16"/>
      <c r="C4" s="16" t="s">
        <v>211</v>
      </c>
      <c r="D4" s="16" t="s">
        <v>235</v>
      </c>
      <c r="E4" s="16" t="s">
        <v>8</v>
      </c>
      <c r="F4" s="16" t="s">
        <v>10</v>
      </c>
      <c r="G4" s="47" t="s">
        <v>11</v>
      </c>
      <c r="H4" s="48" t="s">
        <v>12</v>
      </c>
      <c r="I4" s="48" t="s">
        <v>13</v>
      </c>
      <c r="J4" s="16" t="s">
        <v>244</v>
      </c>
      <c r="K4" s="57"/>
    </row>
    <row r="5" s="1" customFormat="1" customHeight="1" spans="1:11">
      <c r="A5" s="17" t="s">
        <v>15</v>
      </c>
      <c r="B5" s="18" t="s">
        <v>16</v>
      </c>
      <c r="C5" s="20">
        <f t="shared" ref="C5:G5" si="0">C6+C16+C54+C55+C56</f>
        <v>6179.5324</v>
      </c>
      <c r="D5" s="20">
        <f t="shared" si="0"/>
        <v>918.012738</v>
      </c>
      <c r="E5" s="20">
        <f t="shared" si="0"/>
        <v>1095.495902</v>
      </c>
      <c r="F5" s="20"/>
      <c r="G5" s="20">
        <f t="shared" si="0"/>
        <v>8193.04104</v>
      </c>
      <c r="H5" s="18" t="s">
        <v>93</v>
      </c>
      <c r="I5" s="20"/>
      <c r="J5" s="20"/>
      <c r="K5" s="58">
        <f>G5/G76</f>
        <v>0.823121490135211</v>
      </c>
    </row>
    <row r="6" s="74" customFormat="1" customHeight="1" spans="1:18">
      <c r="A6" s="82" t="s">
        <v>18</v>
      </c>
      <c r="B6" s="83" t="s">
        <v>161</v>
      </c>
      <c r="C6" s="20">
        <f t="shared" ref="C6:G6" si="1">SUM(C7:C15)</f>
        <v>5313.3804</v>
      </c>
      <c r="D6" s="20">
        <f t="shared" si="1"/>
        <v>784.422738</v>
      </c>
      <c r="E6" s="20">
        <f t="shared" si="1"/>
        <v>935.695902</v>
      </c>
      <c r="F6" s="20"/>
      <c r="G6" s="20">
        <f t="shared" si="1"/>
        <v>7033.49904</v>
      </c>
      <c r="H6" s="52" t="s">
        <v>93</v>
      </c>
      <c r="I6" s="20"/>
      <c r="J6" s="20"/>
      <c r="K6" s="101"/>
      <c r="P6" s="74">
        <v>300</v>
      </c>
      <c r="R6" s="74">
        <v>4000</v>
      </c>
    </row>
    <row r="7" s="2" customFormat="1" ht="33" customHeight="1" spans="1:11">
      <c r="A7" s="84">
        <v>1</v>
      </c>
      <c r="B7" s="85" t="s">
        <v>275</v>
      </c>
      <c r="C7" s="25">
        <f>I7*J7/10000</f>
        <v>3215.9934</v>
      </c>
      <c r="D7" s="25"/>
      <c r="E7" s="25"/>
      <c r="F7" s="49"/>
      <c r="G7" s="25">
        <f t="shared" ref="G7:G15" si="2">SUM(C7:F7)</f>
        <v>3215.9934</v>
      </c>
      <c r="H7" s="48" t="s">
        <v>17</v>
      </c>
      <c r="I7" s="25">
        <v>13982.58</v>
      </c>
      <c r="J7" s="25">
        <v>2300</v>
      </c>
      <c r="K7" s="59"/>
    </row>
    <row r="8" s="2" customFormat="1" ht="33" customHeight="1" spans="1:11">
      <c r="A8" s="84">
        <v>2</v>
      </c>
      <c r="B8" s="85" t="s">
        <v>276</v>
      </c>
      <c r="C8" s="25">
        <f>I8*J8/10000</f>
        <v>2097.387</v>
      </c>
      <c r="D8" s="25"/>
      <c r="E8" s="25"/>
      <c r="F8" s="49"/>
      <c r="G8" s="25">
        <f t="shared" si="2"/>
        <v>2097.387</v>
      </c>
      <c r="H8" s="48" t="s">
        <v>17</v>
      </c>
      <c r="I8" s="25">
        <v>13982.58</v>
      </c>
      <c r="J8" s="25">
        <v>1500</v>
      </c>
      <c r="K8" s="59"/>
    </row>
    <row r="9" s="2" customFormat="1" customHeight="1" spans="1:11">
      <c r="A9" s="84">
        <v>3</v>
      </c>
      <c r="B9" s="86" t="s">
        <v>277</v>
      </c>
      <c r="C9" s="25"/>
      <c r="D9" s="25">
        <f>I9*J9/10000*0.6</f>
        <v>167.79096</v>
      </c>
      <c r="E9" s="25">
        <f>I9*J9/10000*0.4</f>
        <v>111.86064</v>
      </c>
      <c r="F9" s="49"/>
      <c r="G9" s="25">
        <f t="shared" si="2"/>
        <v>279.6516</v>
      </c>
      <c r="H9" s="48" t="s">
        <v>17</v>
      </c>
      <c r="I9" s="25">
        <v>13982.58</v>
      </c>
      <c r="J9" s="25">
        <v>200</v>
      </c>
      <c r="K9" s="59"/>
    </row>
    <row r="10" s="2" customFormat="1" customHeight="1" spans="1:18">
      <c r="A10" s="84">
        <v>4</v>
      </c>
      <c r="B10" s="87" t="s">
        <v>120</v>
      </c>
      <c r="C10" s="25"/>
      <c r="D10" s="25">
        <f>I10*J10/10000*0.7</f>
        <v>176.180508</v>
      </c>
      <c r="E10" s="25">
        <f>I10*J10/10000*0.3</f>
        <v>75.505932</v>
      </c>
      <c r="F10" s="49"/>
      <c r="G10" s="25">
        <f t="shared" si="2"/>
        <v>251.68644</v>
      </c>
      <c r="H10" s="48" t="s">
        <v>17</v>
      </c>
      <c r="I10" s="25">
        <v>13982.58</v>
      </c>
      <c r="J10" s="25">
        <v>180</v>
      </c>
      <c r="K10" s="59"/>
      <c r="O10" s="109" t="s">
        <v>77</v>
      </c>
      <c r="P10" s="86"/>
      <c r="Q10" s="86"/>
      <c r="R10" s="86"/>
    </row>
    <row r="11" s="2" customFormat="1" customHeight="1" spans="1:18">
      <c r="A11" s="84">
        <v>5</v>
      </c>
      <c r="B11" s="86" t="s">
        <v>165</v>
      </c>
      <c r="C11" s="25"/>
      <c r="D11" s="25">
        <f>I11*J11/10000*0.3</f>
        <v>104.86935</v>
      </c>
      <c r="E11" s="25">
        <f>I11*J11/10000*0.7</f>
        <v>244.69515</v>
      </c>
      <c r="F11" s="49"/>
      <c r="G11" s="25">
        <f t="shared" si="2"/>
        <v>349.5645</v>
      </c>
      <c r="H11" s="48" t="s">
        <v>17</v>
      </c>
      <c r="I11" s="25">
        <v>13982.58</v>
      </c>
      <c r="J11" s="25">
        <v>250</v>
      </c>
      <c r="K11" s="59"/>
      <c r="O11" s="110"/>
      <c r="P11" s="86" t="s">
        <v>278</v>
      </c>
      <c r="Q11" s="86"/>
      <c r="R11" s="86"/>
    </row>
    <row r="12" s="2" customFormat="1" customHeight="1" spans="1:18">
      <c r="A12" s="84">
        <v>6</v>
      </c>
      <c r="B12" s="86" t="s">
        <v>166</v>
      </c>
      <c r="C12" s="25"/>
      <c r="D12" s="25">
        <f>I12*J12/10000*0.3</f>
        <v>125.84322</v>
      </c>
      <c r="E12" s="25">
        <f>I12*J12/10000*0.7</f>
        <v>293.63418</v>
      </c>
      <c r="F12" s="49"/>
      <c r="G12" s="25">
        <f t="shared" si="2"/>
        <v>419.4774</v>
      </c>
      <c r="H12" s="48" t="s">
        <v>17</v>
      </c>
      <c r="I12" s="25">
        <v>13982.58</v>
      </c>
      <c r="J12" s="25">
        <v>300</v>
      </c>
      <c r="K12" s="59"/>
      <c r="O12" s="110"/>
      <c r="P12" s="86"/>
      <c r="Q12" s="86"/>
      <c r="R12" s="86"/>
    </row>
    <row r="13" s="2" customFormat="1" customHeight="1" spans="1:18">
      <c r="A13" s="84">
        <v>7</v>
      </c>
      <c r="B13" s="86" t="s">
        <v>167</v>
      </c>
      <c r="C13" s="25"/>
      <c r="D13" s="25">
        <f>I13*J13/10000</f>
        <v>209.7387</v>
      </c>
      <c r="E13" s="25"/>
      <c r="F13" s="49"/>
      <c r="G13" s="25">
        <f t="shared" si="2"/>
        <v>209.7387</v>
      </c>
      <c r="H13" s="48" t="s">
        <v>17</v>
      </c>
      <c r="I13" s="25">
        <v>13982.58</v>
      </c>
      <c r="J13" s="25">
        <v>150</v>
      </c>
      <c r="K13" s="59"/>
      <c r="O13" s="110"/>
      <c r="P13" s="86" t="s">
        <v>279</v>
      </c>
      <c r="Q13" s="86" t="s">
        <v>280</v>
      </c>
      <c r="R13" s="86" t="s">
        <v>281</v>
      </c>
    </row>
    <row r="14" s="4" customFormat="1" customHeight="1" spans="1:18">
      <c r="A14" s="84">
        <v>8</v>
      </c>
      <c r="B14" s="86" t="s">
        <v>282</v>
      </c>
      <c r="C14" s="25"/>
      <c r="D14" s="25"/>
      <c r="E14" s="25">
        <f>I14*J14/10000</f>
        <v>90</v>
      </c>
      <c r="F14" s="49"/>
      <c r="G14" s="25">
        <f t="shared" si="2"/>
        <v>90</v>
      </c>
      <c r="H14" s="48" t="s">
        <v>122</v>
      </c>
      <c r="I14" s="25">
        <v>3</v>
      </c>
      <c r="J14" s="25">
        <v>300000</v>
      </c>
      <c r="K14" s="59"/>
      <c r="O14" s="110"/>
      <c r="P14" s="86" t="s">
        <v>283</v>
      </c>
      <c r="Q14" s="86" t="s">
        <v>284</v>
      </c>
      <c r="R14" s="86" t="s">
        <v>285</v>
      </c>
    </row>
    <row r="15" s="4" customFormat="1" customHeight="1" spans="1:18">
      <c r="A15" s="84">
        <v>9</v>
      </c>
      <c r="B15" s="86" t="s">
        <v>286</v>
      </c>
      <c r="C15" s="25"/>
      <c r="D15" s="25"/>
      <c r="E15" s="25">
        <f>I15*J15/10000</f>
        <v>120</v>
      </c>
      <c r="F15" s="49"/>
      <c r="G15" s="25">
        <f t="shared" si="2"/>
        <v>120</v>
      </c>
      <c r="H15" s="48" t="s">
        <v>171</v>
      </c>
      <c r="I15" s="25">
        <v>300</v>
      </c>
      <c r="J15" s="25">
        <v>4000</v>
      </c>
      <c r="K15" s="59"/>
      <c r="O15" s="111"/>
      <c r="P15" s="86" t="s">
        <v>287</v>
      </c>
      <c r="Q15" s="86"/>
      <c r="R15" s="86" t="s">
        <v>288</v>
      </c>
    </row>
    <row r="16" s="5" customFormat="1" customHeight="1" spans="1:11">
      <c r="A16" s="21" t="s">
        <v>40</v>
      </c>
      <c r="B16" s="88" t="s">
        <v>125</v>
      </c>
      <c r="C16" s="20">
        <f t="shared" ref="C16:G16" si="3">C17+C18+C19+C20+C21+C22+C23+C24+C37+C44</f>
        <v>808.95</v>
      </c>
      <c r="D16" s="20">
        <f t="shared" si="3"/>
        <v>133.59</v>
      </c>
      <c r="E16" s="20">
        <f t="shared" si="3"/>
        <v>159.8</v>
      </c>
      <c r="F16" s="20"/>
      <c r="G16" s="20">
        <f t="shared" si="3"/>
        <v>1102.34</v>
      </c>
      <c r="H16" s="52" t="s">
        <v>93</v>
      </c>
      <c r="I16" s="20"/>
      <c r="J16" s="20"/>
      <c r="K16" s="102"/>
    </row>
    <row r="17" s="75" customFormat="1" customHeight="1" spans="1:11">
      <c r="A17" s="84">
        <v>1</v>
      </c>
      <c r="B17" s="24" t="s">
        <v>216</v>
      </c>
      <c r="C17" s="30">
        <f t="shared" ref="C17:C22" si="4">I17*J17/10000</f>
        <v>50</v>
      </c>
      <c r="D17" s="24"/>
      <c r="E17" s="24"/>
      <c r="F17" s="24"/>
      <c r="G17" s="30">
        <f t="shared" ref="G17:G23" si="5">SUM(C17:F17)</f>
        <v>50</v>
      </c>
      <c r="H17" s="51" t="s">
        <v>37</v>
      </c>
      <c r="I17" s="30">
        <v>1</v>
      </c>
      <c r="J17" s="30">
        <v>500000</v>
      </c>
      <c r="K17" s="102"/>
    </row>
    <row r="18" s="75" customFormat="1" customHeight="1" spans="1:11">
      <c r="A18" s="84">
        <v>2</v>
      </c>
      <c r="B18" s="24" t="s">
        <v>289</v>
      </c>
      <c r="C18" s="30">
        <f t="shared" si="4"/>
        <v>187.5</v>
      </c>
      <c r="D18" s="24"/>
      <c r="E18" s="24"/>
      <c r="F18" s="24"/>
      <c r="G18" s="30">
        <f t="shared" si="5"/>
        <v>187.5</v>
      </c>
      <c r="H18" s="51" t="s">
        <v>17</v>
      </c>
      <c r="I18" s="30">
        <v>7500</v>
      </c>
      <c r="J18" s="30">
        <v>250</v>
      </c>
      <c r="K18" s="102"/>
    </row>
    <row r="19" s="75" customFormat="1" customHeight="1" spans="1:19">
      <c r="A19" s="84">
        <v>3</v>
      </c>
      <c r="B19" s="3" t="s">
        <v>290</v>
      </c>
      <c r="C19" s="30">
        <f t="shared" si="4"/>
        <v>418</v>
      </c>
      <c r="D19" s="24"/>
      <c r="E19" s="24"/>
      <c r="F19" s="24"/>
      <c r="G19" s="30">
        <f t="shared" si="5"/>
        <v>418</v>
      </c>
      <c r="H19" s="51" t="s">
        <v>17</v>
      </c>
      <c r="I19" s="30">
        <v>11000</v>
      </c>
      <c r="J19" s="30">
        <v>380</v>
      </c>
      <c r="K19" s="102"/>
      <c r="O19" s="109" t="s">
        <v>76</v>
      </c>
      <c r="P19" s="86"/>
      <c r="Q19" s="86"/>
      <c r="R19" s="86"/>
      <c r="S19" s="86"/>
    </row>
    <row r="20" s="75" customFormat="1" customHeight="1" spans="1:19">
      <c r="A20" s="84">
        <v>7</v>
      </c>
      <c r="B20" s="24" t="s">
        <v>291</v>
      </c>
      <c r="C20" s="30">
        <f t="shared" si="4"/>
        <v>27.5</v>
      </c>
      <c r="D20" s="20"/>
      <c r="E20" s="20"/>
      <c r="F20" s="95"/>
      <c r="G20" s="25">
        <f t="shared" si="5"/>
        <v>27.5</v>
      </c>
      <c r="H20" s="48" t="s">
        <v>17</v>
      </c>
      <c r="I20" s="30">
        <v>2500</v>
      </c>
      <c r="J20" s="30">
        <v>110</v>
      </c>
      <c r="K20" s="102"/>
      <c r="O20" s="110"/>
      <c r="P20" s="86" t="s">
        <v>292</v>
      </c>
      <c r="Q20" s="86" t="s">
        <v>293</v>
      </c>
      <c r="R20" s="86" t="s">
        <v>294</v>
      </c>
      <c r="S20" s="86" t="s">
        <v>295</v>
      </c>
    </row>
    <row r="21" s="75" customFormat="1" customHeight="1" spans="1:19">
      <c r="A21" s="84">
        <v>8</v>
      </c>
      <c r="B21" s="3" t="s">
        <v>296</v>
      </c>
      <c r="C21" s="30">
        <f t="shared" si="4"/>
        <v>12.5</v>
      </c>
      <c r="D21" s="20"/>
      <c r="E21" s="20"/>
      <c r="F21" s="95"/>
      <c r="G21" s="25">
        <f t="shared" si="5"/>
        <v>12.5</v>
      </c>
      <c r="H21" s="48" t="s">
        <v>17</v>
      </c>
      <c r="I21" s="30">
        <v>2500</v>
      </c>
      <c r="J21" s="30">
        <v>50</v>
      </c>
      <c r="K21" s="102"/>
      <c r="O21" s="110"/>
      <c r="P21" s="86"/>
      <c r="Q21" s="86" t="s">
        <v>297</v>
      </c>
      <c r="R21" s="86" t="s">
        <v>298</v>
      </c>
      <c r="S21" s="86"/>
    </row>
    <row r="22" s="75" customFormat="1" customHeight="1" spans="1:19">
      <c r="A22" s="84">
        <v>9</v>
      </c>
      <c r="B22" s="3" t="s">
        <v>299</v>
      </c>
      <c r="C22" s="29">
        <f t="shared" si="4"/>
        <v>7.5</v>
      </c>
      <c r="D22" s="20"/>
      <c r="E22" s="20"/>
      <c r="F22" s="95"/>
      <c r="G22" s="25">
        <f t="shared" si="5"/>
        <v>7.5</v>
      </c>
      <c r="H22" s="48" t="s">
        <v>173</v>
      </c>
      <c r="I22" s="29">
        <v>50</v>
      </c>
      <c r="J22" s="29">
        <v>1500</v>
      </c>
      <c r="K22" s="102"/>
      <c r="O22" s="110"/>
      <c r="P22" s="86" t="s">
        <v>300</v>
      </c>
      <c r="Q22" s="86"/>
      <c r="R22" s="86"/>
      <c r="S22" s="86"/>
    </row>
    <row r="23" s="75" customFormat="1" customHeight="1" spans="1:19">
      <c r="A23" s="84">
        <v>10</v>
      </c>
      <c r="B23" s="3" t="s">
        <v>301</v>
      </c>
      <c r="C23" s="29"/>
      <c r="D23" s="30">
        <f t="shared" ref="D23:D29" si="6">I23*J23/10000</f>
        <v>5</v>
      </c>
      <c r="E23" s="20"/>
      <c r="F23" s="95"/>
      <c r="G23" s="25">
        <f t="shared" si="5"/>
        <v>5</v>
      </c>
      <c r="H23" s="48" t="s">
        <v>37</v>
      </c>
      <c r="I23" s="29">
        <v>1</v>
      </c>
      <c r="J23" s="29">
        <v>50000</v>
      </c>
      <c r="K23" s="102"/>
      <c r="O23" s="110"/>
      <c r="P23" s="86"/>
      <c r="Q23" s="86"/>
      <c r="R23" s="86"/>
      <c r="S23" s="86"/>
    </row>
    <row r="24" s="75" customFormat="1" ht="37" customHeight="1" spans="1:19">
      <c r="A24" s="21">
        <v>11</v>
      </c>
      <c r="B24" s="22" t="s">
        <v>131</v>
      </c>
      <c r="C24" s="20">
        <f t="shared" ref="C24:G24" si="7">SUM(C25:C36)</f>
        <v>80.36</v>
      </c>
      <c r="D24" s="20">
        <f t="shared" si="7"/>
        <v>70.71</v>
      </c>
      <c r="E24" s="20"/>
      <c r="F24" s="20"/>
      <c r="G24" s="20">
        <f t="shared" si="7"/>
        <v>151.07</v>
      </c>
      <c r="H24" s="52"/>
      <c r="I24" s="20"/>
      <c r="J24" s="20"/>
      <c r="K24" s="102"/>
      <c r="O24" s="112"/>
      <c r="P24" s="113" t="s">
        <v>302</v>
      </c>
      <c r="Q24" s="113" t="s">
        <v>180</v>
      </c>
      <c r="R24" s="113">
        <v>2</v>
      </c>
      <c r="S24" s="113"/>
    </row>
    <row r="25" s="75" customFormat="1" customHeight="1" spans="1:19">
      <c r="A25" s="89">
        <v>11.1</v>
      </c>
      <c r="B25" s="37" t="s">
        <v>303</v>
      </c>
      <c r="C25" s="20"/>
      <c r="D25" s="30">
        <f t="shared" si="6"/>
        <v>14.25</v>
      </c>
      <c r="E25" s="20"/>
      <c r="F25" s="95"/>
      <c r="G25" s="25">
        <f t="shared" ref="G25:G36" si="8">SUM(C25:F25)</f>
        <v>14.25</v>
      </c>
      <c r="H25" s="53" t="s">
        <v>32</v>
      </c>
      <c r="I25" s="29">
        <v>750</v>
      </c>
      <c r="J25" s="29">
        <v>190</v>
      </c>
      <c r="K25" s="102"/>
      <c r="O25" s="110"/>
      <c r="P25" s="86"/>
      <c r="Q25" s="86"/>
      <c r="R25" s="86"/>
      <c r="S25" s="86"/>
    </row>
    <row r="26" s="75" customFormat="1" customHeight="1" spans="1:19">
      <c r="A26" s="89">
        <v>11.2</v>
      </c>
      <c r="B26" s="37" t="s">
        <v>304</v>
      </c>
      <c r="C26" s="20"/>
      <c r="D26" s="30">
        <f t="shared" si="6"/>
        <v>28.6</v>
      </c>
      <c r="E26" s="20"/>
      <c r="F26" s="95"/>
      <c r="G26" s="25">
        <f t="shared" si="8"/>
        <v>28.6</v>
      </c>
      <c r="H26" s="53" t="s">
        <v>32</v>
      </c>
      <c r="I26" s="29">
        <v>1100</v>
      </c>
      <c r="J26" s="29">
        <v>260</v>
      </c>
      <c r="K26" s="102"/>
      <c r="O26" s="110"/>
      <c r="P26" s="86"/>
      <c r="Q26" s="86"/>
      <c r="R26" s="86"/>
      <c r="S26" s="86"/>
    </row>
    <row r="27" s="75" customFormat="1" customHeight="1" spans="1:19">
      <c r="A27" s="89">
        <v>11.3</v>
      </c>
      <c r="B27" s="37" t="s">
        <v>305</v>
      </c>
      <c r="C27" s="20"/>
      <c r="D27" s="30">
        <f t="shared" si="6"/>
        <v>0.36</v>
      </c>
      <c r="E27" s="20"/>
      <c r="F27" s="95"/>
      <c r="G27" s="25">
        <f t="shared" si="8"/>
        <v>0.36</v>
      </c>
      <c r="H27" s="53" t="s">
        <v>151</v>
      </c>
      <c r="I27" s="29">
        <v>3</v>
      </c>
      <c r="J27" s="29">
        <v>1200</v>
      </c>
      <c r="K27" s="102"/>
      <c r="O27" s="110"/>
      <c r="P27" s="86"/>
      <c r="Q27" s="86"/>
      <c r="R27" s="86"/>
      <c r="S27" s="86"/>
    </row>
    <row r="28" s="75" customFormat="1" customHeight="1" spans="1:19">
      <c r="A28" s="89">
        <v>11.4</v>
      </c>
      <c r="B28" s="37" t="s">
        <v>306</v>
      </c>
      <c r="C28" s="20"/>
      <c r="D28" s="30">
        <f t="shared" si="6"/>
        <v>13.75</v>
      </c>
      <c r="E28" s="20"/>
      <c r="F28" s="95"/>
      <c r="G28" s="25">
        <f t="shared" si="8"/>
        <v>13.75</v>
      </c>
      <c r="H28" s="53" t="s">
        <v>32</v>
      </c>
      <c r="I28" s="29">
        <v>550</v>
      </c>
      <c r="J28" s="29">
        <v>250</v>
      </c>
      <c r="K28" s="102"/>
      <c r="O28" s="110"/>
      <c r="P28" s="86"/>
      <c r="Q28" s="86"/>
      <c r="R28" s="86"/>
      <c r="S28" s="86"/>
    </row>
    <row r="29" s="75" customFormat="1" customHeight="1" spans="1:19">
      <c r="A29" s="89">
        <v>11.5</v>
      </c>
      <c r="B29" s="37" t="s">
        <v>307</v>
      </c>
      <c r="C29" s="20"/>
      <c r="D29" s="30">
        <f t="shared" si="6"/>
        <v>13.75</v>
      </c>
      <c r="E29" s="20"/>
      <c r="F29" s="95"/>
      <c r="G29" s="25">
        <f t="shared" si="8"/>
        <v>13.75</v>
      </c>
      <c r="H29" s="53" t="s">
        <v>32</v>
      </c>
      <c r="I29" s="29">
        <v>550</v>
      </c>
      <c r="J29" s="29">
        <v>250</v>
      </c>
      <c r="K29" s="102"/>
      <c r="O29" s="110"/>
      <c r="P29" s="86"/>
      <c r="Q29" s="86"/>
      <c r="R29" s="86"/>
      <c r="S29" s="86"/>
    </row>
    <row r="30" s="75" customFormat="1" customHeight="1" spans="1:19">
      <c r="A30" s="89">
        <v>11.6</v>
      </c>
      <c r="B30" s="37" t="s">
        <v>308</v>
      </c>
      <c r="C30" s="39">
        <f t="shared" ref="C30:C36" si="9">I30*J30/10000</f>
        <v>10</v>
      </c>
      <c r="D30" s="20"/>
      <c r="E30" s="20"/>
      <c r="F30" s="95"/>
      <c r="G30" s="25">
        <f t="shared" si="8"/>
        <v>10</v>
      </c>
      <c r="H30" s="53" t="s">
        <v>130</v>
      </c>
      <c r="I30" s="29">
        <v>20</v>
      </c>
      <c r="J30" s="29">
        <v>5000</v>
      </c>
      <c r="K30" s="102"/>
      <c r="O30" s="110"/>
      <c r="P30" s="86"/>
      <c r="Q30" s="86"/>
      <c r="R30" s="86"/>
      <c r="S30" s="86"/>
    </row>
    <row r="31" s="75" customFormat="1" customHeight="1" spans="1:19">
      <c r="A31" s="89">
        <v>11.7</v>
      </c>
      <c r="B31" s="37" t="s">
        <v>309</v>
      </c>
      <c r="C31" s="39">
        <f t="shared" si="9"/>
        <v>10</v>
      </c>
      <c r="D31" s="20"/>
      <c r="E31" s="20"/>
      <c r="F31" s="95"/>
      <c r="G31" s="25">
        <f t="shared" si="8"/>
        <v>10</v>
      </c>
      <c r="H31" s="53" t="s">
        <v>130</v>
      </c>
      <c r="I31" s="29">
        <v>20</v>
      </c>
      <c r="J31" s="29">
        <v>5000</v>
      </c>
      <c r="K31" s="102"/>
      <c r="O31" s="110"/>
      <c r="P31" s="86"/>
      <c r="Q31" s="86"/>
      <c r="R31" s="86"/>
      <c r="S31" s="86"/>
    </row>
    <row r="32" s="75" customFormat="1" ht="33" customHeight="1" spans="1:19">
      <c r="A32" s="89">
        <v>11.8</v>
      </c>
      <c r="B32" s="90" t="s">
        <v>310</v>
      </c>
      <c r="C32" s="39">
        <f t="shared" si="9"/>
        <v>1</v>
      </c>
      <c r="D32" s="20"/>
      <c r="E32" s="20"/>
      <c r="F32" s="95"/>
      <c r="G32" s="25">
        <f t="shared" si="8"/>
        <v>1</v>
      </c>
      <c r="H32" s="53" t="s">
        <v>130</v>
      </c>
      <c r="I32" s="29">
        <v>2</v>
      </c>
      <c r="J32" s="29">
        <v>5000</v>
      </c>
      <c r="K32" s="102"/>
      <c r="O32" s="110"/>
      <c r="P32" s="86"/>
      <c r="Q32" s="86"/>
      <c r="R32" s="86"/>
      <c r="S32" s="86"/>
    </row>
    <row r="33" s="75" customFormat="1" customHeight="1" spans="1:19">
      <c r="A33" s="89">
        <v>11.9</v>
      </c>
      <c r="B33" s="37" t="s">
        <v>311</v>
      </c>
      <c r="C33" s="39">
        <f t="shared" si="9"/>
        <v>1</v>
      </c>
      <c r="D33" s="20"/>
      <c r="E33" s="20"/>
      <c r="F33" s="95"/>
      <c r="G33" s="25">
        <f t="shared" si="8"/>
        <v>1</v>
      </c>
      <c r="H33" s="53" t="s">
        <v>130</v>
      </c>
      <c r="I33" s="29">
        <v>2</v>
      </c>
      <c r="J33" s="29">
        <v>5000</v>
      </c>
      <c r="K33" s="102"/>
      <c r="O33" s="110"/>
      <c r="P33" s="86" t="s">
        <v>312</v>
      </c>
      <c r="Q33" s="86" t="s">
        <v>313</v>
      </c>
      <c r="R33" s="86">
        <v>2</v>
      </c>
      <c r="S33" s="86"/>
    </row>
    <row r="34" s="75" customFormat="1" customHeight="1" spans="1:19">
      <c r="A34" s="91">
        <v>11.1</v>
      </c>
      <c r="B34" s="37" t="s">
        <v>314</v>
      </c>
      <c r="C34" s="39">
        <f t="shared" si="9"/>
        <v>1</v>
      </c>
      <c r="D34" s="20"/>
      <c r="E34" s="20"/>
      <c r="F34" s="95"/>
      <c r="G34" s="25">
        <f t="shared" si="8"/>
        <v>1</v>
      </c>
      <c r="H34" s="53" t="s">
        <v>130</v>
      </c>
      <c r="I34" s="29">
        <v>2</v>
      </c>
      <c r="J34" s="29">
        <v>5000</v>
      </c>
      <c r="K34" s="102"/>
      <c r="O34" s="110"/>
      <c r="P34" s="86"/>
      <c r="Q34" s="86"/>
      <c r="R34" s="86"/>
      <c r="S34" s="86"/>
    </row>
    <row r="35" s="75" customFormat="1" customHeight="1" spans="1:19">
      <c r="A35" s="91">
        <v>11.11</v>
      </c>
      <c r="B35" s="37" t="s">
        <v>315</v>
      </c>
      <c r="C35" s="39">
        <f t="shared" si="9"/>
        <v>14.96</v>
      </c>
      <c r="D35" s="20"/>
      <c r="E35" s="20"/>
      <c r="F35" s="95"/>
      <c r="G35" s="25">
        <f t="shared" si="8"/>
        <v>14.96</v>
      </c>
      <c r="H35" s="53" t="s">
        <v>173</v>
      </c>
      <c r="I35" s="29">
        <v>680</v>
      </c>
      <c r="J35" s="29">
        <v>220</v>
      </c>
      <c r="K35" s="103"/>
      <c r="O35" s="110"/>
      <c r="P35" s="86"/>
      <c r="Q35" s="86"/>
      <c r="R35" s="86"/>
      <c r="S35" s="86"/>
    </row>
    <row r="36" s="75" customFormat="1" customHeight="1" spans="1:19">
      <c r="A36" s="91">
        <v>11.12</v>
      </c>
      <c r="B36" s="37" t="s">
        <v>316</v>
      </c>
      <c r="C36" s="39">
        <f t="shared" si="9"/>
        <v>42.4</v>
      </c>
      <c r="D36" s="20"/>
      <c r="E36" s="20"/>
      <c r="F36" s="95"/>
      <c r="G36" s="25">
        <f t="shared" si="8"/>
        <v>42.4</v>
      </c>
      <c r="H36" s="53" t="s">
        <v>173</v>
      </c>
      <c r="I36" s="29">
        <v>5300</v>
      </c>
      <c r="J36" s="29">
        <v>80</v>
      </c>
      <c r="K36" s="102"/>
      <c r="O36" s="110"/>
      <c r="P36" s="86"/>
      <c r="Q36" s="86"/>
      <c r="R36" s="86"/>
      <c r="S36" s="86"/>
    </row>
    <row r="37" s="75" customFormat="1" customHeight="1" spans="1:19">
      <c r="A37" s="92">
        <v>12</v>
      </c>
      <c r="B37" s="40" t="s">
        <v>132</v>
      </c>
      <c r="C37" s="20">
        <f t="shared" ref="C37:G37" si="10">SUM(C38:C43)</f>
        <v>14.35</v>
      </c>
      <c r="D37" s="20">
        <f t="shared" si="10"/>
        <v>10.18</v>
      </c>
      <c r="E37" s="20"/>
      <c r="F37" s="20"/>
      <c r="G37" s="20">
        <f t="shared" si="10"/>
        <v>24.53</v>
      </c>
      <c r="H37" s="52" t="s">
        <v>93</v>
      </c>
      <c r="I37" s="20"/>
      <c r="J37" s="20"/>
      <c r="K37" s="102"/>
      <c r="O37" s="114"/>
      <c r="P37" s="115"/>
      <c r="Q37" s="115"/>
      <c r="R37" s="115"/>
      <c r="S37" s="115"/>
    </row>
    <row r="38" s="75" customFormat="1" customHeight="1" spans="1:19">
      <c r="A38" s="93">
        <v>12.1</v>
      </c>
      <c r="B38" s="37" t="s">
        <v>317</v>
      </c>
      <c r="C38" s="20"/>
      <c r="D38" s="94">
        <f t="shared" ref="D38:D40" si="11">I38*J38/10000</f>
        <v>7.31</v>
      </c>
      <c r="E38" s="20"/>
      <c r="F38" s="95"/>
      <c r="G38" s="25">
        <f t="shared" ref="G38:G43" si="12">SUM(C38:F38)</f>
        <v>7.31</v>
      </c>
      <c r="H38" s="53" t="s">
        <v>32</v>
      </c>
      <c r="I38" s="29">
        <v>170</v>
      </c>
      <c r="J38" s="29">
        <v>430</v>
      </c>
      <c r="K38" s="102"/>
      <c r="O38" s="116"/>
      <c r="P38" s="117"/>
      <c r="Q38" s="117"/>
      <c r="R38" s="117"/>
      <c r="S38" s="117"/>
    </row>
    <row r="39" s="75" customFormat="1" customHeight="1" spans="1:19">
      <c r="A39" s="93">
        <v>12.2</v>
      </c>
      <c r="B39" s="37" t="s">
        <v>318</v>
      </c>
      <c r="C39" s="20"/>
      <c r="D39" s="94">
        <f t="shared" si="11"/>
        <v>2.72</v>
      </c>
      <c r="E39" s="20"/>
      <c r="F39" s="95"/>
      <c r="G39" s="25">
        <f t="shared" si="12"/>
        <v>2.72</v>
      </c>
      <c r="H39" s="53" t="s">
        <v>32</v>
      </c>
      <c r="I39" s="29">
        <v>80</v>
      </c>
      <c r="J39" s="29">
        <v>340</v>
      </c>
      <c r="K39" s="102"/>
      <c r="O39" s="116"/>
      <c r="P39" s="117"/>
      <c r="Q39" s="117"/>
      <c r="R39" s="117"/>
      <c r="S39" s="117"/>
    </row>
    <row r="40" s="75" customFormat="1" customHeight="1" spans="1:19">
      <c r="A40" s="93">
        <v>12.3</v>
      </c>
      <c r="B40" s="37" t="s">
        <v>319</v>
      </c>
      <c r="C40" s="20"/>
      <c r="D40" s="94">
        <f t="shared" si="11"/>
        <v>0.15</v>
      </c>
      <c r="E40" s="20"/>
      <c r="F40" s="95"/>
      <c r="G40" s="25">
        <f t="shared" si="12"/>
        <v>0.15</v>
      </c>
      <c r="H40" s="53" t="s">
        <v>151</v>
      </c>
      <c r="I40" s="29">
        <v>1</v>
      </c>
      <c r="J40" s="29">
        <v>1500</v>
      </c>
      <c r="K40" s="102"/>
      <c r="O40" s="116"/>
      <c r="P40" s="117"/>
      <c r="Q40" s="117"/>
      <c r="R40" s="117"/>
      <c r="S40" s="117"/>
    </row>
    <row r="41" s="75" customFormat="1" customHeight="1" spans="1:19">
      <c r="A41" s="93">
        <v>12.4</v>
      </c>
      <c r="B41" s="37" t="s">
        <v>320</v>
      </c>
      <c r="C41" s="94">
        <f t="shared" ref="C41:C43" si="13">I41*J41/10000</f>
        <v>2.4</v>
      </c>
      <c r="D41" s="20"/>
      <c r="E41" s="20"/>
      <c r="F41" s="95"/>
      <c r="G41" s="25">
        <f t="shared" si="12"/>
        <v>2.4</v>
      </c>
      <c r="H41" s="53" t="s">
        <v>173</v>
      </c>
      <c r="I41" s="29">
        <v>300</v>
      </c>
      <c r="J41" s="29">
        <v>80</v>
      </c>
      <c r="K41" s="102"/>
      <c r="O41" s="116"/>
      <c r="P41" s="117"/>
      <c r="Q41" s="117"/>
      <c r="R41" s="117"/>
      <c r="S41" s="117"/>
    </row>
    <row r="42" s="75" customFormat="1" customHeight="1" spans="1:19">
      <c r="A42" s="93">
        <v>12.5</v>
      </c>
      <c r="B42" s="37" t="s">
        <v>321</v>
      </c>
      <c r="C42" s="94">
        <f t="shared" si="13"/>
        <v>4.95</v>
      </c>
      <c r="D42" s="20"/>
      <c r="E42" s="20"/>
      <c r="F42" s="95"/>
      <c r="G42" s="25">
        <f t="shared" si="12"/>
        <v>4.95</v>
      </c>
      <c r="H42" s="53" t="s">
        <v>173</v>
      </c>
      <c r="I42" s="29">
        <v>225</v>
      </c>
      <c r="J42" s="29">
        <v>220</v>
      </c>
      <c r="K42" s="102"/>
      <c r="O42" s="116"/>
      <c r="P42" s="117"/>
      <c r="Q42" s="117"/>
      <c r="R42" s="117"/>
      <c r="S42" s="117"/>
    </row>
    <row r="43" s="75" customFormat="1" customHeight="1" spans="1:19">
      <c r="A43" s="93">
        <v>12.6</v>
      </c>
      <c r="B43" s="37" t="s">
        <v>300</v>
      </c>
      <c r="C43" s="29">
        <f t="shared" si="13"/>
        <v>7</v>
      </c>
      <c r="D43" s="20"/>
      <c r="E43" s="20"/>
      <c r="F43" s="95"/>
      <c r="G43" s="25">
        <f t="shared" si="12"/>
        <v>7</v>
      </c>
      <c r="H43" s="53" t="s">
        <v>173</v>
      </c>
      <c r="I43" s="29">
        <v>70</v>
      </c>
      <c r="J43" s="29">
        <v>1000</v>
      </c>
      <c r="K43" s="102"/>
      <c r="O43" s="116"/>
      <c r="P43" s="117"/>
      <c r="Q43" s="117"/>
      <c r="R43" s="117"/>
      <c r="S43" s="117"/>
    </row>
    <row r="44" s="75" customFormat="1" customHeight="1" spans="1:19">
      <c r="A44" s="92">
        <v>13</v>
      </c>
      <c r="B44" s="40" t="s">
        <v>133</v>
      </c>
      <c r="C44" s="20">
        <f t="shared" ref="C44:G44" si="14">SUM(C45:C53)</f>
        <v>11.24</v>
      </c>
      <c r="D44" s="20">
        <f t="shared" si="14"/>
        <v>47.7</v>
      </c>
      <c r="E44" s="20">
        <f t="shared" si="14"/>
        <v>159.8</v>
      </c>
      <c r="F44" s="20"/>
      <c r="G44" s="20">
        <f t="shared" si="14"/>
        <v>218.74</v>
      </c>
      <c r="H44" s="52" t="s">
        <v>93</v>
      </c>
      <c r="I44" s="20"/>
      <c r="J44" s="20"/>
      <c r="K44" s="102"/>
      <c r="O44" s="114"/>
      <c r="P44" s="115"/>
      <c r="Q44" s="115"/>
      <c r="R44" s="115"/>
      <c r="S44" s="115"/>
    </row>
    <row r="45" s="75" customFormat="1" customHeight="1" spans="1:19">
      <c r="A45" s="34">
        <v>13.1</v>
      </c>
      <c r="B45" s="35" t="s">
        <v>279</v>
      </c>
      <c r="C45" s="20"/>
      <c r="D45" s="39">
        <f t="shared" ref="D45:D47" si="15">I45*J45/10000*0.15</f>
        <v>9.45</v>
      </c>
      <c r="E45" s="94">
        <f t="shared" ref="E45:E47" si="16">I45*J45/10000*0.85</f>
        <v>53.55</v>
      </c>
      <c r="F45" s="95"/>
      <c r="G45" s="25">
        <f t="shared" ref="G45:G55" si="17">SUM(C45:F45)</f>
        <v>63</v>
      </c>
      <c r="H45" s="47" t="s">
        <v>322</v>
      </c>
      <c r="I45" s="29">
        <v>9</v>
      </c>
      <c r="J45" s="29">
        <v>70000</v>
      </c>
      <c r="K45" s="102"/>
      <c r="O45" s="116"/>
      <c r="P45" s="117"/>
      <c r="Q45" s="117"/>
      <c r="R45" s="117"/>
      <c r="S45" s="117"/>
    </row>
    <row r="46" s="75" customFormat="1" customHeight="1" spans="1:19">
      <c r="A46" s="34">
        <v>13.2</v>
      </c>
      <c r="B46" s="35" t="s">
        <v>287</v>
      </c>
      <c r="C46" s="20"/>
      <c r="D46" s="39">
        <f t="shared" si="15"/>
        <v>11.25</v>
      </c>
      <c r="E46" s="94">
        <f t="shared" si="16"/>
        <v>63.75</v>
      </c>
      <c r="F46" s="95"/>
      <c r="G46" s="25">
        <f t="shared" si="17"/>
        <v>75</v>
      </c>
      <c r="H46" s="47" t="s">
        <v>322</v>
      </c>
      <c r="I46" s="29">
        <v>15</v>
      </c>
      <c r="J46" s="29">
        <v>50000</v>
      </c>
      <c r="K46" s="102"/>
      <c r="O46" s="116"/>
      <c r="P46" s="117"/>
      <c r="Q46" s="117"/>
      <c r="R46" s="117"/>
      <c r="S46" s="117"/>
    </row>
    <row r="47" s="75" customFormat="1" customHeight="1" spans="1:19">
      <c r="A47" s="34">
        <v>13.3</v>
      </c>
      <c r="B47" s="35" t="s">
        <v>323</v>
      </c>
      <c r="C47" s="20"/>
      <c r="D47" s="39">
        <f t="shared" si="15"/>
        <v>7.5</v>
      </c>
      <c r="E47" s="94">
        <f t="shared" si="16"/>
        <v>42.5</v>
      </c>
      <c r="F47" s="95"/>
      <c r="G47" s="25">
        <f t="shared" si="17"/>
        <v>50</v>
      </c>
      <c r="H47" s="47" t="s">
        <v>193</v>
      </c>
      <c r="I47" s="29">
        <v>2</v>
      </c>
      <c r="J47" s="29">
        <v>250000</v>
      </c>
      <c r="K47" s="102"/>
      <c r="O47" s="116"/>
      <c r="P47" s="117"/>
      <c r="Q47" s="117"/>
      <c r="R47" s="117"/>
      <c r="S47" s="117"/>
    </row>
    <row r="48" s="75" customFormat="1" customHeight="1" spans="1:19">
      <c r="A48" s="34">
        <v>13.4</v>
      </c>
      <c r="B48" s="35" t="s">
        <v>324</v>
      </c>
      <c r="C48" s="20"/>
      <c r="D48" s="39">
        <f>I48*J48/10000</f>
        <v>10.5</v>
      </c>
      <c r="E48" s="20"/>
      <c r="F48" s="95"/>
      <c r="G48" s="25">
        <f t="shared" si="17"/>
        <v>10.5</v>
      </c>
      <c r="H48" s="53" t="s">
        <v>32</v>
      </c>
      <c r="I48" s="29">
        <v>500</v>
      </c>
      <c r="J48" s="29">
        <v>210</v>
      </c>
      <c r="K48" s="102"/>
      <c r="O48" s="116"/>
      <c r="P48" s="117"/>
      <c r="Q48" s="117"/>
      <c r="R48" s="117"/>
      <c r="S48" s="117"/>
    </row>
    <row r="49" s="75" customFormat="1" customHeight="1" spans="1:19">
      <c r="A49" s="34">
        <v>13.5</v>
      </c>
      <c r="B49" s="35" t="s">
        <v>325</v>
      </c>
      <c r="C49" s="20"/>
      <c r="D49" s="39">
        <f>I49*J49/10000</f>
        <v>9</v>
      </c>
      <c r="E49" s="20"/>
      <c r="F49" s="95"/>
      <c r="G49" s="25">
        <f t="shared" si="17"/>
        <v>9</v>
      </c>
      <c r="H49" s="53" t="s">
        <v>32</v>
      </c>
      <c r="I49" s="29">
        <v>500</v>
      </c>
      <c r="J49" s="29">
        <v>180</v>
      </c>
      <c r="K49" s="102"/>
      <c r="O49" s="116"/>
      <c r="P49" s="117"/>
      <c r="Q49" s="117"/>
      <c r="R49" s="117"/>
      <c r="S49" s="117"/>
    </row>
    <row r="50" s="75" customFormat="1" customHeight="1" spans="1:19">
      <c r="A50" s="34">
        <v>13.6</v>
      </c>
      <c r="B50" s="35" t="s">
        <v>326</v>
      </c>
      <c r="C50" s="29">
        <f t="shared" ref="C50:C55" si="18">I50*J50/10000</f>
        <v>1.5</v>
      </c>
      <c r="D50" s="20"/>
      <c r="E50" s="20"/>
      <c r="F50" s="95"/>
      <c r="G50" s="25">
        <f t="shared" si="17"/>
        <v>1.5</v>
      </c>
      <c r="H50" s="47" t="s">
        <v>130</v>
      </c>
      <c r="I50" s="29">
        <v>5</v>
      </c>
      <c r="J50" s="29">
        <v>3000</v>
      </c>
      <c r="K50" s="102"/>
      <c r="O50" s="116"/>
      <c r="P50" s="117"/>
      <c r="Q50" s="117"/>
      <c r="R50" s="117"/>
      <c r="S50" s="117"/>
    </row>
    <row r="51" s="75" customFormat="1" customHeight="1" spans="1:19">
      <c r="A51" s="34">
        <v>13.7</v>
      </c>
      <c r="B51" s="35" t="s">
        <v>327</v>
      </c>
      <c r="C51" s="29">
        <f t="shared" si="18"/>
        <v>3</v>
      </c>
      <c r="D51" s="20"/>
      <c r="E51" s="20"/>
      <c r="F51" s="95"/>
      <c r="G51" s="25">
        <f t="shared" si="17"/>
        <v>3</v>
      </c>
      <c r="H51" s="47" t="s">
        <v>130</v>
      </c>
      <c r="I51" s="29">
        <v>10</v>
      </c>
      <c r="J51" s="29">
        <v>3000</v>
      </c>
      <c r="K51" s="102"/>
      <c r="O51" s="116"/>
      <c r="P51" s="117"/>
      <c r="Q51" s="117"/>
      <c r="R51" s="117"/>
      <c r="S51" s="117"/>
    </row>
    <row r="52" s="75" customFormat="1" customHeight="1" spans="1:19">
      <c r="A52" s="34">
        <v>13.8</v>
      </c>
      <c r="B52" s="35" t="s">
        <v>328</v>
      </c>
      <c r="C52" s="29">
        <f t="shared" si="18"/>
        <v>1.5</v>
      </c>
      <c r="D52" s="20"/>
      <c r="E52" s="20"/>
      <c r="F52" s="95"/>
      <c r="G52" s="25">
        <f t="shared" si="17"/>
        <v>1.5</v>
      </c>
      <c r="H52" s="47" t="s">
        <v>130</v>
      </c>
      <c r="I52" s="29">
        <v>5</v>
      </c>
      <c r="J52" s="29">
        <v>3000</v>
      </c>
      <c r="K52" s="102"/>
      <c r="O52" s="116"/>
      <c r="P52" s="117"/>
      <c r="Q52" s="117"/>
      <c r="R52" s="117"/>
      <c r="S52" s="117"/>
    </row>
    <row r="53" s="75" customFormat="1" customHeight="1" spans="1:19">
      <c r="A53" s="34">
        <v>13.9</v>
      </c>
      <c r="B53" s="35" t="s">
        <v>329</v>
      </c>
      <c r="C53" s="29">
        <f t="shared" si="18"/>
        <v>5.24</v>
      </c>
      <c r="D53" s="20"/>
      <c r="E53" s="20"/>
      <c r="F53" s="95"/>
      <c r="G53" s="25">
        <f t="shared" si="17"/>
        <v>5.24</v>
      </c>
      <c r="H53" s="47" t="s">
        <v>173</v>
      </c>
      <c r="I53" s="29">
        <v>655</v>
      </c>
      <c r="J53" s="29">
        <v>80</v>
      </c>
      <c r="K53" s="104"/>
      <c r="O53" s="116"/>
      <c r="P53" s="117"/>
      <c r="Q53" s="117"/>
      <c r="R53" s="117"/>
      <c r="S53" s="117"/>
    </row>
    <row r="54" s="76" customFormat="1" customHeight="1" spans="1:19">
      <c r="A54" s="20" t="s">
        <v>43</v>
      </c>
      <c r="B54" s="95" t="s">
        <v>330</v>
      </c>
      <c r="C54" s="20">
        <f t="shared" si="18"/>
        <v>47.79</v>
      </c>
      <c r="D54" s="20"/>
      <c r="E54" s="20"/>
      <c r="F54" s="20"/>
      <c r="G54" s="20">
        <f t="shared" si="17"/>
        <v>47.79</v>
      </c>
      <c r="H54" s="18" t="s">
        <v>130</v>
      </c>
      <c r="I54" s="20">
        <v>1062</v>
      </c>
      <c r="J54" s="105">
        <v>450</v>
      </c>
      <c r="K54" s="106"/>
      <c r="O54" s="118"/>
      <c r="P54" s="119"/>
      <c r="Q54" s="119"/>
      <c r="R54" s="119"/>
      <c r="S54" s="119"/>
    </row>
    <row r="55" s="76" customFormat="1" customHeight="1" spans="1:19">
      <c r="A55" s="20" t="s">
        <v>45</v>
      </c>
      <c r="B55" s="95" t="s">
        <v>331</v>
      </c>
      <c r="C55" s="20">
        <f t="shared" si="18"/>
        <v>9.412</v>
      </c>
      <c r="D55" s="20"/>
      <c r="E55" s="20"/>
      <c r="F55" s="20"/>
      <c r="G55" s="20">
        <f t="shared" si="17"/>
        <v>9.412</v>
      </c>
      <c r="H55" s="18" t="s">
        <v>130</v>
      </c>
      <c r="I55" s="20">
        <v>724</v>
      </c>
      <c r="J55" s="105">
        <v>130</v>
      </c>
      <c r="K55" s="106"/>
      <c r="O55" s="118"/>
      <c r="P55" s="119"/>
      <c r="Q55" s="119"/>
      <c r="R55" s="119"/>
      <c r="S55" s="119"/>
    </row>
    <row r="56" s="77" customFormat="1" customHeight="1" spans="1:19">
      <c r="A56" s="96" t="s">
        <v>48</v>
      </c>
      <c r="B56" s="97" t="s">
        <v>332</v>
      </c>
      <c r="C56" s="20"/>
      <c r="D56" s="96"/>
      <c r="E56" s="96"/>
      <c r="F56" s="96"/>
      <c r="G56" s="20"/>
      <c r="H56" s="99" t="s">
        <v>37</v>
      </c>
      <c r="I56" s="96"/>
      <c r="J56" s="96"/>
      <c r="K56" s="107"/>
      <c r="O56" s="120"/>
      <c r="P56" s="120"/>
      <c r="Q56" s="120"/>
      <c r="R56" s="120"/>
      <c r="S56" s="120"/>
    </row>
    <row r="57" s="5" customFormat="1" customHeight="1" spans="1:11">
      <c r="A57" s="31" t="s">
        <v>91</v>
      </c>
      <c r="B57" s="32" t="s">
        <v>92</v>
      </c>
      <c r="C57" s="20"/>
      <c r="D57" s="33"/>
      <c r="E57" s="33"/>
      <c r="F57" s="20">
        <f>SUM(F58:F74)</f>
        <v>855.707190409143</v>
      </c>
      <c r="G57" s="20">
        <f>SUM(G58:G74)</f>
        <v>855.707190409143</v>
      </c>
      <c r="H57" s="52" t="s">
        <v>93</v>
      </c>
      <c r="I57" s="105"/>
      <c r="J57" s="105"/>
      <c r="K57" s="108">
        <f>G57/G76</f>
        <v>0.0859694189556981</v>
      </c>
    </row>
    <row r="58" s="2" customFormat="1" customHeight="1" spans="1:11">
      <c r="A58" s="34">
        <v>1</v>
      </c>
      <c r="B58" s="35" t="s">
        <v>94</v>
      </c>
      <c r="C58" s="25"/>
      <c r="D58" s="36"/>
      <c r="E58" s="36"/>
      <c r="F58" s="25">
        <f>I58*J58</f>
        <v>122.8956156</v>
      </c>
      <c r="G58" s="25">
        <f t="shared" ref="G58:G75" si="19">F58</f>
        <v>122.8956156</v>
      </c>
      <c r="H58" s="48" t="s">
        <v>93</v>
      </c>
      <c r="I58" s="29">
        <f>G5</f>
        <v>8193.04104</v>
      </c>
      <c r="J58" s="65">
        <v>0.015</v>
      </c>
      <c r="K58" s="104"/>
    </row>
    <row r="59" s="2" customFormat="1" customHeight="1" spans="1:11">
      <c r="A59" s="34">
        <v>2</v>
      </c>
      <c r="B59" s="35" t="s">
        <v>95</v>
      </c>
      <c r="C59" s="25"/>
      <c r="D59" s="25"/>
      <c r="E59" s="25"/>
      <c r="F59" s="25">
        <f>((I59-8000)*(218.6-181)/2000+181)</f>
        <v>184.629171552</v>
      </c>
      <c r="G59" s="25">
        <f t="shared" si="19"/>
        <v>184.629171552</v>
      </c>
      <c r="H59" s="48" t="s">
        <v>93</v>
      </c>
      <c r="I59" s="29">
        <f>G5</f>
        <v>8193.04104</v>
      </c>
      <c r="J59" s="65">
        <f t="shared" ref="J59:J61" si="20">G59/I59</f>
        <v>0.0225348769340474</v>
      </c>
      <c r="K59" s="104"/>
    </row>
    <row r="60" s="6" customFormat="1" customHeight="1" spans="1:14">
      <c r="A60" s="93">
        <v>3</v>
      </c>
      <c r="B60" s="37" t="s">
        <v>104</v>
      </c>
      <c r="C60" s="39"/>
      <c r="D60" s="39"/>
      <c r="E60" s="39"/>
      <c r="F60" s="39">
        <f>((I60-3000)*(28-12)/7000+12)</f>
        <v>23.8698080914286</v>
      </c>
      <c r="G60" s="39">
        <f t="shared" si="19"/>
        <v>23.8698080914286</v>
      </c>
      <c r="H60" s="53" t="s">
        <v>93</v>
      </c>
      <c r="I60" s="29">
        <f>G5</f>
        <v>8193.04104</v>
      </c>
      <c r="J60" s="65">
        <f t="shared" si="20"/>
        <v>0.00291342469479789</v>
      </c>
      <c r="K60" s="104"/>
      <c r="N60" s="72"/>
    </row>
    <row r="61" s="6" customFormat="1" customHeight="1" spans="1:14">
      <c r="A61" s="34">
        <v>4</v>
      </c>
      <c r="B61" s="37" t="s">
        <v>199</v>
      </c>
      <c r="C61" s="39"/>
      <c r="D61" s="39"/>
      <c r="E61" s="39"/>
      <c r="F61" s="39">
        <f>((I61-3000)*(14-6)/7000+6)</f>
        <v>11.9349040457143</v>
      </c>
      <c r="G61" s="39">
        <f t="shared" si="19"/>
        <v>11.9349040457143</v>
      </c>
      <c r="H61" s="53" t="s">
        <v>93</v>
      </c>
      <c r="I61" s="29">
        <f>G5</f>
        <v>8193.04104</v>
      </c>
      <c r="J61" s="65">
        <f t="shared" si="20"/>
        <v>0.00145671234739894</v>
      </c>
      <c r="K61" s="104"/>
      <c r="N61" s="72"/>
    </row>
    <row r="62" s="6" customFormat="1" customHeight="1" spans="1:11">
      <c r="A62" s="34">
        <v>5</v>
      </c>
      <c r="B62" s="37" t="s">
        <v>263</v>
      </c>
      <c r="C62" s="39"/>
      <c r="D62" s="39"/>
      <c r="E62" s="39"/>
      <c r="F62" s="39">
        <f t="shared" ref="F62:F66" si="21">I62*J62</f>
        <v>28.67564364</v>
      </c>
      <c r="G62" s="39">
        <f t="shared" si="19"/>
        <v>28.67564364</v>
      </c>
      <c r="H62" s="53" t="s">
        <v>93</v>
      </c>
      <c r="I62" s="29">
        <f>G5</f>
        <v>8193.04104</v>
      </c>
      <c r="J62" s="65">
        <v>0.0035</v>
      </c>
      <c r="K62" s="104"/>
    </row>
    <row r="63" s="6" customFormat="1" customHeight="1" spans="1:11">
      <c r="A63" s="93">
        <v>6</v>
      </c>
      <c r="B63" s="37" t="s">
        <v>333</v>
      </c>
      <c r="C63" s="39"/>
      <c r="D63" s="39"/>
      <c r="E63" s="39"/>
      <c r="F63" s="39">
        <f>((I63-8000)*(304.8-249.6)/2000+249.6)</f>
        <v>254.927932704</v>
      </c>
      <c r="G63" s="39">
        <f t="shared" si="19"/>
        <v>254.927932704</v>
      </c>
      <c r="H63" s="53" t="s">
        <v>93</v>
      </c>
      <c r="I63" s="29">
        <f>G5</f>
        <v>8193.04104</v>
      </c>
      <c r="J63" s="65">
        <f>F63/I63</f>
        <v>0.0311151782908682</v>
      </c>
      <c r="K63" s="104"/>
    </row>
    <row r="64" s="6" customFormat="1" customHeight="1" spans="1:11">
      <c r="A64" s="93">
        <v>7</v>
      </c>
      <c r="B64" s="37" t="s">
        <v>196</v>
      </c>
      <c r="C64" s="39"/>
      <c r="D64" s="39"/>
      <c r="E64" s="39"/>
      <c r="F64" s="39">
        <f t="shared" si="21"/>
        <v>12.28956156</v>
      </c>
      <c r="G64" s="39">
        <f t="shared" si="19"/>
        <v>12.28956156</v>
      </c>
      <c r="H64" s="53" t="s">
        <v>93</v>
      </c>
      <c r="I64" s="29">
        <f>G5</f>
        <v>8193.04104</v>
      </c>
      <c r="J64" s="65">
        <v>0.0015</v>
      </c>
      <c r="K64" s="104"/>
    </row>
    <row r="65" s="2" customFormat="1" customHeight="1" spans="1:11">
      <c r="A65" s="34">
        <v>8</v>
      </c>
      <c r="B65" s="35" t="s">
        <v>265</v>
      </c>
      <c r="C65" s="25"/>
      <c r="D65" s="25"/>
      <c r="E65" s="25"/>
      <c r="F65" s="25">
        <f t="shared" si="21"/>
        <v>57.35128728</v>
      </c>
      <c r="G65" s="25">
        <f t="shared" si="19"/>
        <v>57.35128728</v>
      </c>
      <c r="H65" s="48" t="s">
        <v>93</v>
      </c>
      <c r="I65" s="29">
        <f>G5</f>
        <v>8193.04104</v>
      </c>
      <c r="J65" s="65">
        <v>0.007</v>
      </c>
      <c r="K65" s="104"/>
    </row>
    <row r="66" s="2" customFormat="1" customHeight="1" spans="1:11">
      <c r="A66" s="34">
        <v>9</v>
      </c>
      <c r="B66" s="35" t="s">
        <v>138</v>
      </c>
      <c r="C66" s="25"/>
      <c r="D66" s="25"/>
      <c r="E66" s="25"/>
      <c r="F66" s="25">
        <f t="shared" si="21"/>
        <v>44.242421616</v>
      </c>
      <c r="G66" s="39">
        <f t="shared" si="19"/>
        <v>44.242421616</v>
      </c>
      <c r="H66" s="48" t="s">
        <v>93</v>
      </c>
      <c r="I66" s="29">
        <f>G5</f>
        <v>8193.04104</v>
      </c>
      <c r="J66" s="65">
        <v>0.0054</v>
      </c>
      <c r="K66" s="104"/>
    </row>
    <row r="67" s="2" customFormat="1" customHeight="1" spans="1:11">
      <c r="A67" s="34">
        <v>10</v>
      </c>
      <c r="B67" s="35" t="s">
        <v>272</v>
      </c>
      <c r="C67" s="25"/>
      <c r="D67" s="25"/>
      <c r="E67" s="25"/>
      <c r="F67" s="25">
        <f>1+2.8+2.75+14+(I67-5000)*0.002</f>
        <v>26.93608208</v>
      </c>
      <c r="G67" s="25">
        <f t="shared" si="19"/>
        <v>26.93608208</v>
      </c>
      <c r="H67" s="48" t="s">
        <v>93</v>
      </c>
      <c r="I67" s="29">
        <f>G5</f>
        <v>8193.04104</v>
      </c>
      <c r="J67" s="65">
        <f>G67/I67</f>
        <v>0.003287678158634</v>
      </c>
      <c r="K67" s="104"/>
    </row>
    <row r="68" s="2" customFormat="1" customHeight="1" spans="1:11">
      <c r="A68" s="34">
        <v>11</v>
      </c>
      <c r="B68" s="35" t="s">
        <v>139</v>
      </c>
      <c r="C68" s="25"/>
      <c r="D68" s="25"/>
      <c r="E68" s="25"/>
      <c r="F68" s="25">
        <f>I68*J68</f>
        <v>40.9652052</v>
      </c>
      <c r="G68" s="25">
        <f t="shared" si="19"/>
        <v>40.9652052</v>
      </c>
      <c r="H68" s="48" t="s">
        <v>93</v>
      </c>
      <c r="I68" s="29">
        <f>G5</f>
        <v>8193.04104</v>
      </c>
      <c r="J68" s="65">
        <v>0.005</v>
      </c>
      <c r="K68" s="104"/>
    </row>
    <row r="69" s="2" customFormat="1" customHeight="1" spans="1:11">
      <c r="A69" s="93">
        <v>12</v>
      </c>
      <c r="B69" s="35" t="s">
        <v>334</v>
      </c>
      <c r="C69" s="25"/>
      <c r="D69" s="25"/>
      <c r="E69" s="25"/>
      <c r="F69" s="25">
        <f>I69*J69</f>
        <v>8.19304104</v>
      </c>
      <c r="G69" s="39">
        <f t="shared" si="19"/>
        <v>8.19304104</v>
      </c>
      <c r="H69" s="48" t="s">
        <v>93</v>
      </c>
      <c r="I69" s="29">
        <f>G5</f>
        <v>8193.04104</v>
      </c>
      <c r="J69" s="65">
        <v>0.001</v>
      </c>
      <c r="K69" s="104"/>
    </row>
    <row r="70" s="2" customFormat="1" customHeight="1" spans="1:11">
      <c r="A70" s="34">
        <v>13</v>
      </c>
      <c r="B70" s="35" t="s">
        <v>202</v>
      </c>
      <c r="C70" s="25"/>
      <c r="D70" s="25"/>
      <c r="E70" s="25"/>
      <c r="F70" s="25">
        <f t="shared" ref="F70:F74" si="22">I70*J70/10000</f>
        <v>20</v>
      </c>
      <c r="G70" s="25">
        <f t="shared" si="19"/>
        <v>20</v>
      </c>
      <c r="H70" s="48" t="s">
        <v>93</v>
      </c>
      <c r="I70" s="29">
        <v>1</v>
      </c>
      <c r="J70" s="29">
        <v>200000</v>
      </c>
      <c r="K70" s="104"/>
    </row>
    <row r="71" s="2" customFormat="1" customHeight="1" spans="1:11">
      <c r="A71" s="34">
        <v>14</v>
      </c>
      <c r="B71" s="35" t="s">
        <v>335</v>
      </c>
      <c r="C71" s="25"/>
      <c r="D71" s="25"/>
      <c r="E71" s="25"/>
      <c r="F71" s="25">
        <f>I71*2/10000</f>
        <v>2.796516</v>
      </c>
      <c r="G71" s="25">
        <f t="shared" si="19"/>
        <v>2.796516</v>
      </c>
      <c r="H71" s="48" t="s">
        <v>17</v>
      </c>
      <c r="I71" s="29">
        <v>13982.58</v>
      </c>
      <c r="J71" s="29" t="s">
        <v>336</v>
      </c>
      <c r="K71" s="104"/>
    </row>
    <row r="72" s="2" customFormat="1" customHeight="1" spans="1:11">
      <c r="A72" s="93">
        <v>15</v>
      </c>
      <c r="B72" s="35" t="s">
        <v>337</v>
      </c>
      <c r="C72" s="25"/>
      <c r="D72" s="25"/>
      <c r="E72" s="25"/>
      <c r="F72" s="25">
        <f t="shared" si="22"/>
        <v>5</v>
      </c>
      <c r="G72" s="25">
        <f t="shared" si="19"/>
        <v>5</v>
      </c>
      <c r="H72" s="48" t="s">
        <v>93</v>
      </c>
      <c r="I72" s="29">
        <v>1</v>
      </c>
      <c r="J72" s="29">
        <v>50000</v>
      </c>
      <c r="K72" s="104"/>
    </row>
    <row r="73" s="2" customFormat="1" customHeight="1" spans="1:11">
      <c r="A73" s="93">
        <v>16</v>
      </c>
      <c r="B73" s="35" t="s">
        <v>338</v>
      </c>
      <c r="C73" s="25"/>
      <c r="D73" s="25"/>
      <c r="E73" s="25"/>
      <c r="F73" s="25">
        <f t="shared" si="22"/>
        <v>5</v>
      </c>
      <c r="G73" s="25">
        <f t="shared" si="19"/>
        <v>5</v>
      </c>
      <c r="H73" s="48" t="s">
        <v>93</v>
      </c>
      <c r="I73" s="29">
        <v>1</v>
      </c>
      <c r="J73" s="29">
        <v>50000</v>
      </c>
      <c r="K73" s="104"/>
    </row>
    <row r="74" s="2" customFormat="1" customHeight="1" spans="1:11">
      <c r="A74" s="93">
        <v>17</v>
      </c>
      <c r="B74" s="35" t="s">
        <v>339</v>
      </c>
      <c r="C74" s="25"/>
      <c r="D74" s="25"/>
      <c r="E74" s="25"/>
      <c r="F74" s="25">
        <f t="shared" si="22"/>
        <v>6</v>
      </c>
      <c r="G74" s="25">
        <f t="shared" si="19"/>
        <v>6</v>
      </c>
      <c r="H74" s="48" t="s">
        <v>340</v>
      </c>
      <c r="I74" s="29">
        <v>500</v>
      </c>
      <c r="J74" s="29">
        <f>80*1.5</f>
        <v>120</v>
      </c>
      <c r="K74" s="104"/>
    </row>
    <row r="75" s="5" customFormat="1" customHeight="1" spans="1:11">
      <c r="A75" s="31" t="s">
        <v>110</v>
      </c>
      <c r="B75" s="40" t="s">
        <v>111</v>
      </c>
      <c r="C75" s="20"/>
      <c r="D75" s="20"/>
      <c r="E75" s="20"/>
      <c r="F75" s="20">
        <f>I75*J75</f>
        <v>904.874823040914</v>
      </c>
      <c r="G75" s="20">
        <f t="shared" si="19"/>
        <v>904.874823040914</v>
      </c>
      <c r="H75" s="52" t="s">
        <v>93</v>
      </c>
      <c r="I75" s="20">
        <f>G57+G5</f>
        <v>9048.74823040914</v>
      </c>
      <c r="J75" s="68">
        <v>0.1</v>
      </c>
      <c r="K75" s="121">
        <f>G75/G76</f>
        <v>0.0909090909090909</v>
      </c>
    </row>
    <row r="76" s="5" customFormat="1" customHeight="1" spans="1:11">
      <c r="A76" s="41" t="s">
        <v>112</v>
      </c>
      <c r="B76" s="42" t="s">
        <v>113</v>
      </c>
      <c r="C76" s="54">
        <f>C5</f>
        <v>6179.5324</v>
      </c>
      <c r="D76" s="43">
        <f>D5</f>
        <v>918.012738</v>
      </c>
      <c r="E76" s="54"/>
      <c r="F76" s="54">
        <f>F57+F75</f>
        <v>1760.58201345006</v>
      </c>
      <c r="G76" s="54">
        <f>G5+G57+G75</f>
        <v>9953.62305345006</v>
      </c>
      <c r="H76" s="55" t="s">
        <v>93</v>
      </c>
      <c r="I76" s="70"/>
      <c r="J76" s="70"/>
      <c r="K76" s="71">
        <v>1</v>
      </c>
    </row>
    <row r="79" customHeight="1" spans="7:7">
      <c r="G79" s="9">
        <f>86400000/10000</f>
        <v>8640</v>
      </c>
    </row>
    <row r="80" customHeight="1" spans="7:7">
      <c r="G80" s="9">
        <f>G76-G79</f>
        <v>1313.62305345006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K1"/>
    <mergeCell ref="A2:K2"/>
    <mergeCell ref="C3:G3"/>
    <mergeCell ref="H3:J3"/>
    <mergeCell ref="A3:A4"/>
    <mergeCell ref="B3:B4"/>
    <mergeCell ref="O10:O15"/>
    <mergeCell ref="O19:O36"/>
  </mergeCells>
  <pageMargins left="0.590277777777778" right="0.590277777777778" top="0.590277777777778" bottom="0.590277777777778" header="0.5" footer="0.5"/>
  <pageSetup paperSize="9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zoomScale="70" zoomScaleNormal="70" zoomScaleSheetLayoutView="85" workbookViewId="0">
      <selection activeCell="G11" sqref="G11"/>
    </sheetView>
  </sheetViews>
  <sheetFormatPr defaultColWidth="10.2666666666667" defaultRowHeight="28" customHeight="1"/>
  <cols>
    <col min="1" max="1" width="10.4583333333333" style="7"/>
    <col min="2" max="2" width="40.625" style="8" customWidth="1"/>
    <col min="3" max="3" width="16" style="7"/>
    <col min="4" max="4" width="18.5416666666667" style="7"/>
    <col min="5" max="5" width="15.2666666666667" style="8" customWidth="1"/>
    <col min="6" max="6" width="13.5416666666667" style="8" customWidth="1"/>
    <col min="7" max="7" width="16" style="9"/>
    <col min="8" max="8" width="10.2666666666667" style="7"/>
    <col min="9" max="9" width="20.1833333333333" style="7"/>
    <col min="10" max="10" width="20" style="7"/>
    <col min="11" max="11" width="17.725" style="8" customWidth="1"/>
    <col min="12" max="12" width="16.1833333333333" style="8" hidden="1" customWidth="1"/>
    <col min="13" max="13" width="10.2666666666667" style="8" hidden="1" customWidth="1"/>
    <col min="14" max="14" width="14.4583333333333" style="8" hidden="1" customWidth="1"/>
    <col min="15" max="16" width="10.2666666666667" style="8"/>
    <col min="17" max="17" width="27.5416666666667" style="8" customWidth="1"/>
    <col min="18" max="18" width="16.2666666666667" style="8"/>
    <col min="19" max="19" width="23.2666666666667" style="8" customWidth="1"/>
    <col min="20" max="16384" width="10.2666666666667" style="8"/>
  </cols>
  <sheetData>
    <row r="1" ht="42" customHeight="1" spans="1:11">
      <c r="A1" s="10" t="s">
        <v>159</v>
      </c>
      <c r="B1" s="10"/>
      <c r="C1" s="10"/>
      <c r="D1" s="10"/>
      <c r="E1" s="10"/>
      <c r="F1" s="10"/>
      <c r="G1" s="44"/>
      <c r="H1" s="10"/>
      <c r="I1" s="10"/>
      <c r="J1" s="10"/>
      <c r="K1" s="10"/>
    </row>
    <row r="2" customHeight="1" spans="1:11">
      <c r="A2" s="11" t="s">
        <v>341</v>
      </c>
      <c r="B2" s="11"/>
      <c r="C2" s="11"/>
      <c r="D2" s="11"/>
      <c r="E2" s="11"/>
      <c r="F2" s="11"/>
      <c r="G2" s="45"/>
      <c r="H2" s="11"/>
      <c r="I2" s="11"/>
      <c r="J2" s="11"/>
      <c r="K2" s="11"/>
    </row>
    <row r="3" ht="18" spans="1:11">
      <c r="A3" s="12" t="s">
        <v>2</v>
      </c>
      <c r="B3" s="13" t="s">
        <v>3</v>
      </c>
      <c r="C3" s="14" t="s">
        <v>116</v>
      </c>
      <c r="D3" s="14"/>
      <c r="E3" s="14"/>
      <c r="F3" s="14"/>
      <c r="G3" s="46"/>
      <c r="H3" s="14" t="s">
        <v>5</v>
      </c>
      <c r="I3" s="14"/>
      <c r="J3" s="14"/>
      <c r="K3" s="56" t="s">
        <v>6</v>
      </c>
    </row>
    <row r="4" customHeight="1" spans="1:11">
      <c r="A4" s="15"/>
      <c r="B4" s="16"/>
      <c r="C4" s="16" t="s">
        <v>211</v>
      </c>
      <c r="D4" s="16" t="s">
        <v>235</v>
      </c>
      <c r="E4" s="16" t="s">
        <v>8</v>
      </c>
      <c r="F4" s="16" t="s">
        <v>10</v>
      </c>
      <c r="G4" s="47" t="s">
        <v>11</v>
      </c>
      <c r="H4" s="48" t="s">
        <v>12</v>
      </c>
      <c r="I4" s="48" t="s">
        <v>13</v>
      </c>
      <c r="J4" s="16" t="s">
        <v>244</v>
      </c>
      <c r="K4" s="57"/>
    </row>
    <row r="5" s="1" customFormat="1" customHeight="1" spans="1:11">
      <c r="A5" s="17" t="s">
        <v>15</v>
      </c>
      <c r="B5" s="18" t="s">
        <v>16</v>
      </c>
      <c r="C5" s="19">
        <f t="shared" ref="C5:G5" si="0">C6+C11</f>
        <v>1920.01</v>
      </c>
      <c r="D5" s="20">
        <f t="shared" si="0"/>
        <v>234.55</v>
      </c>
      <c r="E5" s="19"/>
      <c r="F5" s="20"/>
      <c r="G5" s="19">
        <f t="shared" si="0"/>
        <v>2154.56</v>
      </c>
      <c r="H5" s="18" t="s">
        <v>93</v>
      </c>
      <c r="I5" s="20"/>
      <c r="J5" s="18"/>
      <c r="K5" s="58">
        <f>G5/G46</f>
        <v>0.8182528651622</v>
      </c>
    </row>
    <row r="6" s="1" customFormat="1" customHeight="1" spans="1:11">
      <c r="A6" s="21">
        <v>1</v>
      </c>
      <c r="B6" s="22" t="s">
        <v>245</v>
      </c>
      <c r="C6" s="19">
        <f t="shared" ref="C6:G6" si="1">SUM(C7:C10)</f>
        <v>742.5</v>
      </c>
      <c r="D6" s="19">
        <f t="shared" si="1"/>
        <v>89.1</v>
      </c>
      <c r="E6" s="19"/>
      <c r="F6" s="19"/>
      <c r="G6" s="19">
        <f t="shared" si="1"/>
        <v>831.6</v>
      </c>
      <c r="H6" s="18"/>
      <c r="I6" s="20"/>
      <c r="J6" s="18"/>
      <c r="K6" s="58"/>
    </row>
    <row r="7" s="1" customFormat="1" customHeight="1" spans="1:11">
      <c r="A7" s="23">
        <v>1.1</v>
      </c>
      <c r="B7" s="24" t="s">
        <v>342</v>
      </c>
      <c r="C7" s="25">
        <f>I7*J7/10000</f>
        <v>742.5</v>
      </c>
      <c r="D7" s="20"/>
      <c r="E7" s="20"/>
      <c r="F7" s="18"/>
      <c r="G7" s="25">
        <f t="shared" ref="G7:G10" si="2">SUM(C7:F7)</f>
        <v>742.5</v>
      </c>
      <c r="H7" s="48" t="s">
        <v>17</v>
      </c>
      <c r="I7" s="25">
        <v>1650</v>
      </c>
      <c r="J7" s="25">
        <v>4500</v>
      </c>
      <c r="K7" s="58"/>
    </row>
    <row r="8" s="1" customFormat="1" customHeight="1" spans="1:11">
      <c r="A8" s="23">
        <v>1.2</v>
      </c>
      <c r="B8" s="24" t="s">
        <v>343</v>
      </c>
      <c r="C8" s="19"/>
      <c r="D8" s="25">
        <f t="shared" ref="D8:D10" si="3">I8*J8/10000</f>
        <v>26.4</v>
      </c>
      <c r="E8" s="20"/>
      <c r="F8" s="18"/>
      <c r="G8" s="25">
        <f t="shared" si="2"/>
        <v>26.4</v>
      </c>
      <c r="H8" s="48" t="s">
        <v>17</v>
      </c>
      <c r="I8" s="25">
        <v>1650</v>
      </c>
      <c r="J8" s="25">
        <v>160</v>
      </c>
      <c r="K8" s="58"/>
    </row>
    <row r="9" s="1" customFormat="1" customHeight="1" spans="1:11">
      <c r="A9" s="23">
        <v>1.3</v>
      </c>
      <c r="B9" s="24" t="s">
        <v>120</v>
      </c>
      <c r="C9" s="19"/>
      <c r="D9" s="25">
        <f t="shared" si="3"/>
        <v>23.1</v>
      </c>
      <c r="E9" s="20"/>
      <c r="F9" s="18"/>
      <c r="G9" s="25">
        <f t="shared" si="2"/>
        <v>23.1</v>
      </c>
      <c r="H9" s="48" t="s">
        <v>17</v>
      </c>
      <c r="I9" s="25">
        <v>1650</v>
      </c>
      <c r="J9" s="25">
        <v>140</v>
      </c>
      <c r="K9" s="58"/>
    </row>
    <row r="10" s="1" customFormat="1" customHeight="1" spans="1:11">
      <c r="A10" s="23">
        <v>1.4</v>
      </c>
      <c r="B10" s="24" t="s">
        <v>123</v>
      </c>
      <c r="C10" s="19"/>
      <c r="D10" s="25">
        <f t="shared" si="3"/>
        <v>39.6</v>
      </c>
      <c r="E10" s="20"/>
      <c r="F10" s="18"/>
      <c r="G10" s="25">
        <f t="shared" si="2"/>
        <v>39.6</v>
      </c>
      <c r="H10" s="48" t="s">
        <v>17</v>
      </c>
      <c r="I10" s="25">
        <v>1650</v>
      </c>
      <c r="J10" s="25">
        <v>240</v>
      </c>
      <c r="K10" s="58"/>
    </row>
    <row r="11" s="1" customFormat="1" customHeight="1" spans="1:11">
      <c r="A11" s="21">
        <v>2</v>
      </c>
      <c r="B11" s="22" t="s">
        <v>250</v>
      </c>
      <c r="C11" s="19">
        <f t="shared" ref="C11:G11" si="4">SUM(C12:C30)</f>
        <v>1177.51</v>
      </c>
      <c r="D11" s="19">
        <f t="shared" si="4"/>
        <v>145.45</v>
      </c>
      <c r="E11" s="19"/>
      <c r="F11" s="19"/>
      <c r="G11" s="19">
        <f t="shared" si="4"/>
        <v>1322.96</v>
      </c>
      <c r="H11" s="18"/>
      <c r="I11" s="20"/>
      <c r="J11" s="18"/>
      <c r="K11" s="58"/>
    </row>
    <row r="12" s="1" customFormat="1" customHeight="1" spans="1:11">
      <c r="A12" s="26">
        <v>2.1</v>
      </c>
      <c r="B12" s="24" t="s">
        <v>216</v>
      </c>
      <c r="C12" s="25">
        <f t="shared" ref="C12:C16" si="5">I12*J12/10000</f>
        <v>20</v>
      </c>
      <c r="D12" s="20"/>
      <c r="E12" s="20"/>
      <c r="F12" s="18"/>
      <c r="G12" s="25">
        <f t="shared" ref="G12:G30" si="6">SUM(C12:F12)</f>
        <v>20</v>
      </c>
      <c r="H12" s="48" t="s">
        <v>37</v>
      </c>
      <c r="I12" s="20">
        <v>1</v>
      </c>
      <c r="J12" s="20">
        <v>200000</v>
      </c>
      <c r="K12" s="58"/>
    </row>
    <row r="13" s="2" customFormat="1" customHeight="1" spans="1:11">
      <c r="A13" s="26">
        <v>2.3</v>
      </c>
      <c r="B13" s="3" t="s">
        <v>259</v>
      </c>
      <c r="C13" s="27"/>
      <c r="D13" s="25">
        <f t="shared" ref="D13:D21" si="7">I13*J13/10000</f>
        <v>33.75</v>
      </c>
      <c r="E13" s="25"/>
      <c r="F13" s="49"/>
      <c r="G13" s="25">
        <f t="shared" si="6"/>
        <v>33.75</v>
      </c>
      <c r="H13" s="48" t="s">
        <v>130</v>
      </c>
      <c r="I13" s="25">
        <v>2500</v>
      </c>
      <c r="J13" s="25">
        <v>135</v>
      </c>
      <c r="K13" s="59"/>
    </row>
    <row r="14" s="2" customFormat="1" customHeight="1" spans="1:17">
      <c r="A14" s="26">
        <v>2.4</v>
      </c>
      <c r="B14" s="3" t="s">
        <v>344</v>
      </c>
      <c r="C14" s="27">
        <f t="shared" si="5"/>
        <v>20.8</v>
      </c>
      <c r="D14" s="25"/>
      <c r="E14" s="25"/>
      <c r="F14" s="49"/>
      <c r="G14" s="25">
        <f t="shared" si="6"/>
        <v>20.8</v>
      </c>
      <c r="H14" s="48" t="s">
        <v>32</v>
      </c>
      <c r="I14" s="25">
        <v>260</v>
      </c>
      <c r="J14" s="25">
        <v>800</v>
      </c>
      <c r="K14" s="59"/>
      <c r="Q14" s="2" t="s">
        <v>345</v>
      </c>
    </row>
    <row r="15" s="2" customFormat="1" customHeight="1" spans="1:11">
      <c r="A15" s="26">
        <v>2.5</v>
      </c>
      <c r="B15" s="3" t="s">
        <v>182</v>
      </c>
      <c r="C15" s="27">
        <f>I17*J17/10000</f>
        <v>0.8</v>
      </c>
      <c r="D15" s="25"/>
      <c r="E15" s="25"/>
      <c r="F15" s="49"/>
      <c r="G15" s="25">
        <f t="shared" si="6"/>
        <v>0.8</v>
      </c>
      <c r="H15" s="48" t="s">
        <v>130</v>
      </c>
      <c r="I15" s="25">
        <v>3</v>
      </c>
      <c r="J15" s="25">
        <v>1000</v>
      </c>
      <c r="K15" s="59"/>
    </row>
    <row r="16" s="2" customFormat="1" customHeight="1" spans="1:11">
      <c r="A16" s="26">
        <v>2.6</v>
      </c>
      <c r="B16" s="3" t="s">
        <v>346</v>
      </c>
      <c r="C16" s="27">
        <f t="shared" si="5"/>
        <v>0.9</v>
      </c>
      <c r="D16" s="25"/>
      <c r="E16" s="25"/>
      <c r="F16" s="49"/>
      <c r="G16" s="25">
        <f t="shared" si="6"/>
        <v>0.9</v>
      </c>
      <c r="H16" s="48" t="s">
        <v>130</v>
      </c>
      <c r="I16" s="25">
        <v>3</v>
      </c>
      <c r="J16" s="25">
        <v>3000</v>
      </c>
      <c r="K16" s="59"/>
    </row>
    <row r="17" s="2" customFormat="1" customHeight="1" spans="1:11">
      <c r="A17" s="26">
        <v>2.74</v>
      </c>
      <c r="B17" s="3" t="s">
        <v>347</v>
      </c>
      <c r="C17" s="27"/>
      <c r="D17" s="25">
        <f t="shared" si="7"/>
        <v>0.8</v>
      </c>
      <c r="E17" s="25"/>
      <c r="F17" s="49"/>
      <c r="G17" s="25">
        <f t="shared" si="6"/>
        <v>0.8</v>
      </c>
      <c r="H17" s="48" t="s">
        <v>151</v>
      </c>
      <c r="I17" s="25">
        <v>1</v>
      </c>
      <c r="J17" s="25">
        <v>8000</v>
      </c>
      <c r="K17" s="59"/>
    </row>
    <row r="18" s="2" customFormat="1" customHeight="1" spans="1:11">
      <c r="A18" s="26">
        <v>2.8</v>
      </c>
      <c r="B18" s="3" t="s">
        <v>348</v>
      </c>
      <c r="C18" s="27"/>
      <c r="D18" s="25">
        <f t="shared" si="7"/>
        <v>14</v>
      </c>
      <c r="E18" s="25"/>
      <c r="F18" s="49"/>
      <c r="G18" s="25">
        <f t="shared" si="6"/>
        <v>14</v>
      </c>
      <c r="H18" s="48" t="s">
        <v>130</v>
      </c>
      <c r="I18" s="25">
        <v>4</v>
      </c>
      <c r="J18" s="25">
        <v>35000</v>
      </c>
      <c r="K18" s="59"/>
    </row>
    <row r="19" s="2" customFormat="1" customHeight="1" spans="1:11">
      <c r="A19" s="26">
        <v>2.9</v>
      </c>
      <c r="B19" s="3" t="s">
        <v>301</v>
      </c>
      <c r="C19" s="27"/>
      <c r="D19" s="25">
        <f t="shared" si="7"/>
        <v>5</v>
      </c>
      <c r="E19" s="25"/>
      <c r="F19" s="49"/>
      <c r="G19" s="25">
        <f t="shared" si="6"/>
        <v>5</v>
      </c>
      <c r="H19" s="48" t="s">
        <v>37</v>
      </c>
      <c r="I19" s="25">
        <v>1</v>
      </c>
      <c r="J19" s="25">
        <v>50000</v>
      </c>
      <c r="K19" s="59"/>
    </row>
    <row r="20" s="2" customFormat="1" customHeight="1" spans="1:11">
      <c r="A20" s="28">
        <v>2.1</v>
      </c>
      <c r="B20" s="3" t="s">
        <v>349</v>
      </c>
      <c r="C20" s="27"/>
      <c r="D20" s="25">
        <f t="shared" si="7"/>
        <v>1.5</v>
      </c>
      <c r="E20" s="25"/>
      <c r="F20" s="49"/>
      <c r="G20" s="25">
        <f t="shared" si="6"/>
        <v>1.5</v>
      </c>
      <c r="H20" s="48" t="s">
        <v>193</v>
      </c>
      <c r="I20" s="25">
        <v>1</v>
      </c>
      <c r="J20" s="25">
        <v>15000</v>
      </c>
      <c r="K20" s="59"/>
    </row>
    <row r="21" s="3" customFormat="1" customHeight="1" spans="1:11">
      <c r="A21" s="28">
        <v>2.11</v>
      </c>
      <c r="B21" s="3" t="s">
        <v>350</v>
      </c>
      <c r="D21" s="29">
        <f t="shared" si="7"/>
        <v>72</v>
      </c>
      <c r="E21" s="29"/>
      <c r="F21" s="29"/>
      <c r="G21" s="29">
        <f t="shared" si="6"/>
        <v>72</v>
      </c>
      <c r="H21" s="50" t="s">
        <v>17</v>
      </c>
      <c r="I21" s="29">
        <v>1200</v>
      </c>
      <c r="J21" s="25">
        <v>600</v>
      </c>
      <c r="K21" s="29"/>
    </row>
    <row r="22" s="2" customFormat="1" customHeight="1" spans="1:11">
      <c r="A22" s="28">
        <v>2.12</v>
      </c>
      <c r="B22" s="24" t="s">
        <v>351</v>
      </c>
      <c r="C22" s="27">
        <f t="shared" ref="C22:C29" si="8">I22*J22/10000</f>
        <v>504</v>
      </c>
      <c r="D22" s="25"/>
      <c r="E22" s="25"/>
      <c r="F22" s="49"/>
      <c r="G22" s="25">
        <f t="shared" si="6"/>
        <v>504</v>
      </c>
      <c r="H22" s="48" t="s">
        <v>17</v>
      </c>
      <c r="I22" s="25">
        <v>18000</v>
      </c>
      <c r="J22" s="25">
        <v>280</v>
      </c>
      <c r="K22" s="59"/>
    </row>
    <row r="23" s="4" customFormat="1" customHeight="1" spans="1:17">
      <c r="A23" s="28">
        <v>2.13</v>
      </c>
      <c r="B23" s="3" t="s">
        <v>352</v>
      </c>
      <c r="C23" s="27">
        <f t="shared" si="8"/>
        <v>172.8</v>
      </c>
      <c r="D23" s="25"/>
      <c r="E23" s="25"/>
      <c r="F23" s="49"/>
      <c r="G23" s="25">
        <f t="shared" si="6"/>
        <v>172.8</v>
      </c>
      <c r="H23" s="48" t="s">
        <v>173</v>
      </c>
      <c r="I23" s="25">
        <v>3600</v>
      </c>
      <c r="J23" s="25">
        <v>480</v>
      </c>
      <c r="K23" s="59"/>
      <c r="Q23" s="4">
        <f>18000*0.2</f>
        <v>3600</v>
      </c>
    </row>
    <row r="24" s="4" customFormat="1" customHeight="1" spans="1:11">
      <c r="A24" s="28">
        <v>2.14</v>
      </c>
      <c r="B24" s="3" t="s">
        <v>353</v>
      </c>
      <c r="C24" s="27">
        <f t="shared" si="8"/>
        <v>210</v>
      </c>
      <c r="D24" s="25"/>
      <c r="E24" s="25"/>
      <c r="F24" s="49"/>
      <c r="G24" s="25">
        <f t="shared" si="6"/>
        <v>210</v>
      </c>
      <c r="H24" s="48" t="s">
        <v>17</v>
      </c>
      <c r="I24" s="25">
        <v>7500</v>
      </c>
      <c r="J24" s="25">
        <v>280</v>
      </c>
      <c r="K24" s="59"/>
    </row>
    <row r="25" s="4" customFormat="1" customHeight="1" spans="1:11">
      <c r="A25" s="28">
        <v>2.15</v>
      </c>
      <c r="B25" s="3" t="s">
        <v>291</v>
      </c>
      <c r="C25" s="27">
        <f t="shared" si="8"/>
        <v>104.5</v>
      </c>
      <c r="D25" s="25"/>
      <c r="E25" s="25"/>
      <c r="F25" s="49"/>
      <c r="G25" s="25">
        <f t="shared" si="6"/>
        <v>104.5</v>
      </c>
      <c r="H25" s="48" t="s">
        <v>17</v>
      </c>
      <c r="I25" s="25">
        <v>9500</v>
      </c>
      <c r="J25" s="25">
        <v>110</v>
      </c>
      <c r="K25" s="59"/>
    </row>
    <row r="26" s="4" customFormat="1" customHeight="1" spans="1:11">
      <c r="A26" s="28">
        <v>2.16</v>
      </c>
      <c r="B26" s="3" t="s">
        <v>354</v>
      </c>
      <c r="C26" s="27">
        <f t="shared" si="8"/>
        <v>103.5</v>
      </c>
      <c r="D26" s="25"/>
      <c r="E26" s="25"/>
      <c r="F26" s="49"/>
      <c r="G26" s="25">
        <f t="shared" si="6"/>
        <v>103.5</v>
      </c>
      <c r="H26" s="48" t="s">
        <v>17</v>
      </c>
      <c r="I26" s="25">
        <v>4500</v>
      </c>
      <c r="J26" s="25">
        <v>230</v>
      </c>
      <c r="K26" s="59"/>
    </row>
    <row r="27" s="4" customFormat="1" customHeight="1" spans="1:11">
      <c r="A27" s="28">
        <v>2.17</v>
      </c>
      <c r="B27" s="3" t="s">
        <v>175</v>
      </c>
      <c r="C27" s="30">
        <f t="shared" si="8"/>
        <v>19.25</v>
      </c>
      <c r="D27" s="24"/>
      <c r="E27" s="24"/>
      <c r="F27" s="24"/>
      <c r="G27" s="30">
        <f t="shared" si="6"/>
        <v>19.25</v>
      </c>
      <c r="H27" s="51" t="s">
        <v>17</v>
      </c>
      <c r="I27" s="30">
        <v>550</v>
      </c>
      <c r="J27" s="30">
        <v>350</v>
      </c>
      <c r="K27" s="59"/>
    </row>
    <row r="28" s="4" customFormat="1" customHeight="1" spans="1:11">
      <c r="A28" s="28">
        <v>2.18</v>
      </c>
      <c r="B28" s="3" t="s">
        <v>355</v>
      </c>
      <c r="C28" s="27">
        <f t="shared" si="8"/>
        <v>15.2</v>
      </c>
      <c r="D28" s="25"/>
      <c r="E28" s="25"/>
      <c r="F28" s="49"/>
      <c r="G28" s="25">
        <f t="shared" si="6"/>
        <v>15.2</v>
      </c>
      <c r="H28" s="48" t="s">
        <v>32</v>
      </c>
      <c r="I28" s="25">
        <v>380</v>
      </c>
      <c r="J28" s="25">
        <v>400</v>
      </c>
      <c r="K28" s="59"/>
    </row>
    <row r="29" s="4" customFormat="1" customHeight="1" spans="1:19">
      <c r="A29" s="28">
        <v>2.19</v>
      </c>
      <c r="B29" s="3" t="s">
        <v>356</v>
      </c>
      <c r="C29" s="27">
        <f t="shared" si="8"/>
        <v>5.76</v>
      </c>
      <c r="D29" s="25"/>
      <c r="E29" s="25"/>
      <c r="F29" s="49"/>
      <c r="G29" s="25">
        <f t="shared" si="6"/>
        <v>5.76</v>
      </c>
      <c r="H29" s="48" t="s">
        <v>17</v>
      </c>
      <c r="I29" s="25">
        <v>160</v>
      </c>
      <c r="J29" s="25">
        <v>360</v>
      </c>
      <c r="K29" s="59"/>
      <c r="Q29" s="3">
        <f>86400000/10000</f>
        <v>8640</v>
      </c>
      <c r="R29" s="3">
        <f>概算明细表!G146</f>
        <v>4244.57175479735</v>
      </c>
      <c r="S29" s="3">
        <f t="shared" ref="S29:S31" si="9">Q29-R29</f>
        <v>4395.42824520265</v>
      </c>
    </row>
    <row r="30" s="4" customFormat="1" customHeight="1" spans="1:19">
      <c r="A30" s="28">
        <v>2.2</v>
      </c>
      <c r="B30" s="3" t="s">
        <v>256</v>
      </c>
      <c r="C30" s="27"/>
      <c r="D30" s="25">
        <f>I30*J30/10000</f>
        <v>18.4</v>
      </c>
      <c r="E30" s="25"/>
      <c r="F30" s="49"/>
      <c r="G30" s="25">
        <f t="shared" si="6"/>
        <v>18.4</v>
      </c>
      <c r="H30" s="48" t="s">
        <v>17</v>
      </c>
      <c r="I30" s="25">
        <v>2300</v>
      </c>
      <c r="J30" s="25">
        <v>80</v>
      </c>
      <c r="K30" s="59"/>
      <c r="Q30" s="3">
        <f>39200000/10000</f>
        <v>3920</v>
      </c>
      <c r="R30" s="3">
        <f>G46</f>
        <v>2633.1224634</v>
      </c>
      <c r="S30" s="3">
        <f t="shared" si="9"/>
        <v>1286.8775366</v>
      </c>
    </row>
    <row r="31" s="5" customFormat="1" customHeight="1" spans="1:19">
      <c r="A31" s="31" t="s">
        <v>91</v>
      </c>
      <c r="B31" s="32" t="s">
        <v>92</v>
      </c>
      <c r="C31" s="19"/>
      <c r="D31" s="33"/>
      <c r="E31" s="33"/>
      <c r="F31" s="20">
        <f>SUM(F32:F44)</f>
        <v>239.187694</v>
      </c>
      <c r="G31" s="20">
        <f>SUM(G32:G44)</f>
        <v>239.187694</v>
      </c>
      <c r="H31" s="52" t="s">
        <v>93</v>
      </c>
      <c r="I31" s="60"/>
      <c r="J31" s="61"/>
      <c r="K31" s="58">
        <f>G31/G46</f>
        <v>0.0908380439287091</v>
      </c>
      <c r="Q31" s="3">
        <f>Q29+Q30</f>
        <v>12560</v>
      </c>
      <c r="R31" s="3">
        <f>R29+R30</f>
        <v>6877.69421819735</v>
      </c>
      <c r="S31" s="3">
        <f t="shared" si="9"/>
        <v>5682.30578180265</v>
      </c>
    </row>
    <row r="32" s="2" customFormat="1" customHeight="1" spans="1:19">
      <c r="A32" s="34">
        <v>1</v>
      </c>
      <c r="B32" s="35" t="s">
        <v>94</v>
      </c>
      <c r="C32" s="27"/>
      <c r="D32" s="36"/>
      <c r="E32" s="36"/>
      <c r="F32" s="25">
        <f t="shared" ref="F32:F36" si="10">I32*J32</f>
        <v>32.3184</v>
      </c>
      <c r="G32" s="25">
        <f t="shared" ref="G32:G45" si="11">F32</f>
        <v>32.3184</v>
      </c>
      <c r="H32" s="48" t="s">
        <v>93</v>
      </c>
      <c r="I32" s="25">
        <f>G5</f>
        <v>2154.56</v>
      </c>
      <c r="J32" s="62">
        <v>0.015</v>
      </c>
      <c r="K32" s="63"/>
      <c r="L32" s="64"/>
      <c r="Q32" s="3"/>
      <c r="R32" s="3"/>
      <c r="S32" s="3"/>
    </row>
    <row r="33" s="2" customFormat="1" customHeight="1" spans="1:19">
      <c r="A33" s="34">
        <v>2</v>
      </c>
      <c r="B33" s="35" t="s">
        <v>95</v>
      </c>
      <c r="C33" s="27"/>
      <c r="D33" s="25"/>
      <c r="E33" s="25"/>
      <c r="F33" s="25">
        <f>((I33-1000)*(78.1-30.1)/2000+30.1)</f>
        <v>57.80944</v>
      </c>
      <c r="G33" s="25">
        <f t="shared" si="11"/>
        <v>57.80944</v>
      </c>
      <c r="H33" s="48" t="s">
        <v>93</v>
      </c>
      <c r="I33" s="25">
        <f>G5</f>
        <v>2154.56</v>
      </c>
      <c r="J33" s="62">
        <f>G33/I33</f>
        <v>0.026831204515075</v>
      </c>
      <c r="K33" s="59"/>
      <c r="Q33" s="73"/>
      <c r="R33" s="73"/>
      <c r="S33" s="73"/>
    </row>
    <row r="34" s="2" customFormat="1" customHeight="1" spans="1:11">
      <c r="A34" s="34">
        <v>3</v>
      </c>
      <c r="B34" s="35" t="s">
        <v>263</v>
      </c>
      <c r="C34" s="27"/>
      <c r="D34" s="25"/>
      <c r="E34" s="25"/>
      <c r="F34" s="25">
        <f t="shared" si="10"/>
        <v>7.54096</v>
      </c>
      <c r="G34" s="25">
        <f t="shared" si="11"/>
        <v>7.54096</v>
      </c>
      <c r="H34" s="48" t="s">
        <v>93</v>
      </c>
      <c r="I34" s="25">
        <f>G5</f>
        <v>2154.56</v>
      </c>
      <c r="J34" s="62">
        <v>0.0035</v>
      </c>
      <c r="K34" s="59"/>
    </row>
    <row r="35" s="2" customFormat="1" customHeight="1" spans="1:11">
      <c r="A35" s="34">
        <v>4</v>
      </c>
      <c r="B35" s="35" t="s">
        <v>264</v>
      </c>
      <c r="C35" s="27"/>
      <c r="D35" s="25"/>
      <c r="E35" s="25"/>
      <c r="F35" s="25">
        <f t="shared" si="10"/>
        <v>11.634624</v>
      </c>
      <c r="G35" s="25">
        <f t="shared" si="11"/>
        <v>11.634624</v>
      </c>
      <c r="H35" s="48" t="s">
        <v>93</v>
      </c>
      <c r="I35" s="25">
        <f>G5</f>
        <v>2154.56</v>
      </c>
      <c r="J35" s="62">
        <v>0.0054</v>
      </c>
      <c r="K35" s="59"/>
    </row>
    <row r="36" s="2" customFormat="1" customHeight="1" spans="1:11">
      <c r="A36" s="34">
        <v>5</v>
      </c>
      <c r="B36" s="35" t="s">
        <v>266</v>
      </c>
      <c r="C36" s="27"/>
      <c r="D36" s="25"/>
      <c r="E36" s="25"/>
      <c r="F36" s="25">
        <f t="shared" si="10"/>
        <v>4.30912</v>
      </c>
      <c r="G36" s="25">
        <f t="shared" si="11"/>
        <v>4.30912</v>
      </c>
      <c r="H36" s="48" t="s">
        <v>93</v>
      </c>
      <c r="I36" s="25">
        <f>G5</f>
        <v>2154.56</v>
      </c>
      <c r="J36" s="62">
        <v>0.002</v>
      </c>
      <c r="K36" s="59"/>
    </row>
    <row r="37" s="6" customFormat="1" customHeight="1" spans="1:18">
      <c r="A37" s="34">
        <v>6</v>
      </c>
      <c r="B37" s="37" t="s">
        <v>104</v>
      </c>
      <c r="C37" s="38"/>
      <c r="D37" s="39"/>
      <c r="E37" s="39"/>
      <c r="F37" s="39">
        <f>((I37-1000)*(12-5)/2000+5)</f>
        <v>9.04096</v>
      </c>
      <c r="G37" s="25">
        <f t="shared" si="11"/>
        <v>9.04096</v>
      </c>
      <c r="H37" s="53" t="s">
        <v>93</v>
      </c>
      <c r="I37" s="39">
        <f>G5</f>
        <v>2154.56</v>
      </c>
      <c r="J37" s="65">
        <v>0.003</v>
      </c>
      <c r="K37" s="66"/>
      <c r="N37" s="72"/>
      <c r="R37" s="72"/>
    </row>
    <row r="38" s="6" customFormat="1" customHeight="1" spans="1:11">
      <c r="A38" s="34">
        <v>7</v>
      </c>
      <c r="B38" s="37" t="s">
        <v>333</v>
      </c>
      <c r="C38" s="38"/>
      <c r="D38" s="39"/>
      <c r="E38" s="39"/>
      <c r="F38" s="39">
        <f>((I38-1000)*(103.8-38.8)/2000+38.8)</f>
        <v>76.3232</v>
      </c>
      <c r="G38" s="25">
        <f t="shared" si="11"/>
        <v>76.3232</v>
      </c>
      <c r="H38" s="53" t="s">
        <v>93</v>
      </c>
      <c r="I38" s="39">
        <f>G5</f>
        <v>2154.56</v>
      </c>
      <c r="J38" s="65">
        <v>0.025</v>
      </c>
      <c r="K38" s="66"/>
    </row>
    <row r="39" s="6" customFormat="1" customHeight="1" spans="1:11">
      <c r="A39" s="34">
        <v>8</v>
      </c>
      <c r="B39" s="37" t="s">
        <v>196</v>
      </c>
      <c r="C39" s="38"/>
      <c r="D39" s="39"/>
      <c r="E39" s="39"/>
      <c r="F39" s="39">
        <f>I39*J39</f>
        <v>6.84723</v>
      </c>
      <c r="G39" s="25">
        <f t="shared" si="11"/>
        <v>6.84723</v>
      </c>
      <c r="H39" s="53" t="s">
        <v>93</v>
      </c>
      <c r="I39" s="39">
        <v>4564.82</v>
      </c>
      <c r="J39" s="65">
        <v>0.0015</v>
      </c>
      <c r="K39" s="66"/>
    </row>
    <row r="40" s="2" customFormat="1" customHeight="1" spans="1:12">
      <c r="A40" s="34">
        <v>9</v>
      </c>
      <c r="B40" s="35" t="s">
        <v>272</v>
      </c>
      <c r="C40" s="27"/>
      <c r="D40" s="25"/>
      <c r="E40" s="25"/>
      <c r="F40" s="25">
        <f>1+2.8+2.75+(I40-1000)*0.0035</f>
        <v>10.59096</v>
      </c>
      <c r="G40" s="25">
        <f t="shared" si="11"/>
        <v>10.59096</v>
      </c>
      <c r="H40" s="48" t="s">
        <v>93</v>
      </c>
      <c r="I40" s="25">
        <f>G5</f>
        <v>2154.56</v>
      </c>
      <c r="J40" s="62">
        <v>0.0073</v>
      </c>
      <c r="K40" s="59"/>
      <c r="L40" s="64"/>
    </row>
    <row r="41" s="2" customFormat="1" customHeight="1" spans="1:12">
      <c r="A41" s="34">
        <v>10</v>
      </c>
      <c r="B41" s="35" t="s">
        <v>202</v>
      </c>
      <c r="C41" s="27"/>
      <c r="D41" s="25"/>
      <c r="E41" s="25"/>
      <c r="F41" s="25">
        <f t="shared" ref="F41:F43" si="12">J41/10000</f>
        <v>2</v>
      </c>
      <c r="G41" s="25">
        <f t="shared" si="11"/>
        <v>2</v>
      </c>
      <c r="H41" s="48" t="s">
        <v>93</v>
      </c>
      <c r="I41" s="25">
        <v>1</v>
      </c>
      <c r="J41" s="25">
        <v>20000</v>
      </c>
      <c r="K41" s="59"/>
      <c r="L41" s="64"/>
    </row>
    <row r="42" s="2" customFormat="1" customHeight="1" spans="1:12">
      <c r="A42" s="34">
        <v>11</v>
      </c>
      <c r="B42" s="35" t="s">
        <v>338</v>
      </c>
      <c r="C42" s="27"/>
      <c r="D42" s="25"/>
      <c r="E42" s="25"/>
      <c r="F42" s="25">
        <f t="shared" si="12"/>
        <v>5</v>
      </c>
      <c r="G42" s="25">
        <f t="shared" si="11"/>
        <v>5</v>
      </c>
      <c r="H42" s="48" t="s">
        <v>93</v>
      </c>
      <c r="I42" s="25">
        <v>1</v>
      </c>
      <c r="J42" s="67">
        <v>50000</v>
      </c>
      <c r="K42" s="59"/>
      <c r="L42" s="64"/>
    </row>
    <row r="43" s="2" customFormat="1" customHeight="1" spans="1:12">
      <c r="A43" s="34">
        <v>12</v>
      </c>
      <c r="B43" s="35" t="s">
        <v>337</v>
      </c>
      <c r="C43" s="27"/>
      <c r="D43" s="25"/>
      <c r="E43" s="25"/>
      <c r="F43" s="25">
        <f t="shared" si="12"/>
        <v>5</v>
      </c>
      <c r="G43" s="25">
        <f t="shared" si="11"/>
        <v>5</v>
      </c>
      <c r="H43" s="48" t="s">
        <v>93</v>
      </c>
      <c r="I43" s="25">
        <v>1</v>
      </c>
      <c r="J43" s="25">
        <v>50000</v>
      </c>
      <c r="K43" s="59"/>
      <c r="L43" s="64"/>
    </row>
    <row r="44" s="2" customFormat="1" customHeight="1" spans="1:12">
      <c r="A44" s="34">
        <v>13</v>
      </c>
      <c r="B44" s="35" t="s">
        <v>139</v>
      </c>
      <c r="C44" s="27"/>
      <c r="D44" s="25"/>
      <c r="E44" s="25"/>
      <c r="F44" s="25">
        <f>I44*J44</f>
        <v>10.7728</v>
      </c>
      <c r="G44" s="25">
        <f t="shared" si="11"/>
        <v>10.7728</v>
      </c>
      <c r="H44" s="48" t="s">
        <v>93</v>
      </c>
      <c r="I44" s="25">
        <f>G5</f>
        <v>2154.56</v>
      </c>
      <c r="J44" s="62">
        <v>0.005</v>
      </c>
      <c r="K44" s="59"/>
      <c r="L44" s="64"/>
    </row>
    <row r="45" s="5" customFormat="1" customHeight="1" spans="1:11">
      <c r="A45" s="31" t="s">
        <v>110</v>
      </c>
      <c r="B45" s="40" t="s">
        <v>111</v>
      </c>
      <c r="C45" s="19"/>
      <c r="D45" s="20"/>
      <c r="E45" s="20"/>
      <c r="F45" s="20">
        <f>I45*J45</f>
        <v>239.3747694</v>
      </c>
      <c r="G45" s="20">
        <f t="shared" si="11"/>
        <v>239.3747694</v>
      </c>
      <c r="H45" s="52" t="s">
        <v>93</v>
      </c>
      <c r="I45" s="20">
        <f>G31+G5</f>
        <v>2393.747694</v>
      </c>
      <c r="J45" s="68">
        <v>0.1</v>
      </c>
      <c r="K45" s="69">
        <f>G45/G46</f>
        <v>0.0909090909090909</v>
      </c>
    </row>
    <row r="46" s="5" customFormat="1" customHeight="1" spans="1:11">
      <c r="A46" s="41" t="s">
        <v>112</v>
      </c>
      <c r="B46" s="42" t="s">
        <v>113</v>
      </c>
      <c r="C46" s="43">
        <f>C5</f>
        <v>1920.01</v>
      </c>
      <c r="D46" s="43">
        <f>D5</f>
        <v>234.55</v>
      </c>
      <c r="E46" s="54"/>
      <c r="F46" s="54">
        <f>F31+F45</f>
        <v>478.5624634</v>
      </c>
      <c r="G46" s="54">
        <f>G5+G31+G45</f>
        <v>2633.1224634</v>
      </c>
      <c r="H46" s="55" t="s">
        <v>93</v>
      </c>
      <c r="I46" s="70"/>
      <c r="J46" s="70"/>
      <c r="K46" s="71">
        <v>1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7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F l e x P a p e r S h e e t = " 0 "   i s D b D a s h B o a r d S h e e t = " 0 "   s h e e t S t i d = " 1 0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6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6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5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4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3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2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9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8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e I d = " 5 2 0 3 2 6 3 6 4 8 1 3 "   i s A u t o U p d a t e P a u s e d = " 0 "   i s F i l t e r S h a r e d = " 1 "   i s M e r g e T a s k s A u t o U p d a t e = " 0 "   c o r e C o n q u e r U s e r I d = " "   f i l t e r T y p e = " c o n n "   i s I n s e r P i c A s A t t a c h m e n t = " 0 "   w o E t M t c E n a b l e d = " 0 "   s u p p o r t D b F m l a D i s p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0 " / > 
   < p i x e l a t o r L i s t   x m l n s = " h t t p s : / / w e b . w p s . c n / e t / 2 0 1 8 / m a i n "   s h e e t S t i d = " 6 " / > 
   < p i x e l a t o r L i s t   x m l n s = " h t t p s : / / w e b . w p s . c n / e t / 2 0 1 8 / m a i n "   s h e e t S t i d = " 1 6 " / > 
   < p i x e l a t o r L i s t   x m l n s = " h t t p s : / / w e b . w p s . c n / e t / 2 0 1 8 / m a i n "   s h e e t S t i d = " 1 5 " / > 
   < p i x e l a t o r L i s t   x m l n s = " h t t p s : / / w e b . w p s . c n / e t / 2 0 1 8 / m a i n "   s h e e t S t i d = " 1 4 " / > 
   < p i x e l a t o r L i s t   x m l n s = " h t t p s : / / w e b . w p s . c n / e t / 2 0 1 8 / m a i n "   s h e e t S t i d = " 1 3 " / > 
   < p i x e l a t o r L i s t   x m l n s = " h t t p s : / / w e b . w p s . c n / e t / 2 0 1 8 / m a i n "   s h e e t S t i d = " 1 2 " / > 
   < p i x e l a t o r L i s t   x m l n s = " h t t p s : / / w e b . w p s . c n / e t / 2 0 1 8 / m a i n "   s h e e t S t i d = " 9 " / > 
   < p i x e l a t o r L i s t   x m l n s = " h t t p s : / / w e b . w p s . c n / e t / 2 0 1 8 / m a i n "   s h e e t S t i d = " 8 " / > 
   < p i x e l a t o r L i s t   x m l n s = " h t t p s : / / w e b . w p s . c n / e t / 2 0 1 8 / m a i n "   s h e e t S t i d = " 1 7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概算明细表</vt:lpstr>
      <vt:lpstr>方案一</vt:lpstr>
      <vt:lpstr>三层框架结构</vt:lpstr>
      <vt:lpstr>宁夏师范学院风雨操场项目 (3)</vt:lpstr>
      <vt:lpstr>成本测算</vt:lpstr>
      <vt:lpstr>标准运动场项目 (3)</vt:lpstr>
      <vt:lpstr>宁夏师范学院风雨操场项目 (2)</vt:lpstr>
      <vt:lpstr>标准运动场项目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plxspj</cp:lastModifiedBy>
  <dcterms:created xsi:type="dcterms:W3CDTF">2022-09-13T05:23:00Z</dcterms:created>
  <dcterms:modified xsi:type="dcterms:W3CDTF">2026-06-17T09:35:43Z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6B62F9C83CF044938DABA5DF4ED2CE24_13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