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概算" sheetId="1" r:id="rId1"/>
    <sheet name="Sheet1" sheetId="2" state="hidden" r:id="rId2"/>
  </sheets>
  <definedNames>
    <definedName name="_xlnm._FilterDatabase" localSheetId="0" hidden="1">概算!$A$1:$M$37</definedName>
    <definedName name="_xlnm.Print_Titles" localSheetId="0">概算!$3:$5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<sst xmlns="http://schemas.openxmlformats.org/spreadsheetml/2006/main" count="83" uniqueCount="61">
  <si>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概算汇总表</t>
  </si>
  <si>
    <t>平罗县2026年灵沙九年制学校室内供暖、庙庙湖小学室内外供暖改造项目</t>
  </si>
  <si>
    <t>序号</t>
  </si>
  <si>
    <t>工程及费用名称</t>
  </si>
  <si>
    <t>概算价值（万元）</t>
  </si>
  <si>
    <t>技术经济指标</t>
  </si>
  <si>
    <t>投资占比%</t>
  </si>
  <si>
    <t>土建及装修</t>
  </si>
  <si>
    <t>安装</t>
  </si>
  <si>
    <t>设备</t>
  </si>
  <si>
    <t>其它费用</t>
  </si>
  <si>
    <t>合计（万元）</t>
  </si>
  <si>
    <t>单位</t>
  </si>
  <si>
    <t>数量</t>
  </si>
  <si>
    <t>单位价值</t>
  </si>
  <si>
    <t>一</t>
  </si>
  <si>
    <t>建筑工程费</t>
  </si>
  <si>
    <t>（一）</t>
  </si>
  <si>
    <t>平罗县灵沙九年制学校</t>
  </si>
  <si>
    <t>北教学楼（知智楼）采暖管道更换</t>
  </si>
  <si>
    <t>m</t>
  </si>
  <si>
    <t>南教学楼（问学楼）采暖管道更换</t>
  </si>
  <si>
    <t>综合艺术楼采暖管道更换</t>
  </si>
  <si>
    <t>实验楼采暖管道更换</t>
  </si>
  <si>
    <t>明德楼采暖管道更换</t>
  </si>
  <si>
    <t>宿舍楼采暖管道更换</t>
  </si>
  <si>
    <t>师范楼采暖管道更换</t>
  </si>
  <si>
    <t>一层公厕采暖管道更换</t>
  </si>
  <si>
    <t>（二）</t>
  </si>
  <si>
    <t>平罗县庙庙湖小学</t>
  </si>
  <si>
    <t>教学楼采暖管道更换</t>
  </si>
  <si>
    <t>新综合楼采暖管道及散热器更换</t>
  </si>
  <si>
    <t>旧综合楼采暖管道及散热器更换</t>
  </si>
  <si>
    <t>公厕采暖管道及散热器更换</t>
  </si>
  <si>
    <t>门房采暖管道及散热器更换</t>
  </si>
  <si>
    <t>餐厅多功能采暖管道及散热器更换</t>
  </si>
  <si>
    <t>（三）</t>
  </si>
  <si>
    <t>平罗县庙庙湖小学室外采暖工程</t>
  </si>
  <si>
    <t>室外采暖工程安装</t>
  </si>
  <si>
    <t>室外采暖工程土建</t>
  </si>
  <si>
    <t>二</t>
  </si>
  <si>
    <t>工程监理费</t>
  </si>
  <si>
    <t>发改价[2015]299号</t>
  </si>
  <si>
    <t>万元</t>
  </si>
  <si>
    <t>工程设计费</t>
  </si>
  <si>
    <t>BIM设计费</t>
  </si>
  <si>
    <t>施工图审查费（含BIM）</t>
  </si>
  <si>
    <t>工程费*0.5%</t>
  </si>
  <si>
    <t>控制价、清单编制费</t>
  </si>
  <si>
    <t>宁价费发[2010]87号《建设工程造价咨询服务收费标准 》</t>
  </si>
  <si>
    <t>竣工结算审核费</t>
  </si>
  <si>
    <t>财务决算审核费</t>
  </si>
  <si>
    <t>市场价</t>
  </si>
  <si>
    <t>招投标代理服务费</t>
  </si>
  <si>
    <t>三</t>
  </si>
  <si>
    <t>预备费</t>
  </si>
  <si>
    <t>总工程费*3%</t>
  </si>
  <si>
    <t>四</t>
  </si>
  <si>
    <t>总投资</t>
  </si>
  <si>
    <t>外墙面</t>
  </si>
  <si>
    <t>暖气片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</si>
</sst>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%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0" fontId="1" fillId="2" borderId="1" xfId="3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zoomScale="85" zoomScaleNormal="85" topLeftCell="A7" workbookViewId="0">
      <selection activeCell="A13" sqref="$A13:$XFD13"/>
    </sheetView>
  </sheetViews>
  <sheetFormatPr defaultColWidth="9" defaultRowHeight="13.5"/>
  <cols>
    <col min="1" max="1" width="6.125" style="1" customWidth="1"/>
    <col min="2" max="2" width="31.9416666666667" style="2" customWidth="1"/>
    <col min="3" max="3" width="11.375" style="3" customWidth="1"/>
    <col min="4" max="4" width="9.875" style="4" customWidth="1"/>
    <col min="5" max="5" width="8.25" style="4" customWidth="1"/>
    <col min="6" max="6" width="10.125" style="3" customWidth="1"/>
    <col min="7" max="7" width="11.875" style="4" customWidth="1"/>
    <col min="8" max="8" width="7.375" style="5" customWidth="1"/>
    <col min="9" max="9" width="9.25" style="5" customWidth="1"/>
    <col min="10" max="10" width="11.375" style="3" customWidth="1"/>
    <col min="11" max="11" width="12.375" style="1" customWidth="1"/>
    <col min="12" max="14" width="12.625" style="5" hidden="1" customWidth="1"/>
    <col min="15" max="15" width="9" style="5"/>
    <col min="16" max="16" width="9" style="5" hidden="1" customWidth="1"/>
    <col min="17" max="18" width="9" style="5"/>
    <col min="19" max="19" width="9.375" style="5"/>
    <col min="20" max="16384" width="9" style="5"/>
  </cols>
  <sheetData>
    <row r="1" spans="1:14">
      <c r="A1" s="6" t="s">
        <v>0</v>
      </c>
      <c r="B1" s="7"/>
      <c r="C1" s="8"/>
      <c r="D1" s="8"/>
      <c r="E1" s="8"/>
      <c r="F1" s="8"/>
      <c r="G1" s="8"/>
      <c r="H1" s="7"/>
      <c r="I1" s="7"/>
      <c r="J1" s="8"/>
      <c r="K1" s="7"/>
    </row>
    <row r="2" ht="24" customHeight="1" spans="1:14">
      <c r="A2" s="7"/>
      <c r="B2" s="7"/>
      <c r="C2" s="8"/>
      <c r="D2" s="8"/>
      <c r="E2" s="8"/>
      <c r="F2" s="8"/>
      <c r="G2" s="8"/>
      <c r="H2" s="7"/>
      <c r="I2" s="7"/>
      <c r="J2" s="8"/>
      <c r="K2" s="7"/>
    </row>
    <row r="3" ht="24" customHeight="1" spans="1:1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ht="21.95" customHeight="1" spans="1:14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0" t="s">
        <v>5</v>
      </c>
      <c r="I4" s="10"/>
      <c r="J4" s="12"/>
      <c r="K4" s="10" t="s">
        <v>6</v>
      </c>
    </row>
    <row r="5" ht="28" customHeight="1" spans="1:14">
      <c r="A5" s="10"/>
      <c r="B5" s="11"/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0" t="s">
        <v>12</v>
      </c>
      <c r="I5" s="10" t="s">
        <v>13</v>
      </c>
      <c r="J5" s="12" t="s">
        <v>14</v>
      </c>
      <c r="K5" s="14">
        <f>G6/G37</f>
        <v>0.907358678885764</v>
      </c>
      <c r="N5" s="4">
        <f>G6+G27+G36</f>
        <v>214.787850202</v>
      </c>
    </row>
    <row r="6" ht="27" customHeight="1" spans="1:14">
      <c r="A6" s="15" t="s">
        <v>15</v>
      </c>
      <c r="B6" s="16" t="s">
        <v>16</v>
      </c>
      <c r="C6" s="17">
        <f>C7+C16+C24</f>
        <v>20.69</v>
      </c>
      <c r="D6" s="17">
        <f>D7+D16+D24</f>
        <v>174.19962</v>
      </c>
      <c r="E6" s="17"/>
      <c r="F6" s="17"/>
      <c r="G6" s="17">
        <f>G7+G16+G24</f>
        <v>194.88962</v>
      </c>
      <c r="H6" s="15"/>
      <c r="I6" s="18"/>
      <c r="J6" s="17"/>
      <c r="K6" s="14"/>
    </row>
    <row r="7" ht="27" customHeight="1" spans="1:14">
      <c r="A7" s="15" t="s">
        <v>17</v>
      </c>
      <c r="B7" s="19" t="s">
        <v>18</v>
      </c>
      <c r="C7" s="20"/>
      <c r="D7" s="17">
        <f>SUM(D8:D15)</f>
        <v>38.403632</v>
      </c>
      <c r="E7" s="17"/>
      <c r="F7" s="17"/>
      <c r="G7" s="17">
        <f t="shared" ref="G7:G15" si="0">SUM(D7:F7)</f>
        <v>38.403632</v>
      </c>
      <c r="H7" s="15"/>
      <c r="I7" s="18"/>
      <c r="J7" s="17"/>
      <c r="K7" s="14"/>
    </row>
    <row r="8" ht="30" customHeight="1" spans="1:14">
      <c r="A8" s="10">
        <v>1</v>
      </c>
      <c r="B8" s="21" t="s">
        <v>19</v>
      </c>
      <c r="C8" s="20"/>
      <c r="D8" s="22">
        <f t="shared" ref="D8:D15" si="1">I8*J8/10000</f>
        <v>7.869317</v>
      </c>
      <c r="E8" s="22"/>
      <c r="F8" s="22"/>
      <c r="G8" s="12">
        <f t="shared" si="0"/>
        <v>7.869317</v>
      </c>
      <c r="H8" s="10" t="s">
        <v>20</v>
      </c>
      <c r="I8" s="23">
        <f>170+478</f>
        <v>648</v>
      </c>
      <c r="J8" s="12">
        <f>L8/I8</f>
        <v>121.440077160494</v>
      </c>
      <c r="K8" s="24"/>
      <c r="L8" s="25">
        <v>78693.17</v>
      </c>
    </row>
    <row r="9" ht="28" customHeight="1" spans="1:14">
      <c r="A9" s="10">
        <v>2</v>
      </c>
      <c r="B9" s="21" t="s">
        <v>21</v>
      </c>
      <c r="C9" s="20"/>
      <c r="D9" s="22">
        <f t="shared" si="1"/>
        <v>6.891438</v>
      </c>
      <c r="E9" s="22"/>
      <c r="F9" s="22"/>
      <c r="G9" s="12">
        <f t="shared" si="0"/>
        <v>6.891438</v>
      </c>
      <c r="H9" s="10" t="s">
        <v>20</v>
      </c>
      <c r="I9" s="23">
        <f>137+442</f>
        <v>579</v>
      </c>
      <c r="J9" s="12">
        <f t="shared" ref="J9:J15" si="2">L9/I9</f>
        <v>119.02310880829</v>
      </c>
      <c r="K9" s="24"/>
      <c r="L9" s="5">
        <v>68914.38</v>
      </c>
    </row>
    <row r="10" ht="27" customHeight="1" spans="1:14">
      <c r="A10" s="10">
        <v>3</v>
      </c>
      <c r="B10" s="21" t="s">
        <v>22</v>
      </c>
      <c r="C10" s="20"/>
      <c r="D10" s="22">
        <f t="shared" si="1"/>
        <v>5.426231</v>
      </c>
      <c r="E10" s="22"/>
      <c r="F10" s="22"/>
      <c r="G10" s="12">
        <f t="shared" si="0"/>
        <v>5.426231</v>
      </c>
      <c r="H10" s="10" t="s">
        <v>20</v>
      </c>
      <c r="I10" s="23">
        <f>137+348</f>
        <v>485</v>
      </c>
      <c r="J10" s="12">
        <f t="shared" si="2"/>
        <v>111.881051546392</v>
      </c>
      <c r="K10" s="24"/>
      <c r="L10" s="25">
        <v>54262.31</v>
      </c>
    </row>
    <row r="11" ht="27.95" customHeight="1" spans="1:14">
      <c r="A11" s="10">
        <v>4</v>
      </c>
      <c r="B11" s="21" t="s">
        <v>23</v>
      </c>
      <c r="C11" s="20"/>
      <c r="D11" s="22">
        <f t="shared" si="1"/>
        <v>3.562924</v>
      </c>
      <c r="E11" s="22"/>
      <c r="F11" s="22"/>
      <c r="G11" s="12">
        <f t="shared" si="0"/>
        <v>3.562924</v>
      </c>
      <c r="H11" s="10" t="s">
        <v>20</v>
      </c>
      <c r="I11" s="23">
        <f>104+196</f>
        <v>300</v>
      </c>
      <c r="J11" s="12">
        <f t="shared" si="2"/>
        <v>118.764133333333</v>
      </c>
      <c r="K11" s="24"/>
      <c r="L11" s="25">
        <v>35629.24</v>
      </c>
    </row>
    <row r="12" ht="21" customHeight="1" spans="1:14">
      <c r="A12" s="10">
        <v>5</v>
      </c>
      <c r="B12" s="21" t="s">
        <v>24</v>
      </c>
      <c r="C12" s="20"/>
      <c r="D12" s="22">
        <f t="shared" si="1"/>
        <v>5.315616</v>
      </c>
      <c r="E12" s="22"/>
      <c r="F12" s="22"/>
      <c r="G12" s="12">
        <f t="shared" si="0"/>
        <v>5.315616</v>
      </c>
      <c r="H12" s="10" t="s">
        <v>20</v>
      </c>
      <c r="I12" s="23">
        <f>126+304</f>
        <v>430</v>
      </c>
      <c r="J12" s="12">
        <f t="shared" si="2"/>
        <v>123.618976744186</v>
      </c>
      <c r="K12" s="24"/>
      <c r="L12" s="5">
        <v>53156.16</v>
      </c>
    </row>
    <row r="13" ht="25" customHeight="1" spans="1:14">
      <c r="A13" s="10">
        <v>6</v>
      </c>
      <c r="B13" s="21" t="s">
        <v>25</v>
      </c>
      <c r="C13" s="20"/>
      <c r="D13" s="22">
        <f t="shared" si="1"/>
        <v>5.735337</v>
      </c>
      <c r="E13" s="22"/>
      <c r="F13" s="22"/>
      <c r="G13" s="12">
        <f t="shared" si="0"/>
        <v>5.735337</v>
      </c>
      <c r="H13" s="10" t="s">
        <v>20</v>
      </c>
      <c r="I13" s="23">
        <f>136+328</f>
        <v>464</v>
      </c>
      <c r="J13" s="12">
        <f t="shared" si="2"/>
        <v>123.606400862069</v>
      </c>
      <c r="K13" s="24"/>
      <c r="L13" s="5">
        <v>57353.37</v>
      </c>
    </row>
    <row r="14" ht="28" customHeight="1" spans="1:14">
      <c r="A14" s="10">
        <v>7</v>
      </c>
      <c r="B14" s="21" t="s">
        <v>26</v>
      </c>
      <c r="C14" s="20"/>
      <c r="D14" s="22">
        <f t="shared" si="1"/>
        <v>1.497074</v>
      </c>
      <c r="E14" s="22"/>
      <c r="F14" s="22"/>
      <c r="G14" s="12">
        <f t="shared" si="0"/>
        <v>1.497074</v>
      </c>
      <c r="H14" s="10" t="s">
        <v>20</v>
      </c>
      <c r="I14" s="23">
        <f>18+24+64</f>
        <v>106</v>
      </c>
      <c r="J14" s="12">
        <f t="shared" si="2"/>
        <v>141.233396226415</v>
      </c>
      <c r="K14" s="24"/>
      <c r="L14" s="5">
        <v>14970.74</v>
      </c>
    </row>
    <row r="15" ht="24" customHeight="1" spans="1:14">
      <c r="A15" s="10">
        <v>8</v>
      </c>
      <c r="B15" s="21" t="s">
        <v>27</v>
      </c>
      <c r="C15" s="20"/>
      <c r="D15" s="22">
        <f t="shared" si="1"/>
        <v>2.105695</v>
      </c>
      <c r="E15" s="22"/>
      <c r="F15" s="22"/>
      <c r="G15" s="12">
        <f t="shared" si="0"/>
        <v>2.105695</v>
      </c>
      <c r="H15" s="10" t="s">
        <v>20</v>
      </c>
      <c r="I15" s="23">
        <f>122</f>
        <v>122</v>
      </c>
      <c r="J15" s="12">
        <f t="shared" si="2"/>
        <v>172.597950819672</v>
      </c>
      <c r="K15" s="24"/>
      <c r="L15" s="5">
        <v>21056.95</v>
      </c>
    </row>
    <row r="16" ht="30" customHeight="1" spans="1:14">
      <c r="A16" s="15" t="s">
        <v>28</v>
      </c>
      <c r="B16" s="19" t="s">
        <v>29</v>
      </c>
      <c r="C16" s="26"/>
      <c r="D16" s="26">
        <f>SUM(D17:D23)</f>
        <v>90.852681</v>
      </c>
      <c r="E16" s="17"/>
      <c r="F16" s="17"/>
      <c r="G16" s="17">
        <f t="shared" ref="G16:G26" si="3">SUM(C16:F16)</f>
        <v>90.852681</v>
      </c>
      <c r="H16" s="10"/>
      <c r="I16" s="23"/>
      <c r="J16" s="17"/>
      <c r="K16" s="14"/>
    </row>
    <row r="17" ht="27" customHeight="1" spans="1:13">
      <c r="A17" s="10"/>
      <c r="B17" s="11" t="s">
        <v>30</v>
      </c>
      <c r="C17" s="22"/>
      <c r="D17" s="22">
        <f t="shared" ref="D17:D23" si="4">L17/10000</f>
        <v>11.518753</v>
      </c>
      <c r="E17" s="17"/>
      <c r="F17" s="17"/>
      <c r="G17" s="12">
        <f t="shared" si="3"/>
        <v>11.518753</v>
      </c>
      <c r="H17" s="10" t="s">
        <v>20</v>
      </c>
      <c r="I17" s="23">
        <f>20+70+50+40+40+40+20</f>
        <v>280</v>
      </c>
      <c r="J17" s="12">
        <f t="shared" ref="J17:J23" si="5">L17/I17</f>
        <v>411.384035714286</v>
      </c>
      <c r="K17" s="14"/>
      <c r="L17" s="5">
        <v>115187.53</v>
      </c>
    </row>
    <row r="18" ht="27" customHeight="1" spans="1:13">
      <c r="A18" s="10"/>
      <c r="B18" s="11" t="s">
        <v>25</v>
      </c>
      <c r="C18" s="22"/>
      <c r="D18" s="22">
        <f t="shared" si="4"/>
        <v>12.485756</v>
      </c>
      <c r="E18" s="17"/>
      <c r="F18" s="17"/>
      <c r="G18" s="12">
        <f t="shared" si="3"/>
        <v>12.485756</v>
      </c>
      <c r="H18" s="10" t="s">
        <v>20</v>
      </c>
      <c r="I18" s="23">
        <f>80+50+30+20+20+10+420</f>
        <v>630</v>
      </c>
      <c r="J18" s="12">
        <f t="shared" si="5"/>
        <v>198.186603174603</v>
      </c>
      <c r="K18" s="14"/>
      <c r="L18" s="5">
        <v>124857.56</v>
      </c>
    </row>
    <row r="19" ht="32" customHeight="1" spans="1:13">
      <c r="A19" s="10"/>
      <c r="B19" s="27" t="s">
        <v>31</v>
      </c>
      <c r="C19" s="22"/>
      <c r="D19" s="22">
        <f t="shared" si="4"/>
        <v>25.083654</v>
      </c>
      <c r="E19" s="17"/>
      <c r="F19" s="17"/>
      <c r="G19" s="12">
        <f t="shared" si="3"/>
        <v>25.083654</v>
      </c>
      <c r="H19" s="10" t="s">
        <v>20</v>
      </c>
      <c r="I19" s="23">
        <f>132+374+70+60+50+40+25+15</f>
        <v>766</v>
      </c>
      <c r="J19" s="12">
        <f t="shared" si="5"/>
        <v>327.462845953003</v>
      </c>
      <c r="K19" s="14"/>
      <c r="L19" s="5">
        <v>250836.54</v>
      </c>
    </row>
    <row r="20" ht="27" customHeight="1" spans="1:13">
      <c r="A20" s="10"/>
      <c r="B20" s="27" t="s">
        <v>32</v>
      </c>
      <c r="C20" s="22"/>
      <c r="D20" s="22">
        <f t="shared" si="4"/>
        <v>25.526756</v>
      </c>
      <c r="E20" s="17"/>
      <c r="F20" s="17"/>
      <c r="G20" s="12">
        <f t="shared" si="3"/>
        <v>25.526756</v>
      </c>
      <c r="H20" s="10" t="s">
        <v>20</v>
      </c>
      <c r="I20" s="23">
        <f>142+348+70+60+50+45+30+15</f>
        <v>760</v>
      </c>
      <c r="J20" s="12">
        <f t="shared" si="5"/>
        <v>335.878368421053</v>
      </c>
      <c r="K20" s="14"/>
      <c r="L20" s="5">
        <v>255267.56</v>
      </c>
    </row>
    <row r="21" ht="27" customHeight="1" spans="1:13">
      <c r="A21" s="10"/>
      <c r="B21" s="27" t="s">
        <v>33</v>
      </c>
      <c r="C21" s="22"/>
      <c r="D21" s="22">
        <f t="shared" si="4"/>
        <v>5.970744</v>
      </c>
      <c r="E21" s="17"/>
      <c r="F21" s="17"/>
      <c r="G21" s="12">
        <f t="shared" si="3"/>
        <v>5.970744</v>
      </c>
      <c r="H21" s="10" t="s">
        <v>20</v>
      </c>
      <c r="I21" s="23">
        <f>50+35+25+44</f>
        <v>154</v>
      </c>
      <c r="J21" s="12">
        <f t="shared" si="5"/>
        <v>387.710649350649</v>
      </c>
      <c r="K21" s="14"/>
      <c r="L21" s="5">
        <v>59707.44</v>
      </c>
    </row>
    <row r="22" ht="27" customHeight="1" spans="1:13">
      <c r="A22" s="10"/>
      <c r="B22" s="27" t="s">
        <v>34</v>
      </c>
      <c r="C22" s="22"/>
      <c r="D22" s="22">
        <f t="shared" si="4"/>
        <v>1.721475</v>
      </c>
      <c r="E22" s="17"/>
      <c r="F22" s="17"/>
      <c r="G22" s="12">
        <f t="shared" si="3"/>
        <v>1.721475</v>
      </c>
      <c r="H22" s="10" t="s">
        <v>20</v>
      </c>
      <c r="I22" s="23">
        <f>10+10+10</f>
        <v>30</v>
      </c>
      <c r="J22" s="12">
        <f t="shared" si="5"/>
        <v>573.825</v>
      </c>
      <c r="K22" s="14"/>
      <c r="L22" s="5">
        <v>17214.75</v>
      </c>
    </row>
    <row r="23" ht="30" customHeight="1" spans="1:13">
      <c r="A23" s="10"/>
      <c r="B23" s="27" t="s">
        <v>35</v>
      </c>
      <c r="C23" s="22"/>
      <c r="D23" s="22">
        <f t="shared" si="4"/>
        <v>8.545543</v>
      </c>
      <c r="E23" s="17"/>
      <c r="F23" s="17"/>
      <c r="G23" s="12">
        <f t="shared" si="3"/>
        <v>8.545543</v>
      </c>
      <c r="H23" s="10" t="s">
        <v>20</v>
      </c>
      <c r="I23" s="23">
        <f>50+30+20+10+104</f>
        <v>214</v>
      </c>
      <c r="J23" s="12">
        <f t="shared" si="5"/>
        <v>399.324439252336</v>
      </c>
      <c r="K23" s="14"/>
      <c r="L23" s="5">
        <v>85455.43</v>
      </c>
    </row>
    <row r="24" ht="33" customHeight="1" spans="1:13">
      <c r="A24" s="15" t="s">
        <v>36</v>
      </c>
      <c r="B24" s="19" t="s">
        <v>37</v>
      </c>
      <c r="C24" s="26">
        <f>C25+C26</f>
        <v>20.69</v>
      </c>
      <c r="D24" s="26">
        <f>D25+D26</f>
        <v>44.943307</v>
      </c>
      <c r="E24" s="17"/>
      <c r="F24" s="17"/>
      <c r="G24" s="17">
        <f t="shared" si="3"/>
        <v>65.633307</v>
      </c>
      <c r="H24" s="20"/>
      <c r="I24" s="20"/>
      <c r="J24" s="17"/>
      <c r="K24" s="14"/>
      <c r="L24" s="5">
        <v>656142.69</v>
      </c>
      <c r="M24" s="5">
        <v>66</v>
      </c>
    </row>
    <row r="25" ht="27" customHeight="1" spans="1:13">
      <c r="A25" s="15"/>
      <c r="B25" s="11" t="s">
        <v>38</v>
      </c>
      <c r="C25" s="22"/>
      <c r="D25" s="22">
        <f>L25/10000</f>
        <v>44.943307</v>
      </c>
      <c r="E25" s="17"/>
      <c r="F25" s="17"/>
      <c r="G25" s="12">
        <f t="shared" si="3"/>
        <v>44.943307</v>
      </c>
      <c r="H25" s="10" t="s">
        <v>20</v>
      </c>
      <c r="I25" s="23">
        <v>770</v>
      </c>
      <c r="J25" s="12">
        <f>L25/I25</f>
        <v>583.679311688312</v>
      </c>
      <c r="K25" s="14"/>
      <c r="L25" s="5">
        <v>449433.07</v>
      </c>
    </row>
    <row r="26" ht="27" customHeight="1" spans="1:13">
      <c r="A26" s="15"/>
      <c r="B26" s="11" t="s">
        <v>39</v>
      </c>
      <c r="C26" s="22">
        <v>20.69</v>
      </c>
      <c r="D26" s="22"/>
      <c r="E26" s="17"/>
      <c r="F26" s="17"/>
      <c r="G26" s="12">
        <f t="shared" si="3"/>
        <v>20.69</v>
      </c>
      <c r="H26" s="10" t="s">
        <v>20</v>
      </c>
      <c r="I26" s="23">
        <v>770</v>
      </c>
      <c r="J26" s="12">
        <f>L26/I26</f>
        <v>268.711077922078</v>
      </c>
      <c r="K26" s="14"/>
      <c r="L26" s="5">
        <v>206907.53</v>
      </c>
    </row>
    <row r="27" ht="27" customHeight="1" spans="1:13">
      <c r="A27" s="15" t="s">
        <v>40</v>
      </c>
      <c r="B27" s="16" t="s">
        <v>10</v>
      </c>
      <c r="C27" s="17"/>
      <c r="D27" s="17"/>
      <c r="E27" s="17"/>
      <c r="F27" s="17">
        <f>SUM(F28:F35)</f>
        <v>13.6422734</v>
      </c>
      <c r="G27" s="17">
        <f t="shared" ref="G27:G35" si="6">F27</f>
        <v>13.6422734</v>
      </c>
      <c r="H27" s="15"/>
      <c r="I27" s="15"/>
      <c r="J27" s="17"/>
      <c r="K27" s="14">
        <f>G27/G37</f>
        <v>0.0635151075220035</v>
      </c>
    </row>
    <row r="28" ht="24" customHeight="1" spans="1:13">
      <c r="A28" s="10">
        <v>2</v>
      </c>
      <c r="B28" s="11" t="s">
        <v>41</v>
      </c>
      <c r="C28" s="28" t="s">
        <v>42</v>
      </c>
      <c r="D28" s="28"/>
      <c r="E28" s="28"/>
      <c r="F28" s="12">
        <f>G6*1.8%</f>
        <v>3.50801316</v>
      </c>
      <c r="G28" s="12">
        <f t="shared" si="6"/>
        <v>3.50801316</v>
      </c>
      <c r="H28" s="10" t="s">
        <v>43</v>
      </c>
      <c r="I28" s="23">
        <f>G6</f>
        <v>194.88962</v>
      </c>
      <c r="J28" s="29">
        <f>G28/I28</f>
        <v>0.018</v>
      </c>
      <c r="K28" s="28"/>
    </row>
    <row r="29" ht="25" customHeight="1" spans="1:13">
      <c r="A29" s="10">
        <v>3</v>
      </c>
      <c r="B29" s="11" t="s">
        <v>44</v>
      </c>
      <c r="C29" s="28" t="s">
        <v>42</v>
      </c>
      <c r="D29" s="28"/>
      <c r="E29" s="28"/>
      <c r="F29" s="12">
        <f>G6*2.5%</f>
        <v>4.8722405</v>
      </c>
      <c r="G29" s="12">
        <f t="shared" si="6"/>
        <v>4.8722405</v>
      </c>
      <c r="H29" s="10" t="str">
        <f t="shared" ref="H29:H34" si="7">H28</f>
        <v>万元</v>
      </c>
      <c r="I29" s="23">
        <f t="shared" ref="I29:I35" si="8">I28</f>
        <v>194.88962</v>
      </c>
      <c r="J29" s="29">
        <f>G29/I29</f>
        <v>0.025</v>
      </c>
      <c r="K29" s="28"/>
    </row>
    <row r="30" ht="25" customHeight="1" spans="1:13">
      <c r="A30" s="10">
        <v>4</v>
      </c>
      <c r="B30" s="11" t="s">
        <v>45</v>
      </c>
      <c r="C30" s="28" t="s">
        <v>42</v>
      </c>
      <c r="D30" s="28"/>
      <c r="E30" s="28"/>
      <c r="F30" s="12">
        <f>I30*J30</f>
        <v>0.77955848</v>
      </c>
      <c r="G30" s="12">
        <f t="shared" si="6"/>
        <v>0.77955848</v>
      </c>
      <c r="H30" s="10" t="str">
        <f t="shared" si="7"/>
        <v>万元</v>
      </c>
      <c r="I30" s="23">
        <f t="shared" si="8"/>
        <v>194.88962</v>
      </c>
      <c r="J30" s="29">
        <v>0.004</v>
      </c>
      <c r="K30" s="28"/>
      <c r="M30" s="5">
        <f>258.94+29.86+8.66</f>
        <v>297.46</v>
      </c>
    </row>
    <row r="31" ht="22" customHeight="1" spans="1:13">
      <c r="A31" s="10">
        <v>5</v>
      </c>
      <c r="B31" s="11" t="s">
        <v>46</v>
      </c>
      <c r="C31" s="28" t="s">
        <v>47</v>
      </c>
      <c r="D31" s="28"/>
      <c r="E31" s="28"/>
      <c r="F31" s="12">
        <f>G6*0.5%</f>
        <v>0.9744481</v>
      </c>
      <c r="G31" s="12">
        <f t="shared" si="6"/>
        <v>0.9744481</v>
      </c>
      <c r="H31" s="10" t="str">
        <f>H29</f>
        <v>万元</v>
      </c>
      <c r="I31" s="23">
        <f t="shared" si="8"/>
        <v>194.88962</v>
      </c>
      <c r="J31" s="29">
        <f>G31/I31</f>
        <v>0.005</v>
      </c>
      <c r="K31" s="28"/>
    </row>
    <row r="32" ht="27" customHeight="1" spans="1:13">
      <c r="A32" s="10">
        <v>6</v>
      </c>
      <c r="B32" s="11" t="s">
        <v>48</v>
      </c>
      <c r="C32" s="30" t="s">
        <v>49</v>
      </c>
      <c r="D32" s="30"/>
      <c r="E32" s="30"/>
      <c r="F32" s="12">
        <f>G6*0.6%</f>
        <v>1.16933772</v>
      </c>
      <c r="G32" s="12">
        <f t="shared" si="6"/>
        <v>1.16933772</v>
      </c>
      <c r="H32" s="10" t="str">
        <f t="shared" si="7"/>
        <v>万元</v>
      </c>
      <c r="I32" s="23">
        <f t="shared" si="8"/>
        <v>194.88962</v>
      </c>
      <c r="J32" s="29">
        <f>G32/I32</f>
        <v>0.006</v>
      </c>
      <c r="K32" s="30"/>
    </row>
    <row r="33" ht="27" customHeight="1" spans="1:16">
      <c r="A33" s="10">
        <v>7</v>
      </c>
      <c r="B33" s="11" t="s">
        <v>50</v>
      </c>
      <c r="C33" s="30" t="s">
        <v>49</v>
      </c>
      <c r="D33" s="30"/>
      <c r="E33" s="30"/>
      <c r="F33" s="12">
        <f>I33*J33</f>
        <v>0.9744481</v>
      </c>
      <c r="G33" s="12">
        <f t="shared" si="6"/>
        <v>0.9744481</v>
      </c>
      <c r="H33" s="10" t="str">
        <f t="shared" si="7"/>
        <v>万元</v>
      </c>
      <c r="I33" s="23">
        <f t="shared" si="8"/>
        <v>194.88962</v>
      </c>
      <c r="J33" s="29">
        <v>0.005</v>
      </c>
      <c r="K33" s="30"/>
    </row>
    <row r="34" ht="23" customHeight="1" spans="1:16">
      <c r="A34" s="10">
        <v>8</v>
      </c>
      <c r="B34" s="11" t="s">
        <v>51</v>
      </c>
      <c r="C34" s="28" t="s">
        <v>52</v>
      </c>
      <c r="D34" s="28"/>
      <c r="E34" s="28"/>
      <c r="F34" s="12">
        <f>I34*J34</f>
        <v>0.48722405</v>
      </c>
      <c r="G34" s="12">
        <f t="shared" si="6"/>
        <v>0.48722405</v>
      </c>
      <c r="H34" s="10" t="str">
        <f t="shared" si="7"/>
        <v>万元</v>
      </c>
      <c r="I34" s="23">
        <f t="shared" si="8"/>
        <v>194.88962</v>
      </c>
      <c r="J34" s="29">
        <v>0.0025</v>
      </c>
      <c r="K34" s="30"/>
    </row>
    <row r="35" ht="24" customHeight="1" spans="1:16">
      <c r="A35" s="10">
        <v>9</v>
      </c>
      <c r="B35" s="11" t="s">
        <v>53</v>
      </c>
      <c r="C35" s="28" t="s">
        <v>42</v>
      </c>
      <c r="D35" s="28"/>
      <c r="E35" s="28"/>
      <c r="F35" s="12">
        <f>G6*0.45%</f>
        <v>0.87700329</v>
      </c>
      <c r="G35" s="12">
        <f t="shared" si="6"/>
        <v>0.87700329</v>
      </c>
      <c r="H35" s="10" t="str">
        <f>H32</f>
        <v>万元</v>
      </c>
      <c r="I35" s="23">
        <f t="shared" si="8"/>
        <v>194.88962</v>
      </c>
      <c r="J35" s="29">
        <f>G35/I35</f>
        <v>0.0045</v>
      </c>
      <c r="K35" s="30"/>
    </row>
    <row r="36" ht="27" customHeight="1" spans="1:16">
      <c r="A36" s="15" t="s">
        <v>54</v>
      </c>
      <c r="B36" s="16" t="s">
        <v>55</v>
      </c>
      <c r="C36" s="17" t="s">
        <v>56</v>
      </c>
      <c r="D36" s="17"/>
      <c r="E36" s="17"/>
      <c r="F36" s="17">
        <f>G36</f>
        <v>6.255956802</v>
      </c>
      <c r="G36" s="17">
        <f>(G6+G27)*3%</f>
        <v>6.255956802</v>
      </c>
      <c r="H36" s="15"/>
      <c r="I36" s="15"/>
      <c r="J36" s="17"/>
      <c r="K36" s="31">
        <f>G36/G37</f>
        <v>0.029126213592233</v>
      </c>
    </row>
    <row r="37" ht="34" customHeight="1" spans="1:16">
      <c r="A37" s="15" t="s">
        <v>57</v>
      </c>
      <c r="B37" s="16" t="s">
        <v>58</v>
      </c>
      <c r="C37" s="17">
        <f>C6</f>
        <v>20.69</v>
      </c>
      <c r="D37" s="17">
        <f>D6</f>
        <v>174.19962</v>
      </c>
      <c r="E37" s="17"/>
      <c r="F37" s="17">
        <f>F36+F27</f>
        <v>19.898230202</v>
      </c>
      <c r="G37" s="17">
        <f>G6+G27+G36</f>
        <v>214.787850202</v>
      </c>
      <c r="H37" s="15"/>
      <c r="I37" s="32"/>
      <c r="J37" s="17"/>
      <c r="K37" s="33">
        <f>K5+K27+K36</f>
        <v>1</v>
      </c>
      <c r="L37" s="4">
        <f>G37-199</f>
        <v>15.787850202</v>
      </c>
      <c r="P37" s="5">
        <f>194.2+13.59+6.23</f>
        <v>214.02</v>
      </c>
    </row>
  </sheetData>
  <autoFilter xmlns:etc="http://www.wps.cn/officeDocument/2017/etCustomData" ref="A1:M37" etc:filterBottomFollowUsedRange="0">
    <extLst/>
  </autoFilter>
  <mergeCells count="15">
    <mergeCell ref="A3:K3"/>
    <mergeCell ref="C4:G4"/>
    <mergeCell ref="H4:J4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4:A5"/>
    <mergeCell ref="B4:B5"/>
    <mergeCell ref="A1:K2"/>
  </mergeCells>
  <pageMargins left="0.751388888888889" right="0.751388888888889" top="0.432638888888889" bottom="0.275" header="0.314583333333333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I4" sqref="I4:M4"/>
    </sheetView>
  </sheetViews>
  <sheetFormatPr defaultColWidth="9" defaultRowHeight="13.5" outlineLevelRow="5"/>
  <sheetData>
    <row r="1" spans="1:13">
      <c r="A1" t="s">
        <v>59</v>
      </c>
      <c r="B1">
        <f>16.5-6</f>
        <v>10.5</v>
      </c>
      <c r="C1">
        <f>B1*2</f>
        <v>21</v>
      </c>
    </row>
    <row r="2" spans="1:13">
      <c r="B2">
        <f>31.8-7.8</f>
        <v>24</v>
      </c>
      <c r="C2">
        <f>B2*2</f>
        <v>48</v>
      </c>
    </row>
    <row r="3" spans="1:13">
      <c r="B3">
        <f>7.8*2+16.5+6</f>
        <v>38.1</v>
      </c>
      <c r="C3">
        <f>B3</f>
        <v>38.1</v>
      </c>
    </row>
    <row r="4" spans="1:13">
      <c r="C4">
        <f>SUM(C1:C3)</f>
        <v>107.1</v>
      </c>
      <c r="D4">
        <v>4.2</v>
      </c>
      <c r="E4">
        <v>3.9</v>
      </c>
      <c r="F4">
        <v>3.3</v>
      </c>
      <c r="G4">
        <v>3.3</v>
      </c>
      <c r="I4">
        <f>C4*D4</f>
        <v>449.82</v>
      </c>
      <c r="J4">
        <f>C4*E4</f>
        <v>417.69</v>
      </c>
      <c r="K4">
        <f>C4*F4</f>
        <v>353.43</v>
      </c>
      <c r="L4">
        <f>C4*G4</f>
        <v>353.43</v>
      </c>
      <c r="M4">
        <f>SUM(I4:L4)</f>
        <v>1574.37</v>
      </c>
    </row>
    <row r="6" spans="1:13">
      <c r="A6" t="s">
        <v>60</v>
      </c>
      <c r="B6">
        <f>10*2+1</f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蓝缘轩尛</cp:lastModifiedBy>
  <dcterms:created xsi:type="dcterms:W3CDTF">2024-10-15T09:46:00Z</dcterms:created>
  <dcterms:modified xsi:type="dcterms:W3CDTF">2026-06-24T06:45:22Z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3957418F1C0847A7BAFB1398CD5278DB_13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